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fileSharing readOnlyRecommended="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egruyter-my.sharepoint.com/personal/sarah_malley_degruyter_com/Documents/Sales Alignment/EUP sales alignment/"/>
    </mc:Choice>
  </mc:AlternateContent>
  <xr:revisionPtr revIDLastSave="1" documentId="8_{57A0056B-6180-43F1-BD58-E1B0DB032AD7}" xr6:coauthVersionLast="47" xr6:coauthVersionMax="47" xr10:uidLastSave="{420F1C48-89A9-4E6B-B952-E10BF1621643}"/>
  <bookViews>
    <workbookView xWindow="-108" yWindow="-108" windowWidth="23256" windowHeight="12456" xr2:uid="{4B3D6DE6-F886-438F-95D7-C6020E3CB8A6}"/>
  </bookViews>
  <sheets>
    <sheet name="EUP complete title list" sheetId="1" r:id="rId1"/>
    <sheet name="exclusions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5" i="2" l="1"/>
  <c r="A193" i="2"/>
  <c r="A190" i="2"/>
  <c r="A189" i="2"/>
  <c r="A188" i="2"/>
  <c r="A187" i="2"/>
  <c r="A186" i="2"/>
  <c r="A185" i="2"/>
  <c r="A180" i="2"/>
  <c r="A176" i="2"/>
  <c r="A175" i="2"/>
  <c r="A174" i="2"/>
  <c r="A173" i="2"/>
  <c r="A172" i="2"/>
  <c r="A171" i="2"/>
  <c r="A166" i="2"/>
  <c r="A165" i="2"/>
  <c r="A164" i="2"/>
  <c r="A163" i="2"/>
  <c r="A161" i="2"/>
  <c r="A159" i="2"/>
  <c r="A157" i="2"/>
  <c r="A151" i="2"/>
  <c r="A150" i="2"/>
  <c r="A149" i="2"/>
  <c r="A141" i="2"/>
  <c r="A134" i="2"/>
  <c r="A133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7" i="2"/>
  <c r="A116" i="2"/>
  <c r="A115" i="2"/>
  <c r="A114" i="2"/>
  <c r="A113" i="2"/>
  <c r="A110" i="2"/>
  <c r="A107" i="2"/>
  <c r="A105" i="2"/>
  <c r="A2" i="2"/>
  <c r="AH4162" i="1"/>
  <c r="AH4144" i="1"/>
  <c r="AH4143" i="1"/>
  <c r="AH4142" i="1"/>
  <c r="AH4141" i="1"/>
  <c r="AH4140" i="1"/>
  <c r="AH4139" i="1"/>
  <c r="AH4138" i="1"/>
  <c r="AH4137" i="1"/>
  <c r="AH4135" i="1"/>
  <c r="AH4134" i="1"/>
  <c r="AH4133" i="1"/>
  <c r="AH4131" i="1"/>
  <c r="AH4130" i="1"/>
  <c r="AH4125" i="1"/>
  <c r="AH4124" i="1"/>
  <c r="AH4123" i="1"/>
  <c r="AH4122" i="1"/>
  <c r="AH4121" i="1"/>
  <c r="AH4120" i="1"/>
  <c r="AH4119" i="1"/>
  <c r="AH4118" i="1"/>
  <c r="AH4117" i="1"/>
  <c r="AH4116" i="1"/>
  <c r="AH4115" i="1"/>
  <c r="AH4114" i="1"/>
  <c r="AH4113" i="1"/>
  <c r="AH4111" i="1"/>
  <c r="AH4110" i="1"/>
  <c r="AH4109" i="1"/>
  <c r="AH4108" i="1"/>
  <c r="AH4107" i="1"/>
  <c r="AH4106" i="1"/>
  <c r="AH4104" i="1"/>
  <c r="AH4102" i="1"/>
  <c r="AH4101" i="1"/>
  <c r="AH4100" i="1"/>
  <c r="AH4099" i="1"/>
  <c r="AH4098" i="1"/>
  <c r="AH4097" i="1"/>
  <c r="AH4091" i="1"/>
  <c r="AH4089" i="1"/>
  <c r="AH4088" i="1"/>
  <c r="AH4084" i="1"/>
  <c r="AH4083" i="1"/>
  <c r="AH4082" i="1"/>
  <c r="AH4078" i="1"/>
  <c r="AH4054" i="1"/>
  <c r="AH4019" i="1"/>
  <c r="AH4018" i="1"/>
  <c r="AH4017" i="1"/>
  <c r="AH4016" i="1"/>
  <c r="AH4015" i="1"/>
  <c r="AH4014" i="1"/>
  <c r="AH4013" i="1"/>
  <c r="AH4012" i="1"/>
  <c r="AH4008" i="1"/>
  <c r="AH4007" i="1"/>
  <c r="AH4006" i="1"/>
  <c r="AH4005" i="1"/>
  <c r="AH4004" i="1"/>
  <c r="AH4003" i="1"/>
  <c r="AH4002" i="1"/>
  <c r="AH4001" i="1"/>
  <c r="AH3999" i="1"/>
  <c r="AH3997" i="1"/>
  <c r="AH3996" i="1"/>
  <c r="AH3994" i="1"/>
  <c r="AH3991" i="1"/>
  <c r="AH3989" i="1"/>
  <c r="AH3988" i="1"/>
  <c r="AH3987" i="1"/>
  <c r="AH3985" i="1"/>
  <c r="AH3984" i="1"/>
  <c r="AH3983" i="1"/>
  <c r="AH3982" i="1"/>
  <c r="AH3981" i="1"/>
  <c r="AH3979" i="1"/>
  <c r="AH3978" i="1"/>
  <c r="AH3976" i="1"/>
  <c r="AH3975" i="1"/>
  <c r="AH3974" i="1"/>
  <c r="AH3973" i="1"/>
  <c r="AH3972" i="1"/>
  <c r="AH3971" i="1"/>
  <c r="AH3970" i="1"/>
  <c r="AH3969" i="1"/>
  <c r="AH3966" i="1"/>
  <c r="AH3965" i="1"/>
  <c r="AH3964" i="1"/>
  <c r="AH3963" i="1"/>
  <c r="AH3962" i="1"/>
  <c r="AH3961" i="1"/>
  <c r="AH3960" i="1"/>
  <c r="AH3959" i="1"/>
  <c r="AH3958" i="1"/>
  <c r="AH3957" i="1"/>
  <c r="AH3956" i="1"/>
  <c r="AH3955" i="1"/>
  <c r="AH3954" i="1"/>
  <c r="AH3953" i="1"/>
  <c r="AH3952" i="1"/>
  <c r="AH3951" i="1"/>
  <c r="AH3949" i="1"/>
  <c r="AH3948" i="1"/>
  <c r="AH3946" i="1"/>
  <c r="AH3944" i="1"/>
  <c r="AH3943" i="1"/>
  <c r="AH3942" i="1"/>
  <c r="AH3941" i="1"/>
  <c r="AH3940" i="1"/>
  <c r="AH3939" i="1"/>
  <c r="AH3938" i="1"/>
  <c r="AH3937" i="1"/>
  <c r="AH3936" i="1"/>
  <c r="AH3935" i="1"/>
  <c r="AH3934" i="1"/>
  <c r="AH3933" i="1"/>
  <c r="AH3932" i="1"/>
  <c r="AH3931" i="1"/>
  <c r="AH3929" i="1"/>
  <c r="AH3928" i="1"/>
  <c r="AH3926" i="1"/>
  <c r="AH3925" i="1"/>
  <c r="AH3924" i="1"/>
  <c r="AH3923" i="1"/>
  <c r="AH3922" i="1"/>
  <c r="AH3921" i="1"/>
  <c r="AH3920" i="1"/>
  <c r="AH3919" i="1"/>
  <c r="AH3918" i="1"/>
  <c r="AH3917" i="1"/>
  <c r="AH3916" i="1"/>
  <c r="AH3915" i="1"/>
  <c r="AH3914" i="1"/>
  <c r="AH3913" i="1"/>
  <c r="AH3912" i="1"/>
  <c r="AH3911" i="1"/>
  <c r="AH3910" i="1"/>
  <c r="AH3909" i="1"/>
  <c r="AH3908" i="1"/>
  <c r="AH3907" i="1"/>
  <c r="AH3906" i="1"/>
  <c r="AH3905" i="1"/>
  <c r="AH3904" i="1"/>
  <c r="AH3903" i="1"/>
  <c r="AH3902" i="1"/>
  <c r="AH3901" i="1"/>
  <c r="AH3900" i="1"/>
  <c r="AH3899" i="1"/>
  <c r="AH3898" i="1"/>
  <c r="AH3897" i="1"/>
  <c r="AH3896" i="1"/>
  <c r="AH3895" i="1"/>
  <c r="AH3894" i="1"/>
  <c r="AH3893" i="1"/>
  <c r="AH3892" i="1"/>
  <c r="AH3891" i="1"/>
  <c r="AH3890" i="1"/>
  <c r="AH3889" i="1"/>
  <c r="AH3888" i="1"/>
  <c r="AH3887" i="1"/>
  <c r="AH3886" i="1"/>
  <c r="AH3885" i="1"/>
  <c r="AH3884" i="1"/>
  <c r="AH3883" i="1"/>
  <c r="AH3882" i="1"/>
  <c r="AH3881" i="1"/>
  <c r="AH3880" i="1"/>
  <c r="AH3879" i="1"/>
  <c r="AH3878" i="1"/>
  <c r="AH3877" i="1"/>
  <c r="AH3876" i="1"/>
  <c r="AH3875" i="1"/>
  <c r="AH3874" i="1"/>
  <c r="AH3873" i="1"/>
  <c r="AH3872" i="1"/>
  <c r="AH3871" i="1"/>
  <c r="AH3870" i="1"/>
  <c r="AH3869" i="1"/>
  <c r="AH3868" i="1"/>
  <c r="AH3867" i="1"/>
  <c r="AH3866" i="1"/>
  <c r="AH3865" i="1"/>
  <c r="AH3864" i="1"/>
  <c r="AH3863" i="1"/>
  <c r="AH3862" i="1"/>
  <c r="AH3861" i="1"/>
  <c r="AH3860" i="1"/>
  <c r="AH3859" i="1"/>
  <c r="AH3858" i="1"/>
  <c r="AH3857" i="1"/>
  <c r="AH3856" i="1"/>
  <c r="AH3855" i="1"/>
  <c r="AH3854" i="1"/>
  <c r="AH3853" i="1"/>
  <c r="AH3852" i="1"/>
  <c r="AH3851" i="1"/>
  <c r="AH3850" i="1"/>
  <c r="AH3849" i="1"/>
  <c r="AH3848" i="1"/>
  <c r="AH3847" i="1"/>
  <c r="AH3846" i="1"/>
  <c r="AH3845" i="1"/>
  <c r="AH3844" i="1"/>
  <c r="AH3843" i="1"/>
  <c r="AH3842" i="1"/>
  <c r="AH3841" i="1"/>
  <c r="AH3840" i="1"/>
  <c r="AH3839" i="1"/>
  <c r="AH3838" i="1"/>
  <c r="AH3837" i="1"/>
  <c r="AH3836" i="1"/>
  <c r="AH3835" i="1"/>
  <c r="AH3834" i="1"/>
  <c r="AH3833" i="1"/>
  <c r="AH3832" i="1"/>
  <c r="AH3831" i="1"/>
  <c r="AH3830" i="1"/>
  <c r="AH3829" i="1"/>
  <c r="AH3828" i="1"/>
  <c r="AH3827" i="1"/>
  <c r="AH3826" i="1"/>
  <c r="AH3825" i="1"/>
  <c r="AH3824" i="1"/>
  <c r="AH3823" i="1"/>
  <c r="AH3822" i="1"/>
  <c r="AH3821" i="1"/>
  <c r="AH3820" i="1"/>
  <c r="AH3819" i="1"/>
  <c r="AH3818" i="1"/>
  <c r="AH3817" i="1"/>
  <c r="AH3816" i="1"/>
  <c r="AH3815" i="1"/>
  <c r="AH3814" i="1"/>
  <c r="AH3813" i="1"/>
  <c r="AH3812" i="1"/>
  <c r="AH3811" i="1"/>
  <c r="AH3810" i="1"/>
  <c r="AH3809" i="1"/>
  <c r="AH3808" i="1"/>
  <c r="AH3807" i="1"/>
  <c r="AH3806" i="1"/>
  <c r="AH3805" i="1"/>
  <c r="AH3804" i="1"/>
  <c r="AH3803" i="1"/>
  <c r="AH3802" i="1"/>
  <c r="AH3801" i="1"/>
  <c r="AH3800" i="1"/>
  <c r="AH3799" i="1"/>
  <c r="AH3798" i="1"/>
  <c r="AH3797" i="1"/>
  <c r="AH3796" i="1"/>
  <c r="AH3795" i="1"/>
  <c r="AH3794" i="1"/>
  <c r="AH3793" i="1"/>
  <c r="AH3792" i="1"/>
  <c r="AH3791" i="1"/>
  <c r="AH3790" i="1"/>
  <c r="AH3789" i="1"/>
  <c r="AH3788" i="1"/>
  <c r="AH3787" i="1"/>
  <c r="AH3786" i="1"/>
  <c r="AH3785" i="1"/>
  <c r="AH3784" i="1"/>
  <c r="AH3783" i="1"/>
  <c r="AH3782" i="1"/>
  <c r="AH3781" i="1"/>
  <c r="AH3780" i="1"/>
  <c r="AH3779" i="1"/>
  <c r="AH3778" i="1"/>
  <c r="AH3777" i="1"/>
  <c r="AH3776" i="1"/>
  <c r="AH3775" i="1"/>
  <c r="AH3774" i="1"/>
  <c r="AH3773" i="1"/>
  <c r="AH3772" i="1"/>
  <c r="AH3771" i="1"/>
  <c r="AH3770" i="1"/>
  <c r="AH3769" i="1"/>
  <c r="AH3768" i="1"/>
  <c r="AH3767" i="1"/>
  <c r="AH3766" i="1"/>
  <c r="AH3765" i="1"/>
  <c r="AH3764" i="1"/>
  <c r="AH3763" i="1"/>
  <c r="AH3762" i="1"/>
  <c r="AH3761" i="1"/>
  <c r="AH3760" i="1"/>
  <c r="AH3759" i="1"/>
  <c r="AH3758" i="1"/>
  <c r="AH3757" i="1"/>
  <c r="AH3756" i="1"/>
  <c r="AH3755" i="1"/>
  <c r="AH3754" i="1"/>
  <c r="AH3753" i="1"/>
  <c r="AH3752" i="1"/>
  <c r="AH3751" i="1"/>
  <c r="AH3750" i="1"/>
  <c r="AH3749" i="1"/>
  <c r="AH3748" i="1"/>
  <c r="AH3747" i="1"/>
  <c r="AH3746" i="1"/>
  <c r="AH3745" i="1"/>
  <c r="AH3744" i="1"/>
  <c r="AH3743" i="1"/>
  <c r="AH3742" i="1"/>
  <c r="AH3741" i="1"/>
  <c r="AH3740" i="1"/>
  <c r="AH3739" i="1"/>
  <c r="AH3738" i="1"/>
  <c r="AH3737" i="1"/>
  <c r="AH3736" i="1"/>
  <c r="AH3735" i="1"/>
  <c r="AH3734" i="1"/>
  <c r="AH3733" i="1"/>
  <c r="AH3732" i="1"/>
  <c r="AH3731" i="1"/>
  <c r="AH3730" i="1"/>
  <c r="AH3729" i="1"/>
  <c r="AH3728" i="1"/>
  <c r="AH3727" i="1"/>
  <c r="AH3726" i="1"/>
  <c r="AH3725" i="1"/>
  <c r="AH3724" i="1"/>
  <c r="AH3723" i="1"/>
  <c r="AH3722" i="1"/>
  <c r="AH3721" i="1"/>
  <c r="AH3720" i="1"/>
  <c r="AH3719" i="1"/>
  <c r="AH3718" i="1"/>
  <c r="AH3717" i="1"/>
  <c r="AH3716" i="1"/>
  <c r="AH3715" i="1"/>
  <c r="AH3714" i="1"/>
  <c r="AH3713" i="1"/>
  <c r="AH3712" i="1"/>
  <c r="AH3711" i="1"/>
  <c r="AH3710" i="1"/>
  <c r="AH3709" i="1"/>
  <c r="AH3708" i="1"/>
  <c r="AH3707" i="1"/>
  <c r="AH3706" i="1"/>
  <c r="AH3705" i="1"/>
  <c r="AH3704" i="1"/>
  <c r="AH3703" i="1"/>
  <c r="AH3702" i="1"/>
  <c r="AH3701" i="1"/>
  <c r="AH3700" i="1"/>
  <c r="AH3699" i="1"/>
  <c r="AH3698" i="1"/>
  <c r="AH3697" i="1"/>
  <c r="AH3695" i="1"/>
  <c r="AH3694" i="1"/>
  <c r="AH3693" i="1"/>
  <c r="AH3692" i="1"/>
  <c r="AH3691" i="1"/>
  <c r="AH3690" i="1"/>
  <c r="AH3689" i="1"/>
  <c r="AH3688" i="1"/>
  <c r="AH3687" i="1"/>
  <c r="AH3686" i="1"/>
  <c r="AH3685" i="1"/>
  <c r="AH3684" i="1"/>
  <c r="AH3683" i="1"/>
  <c r="AH3682" i="1"/>
  <c r="AH3681" i="1"/>
  <c r="AH3680" i="1"/>
  <c r="AH3679" i="1"/>
  <c r="AH3678" i="1"/>
  <c r="AH3677" i="1"/>
  <c r="AH3676" i="1"/>
  <c r="AH3675" i="1"/>
  <c r="AH3674" i="1"/>
  <c r="AH3673" i="1"/>
  <c r="AH3672" i="1"/>
  <c r="AH3671" i="1"/>
  <c r="AH3670" i="1"/>
  <c r="AH3669" i="1"/>
  <c r="AH3668" i="1"/>
  <c r="AH3667" i="1"/>
  <c r="AH3666" i="1"/>
  <c r="AH3665" i="1"/>
  <c r="AH3664" i="1"/>
  <c r="AH3663" i="1"/>
  <c r="AH3662" i="1"/>
  <c r="AH3661" i="1"/>
  <c r="AH3660" i="1"/>
  <c r="AH3659" i="1"/>
  <c r="AH3658" i="1"/>
  <c r="AH3657" i="1"/>
  <c r="AH3656" i="1"/>
  <c r="AH3655" i="1"/>
  <c r="AH3654" i="1"/>
  <c r="AH3653" i="1"/>
  <c r="AH3652" i="1"/>
  <c r="AH3651" i="1"/>
  <c r="AH3650" i="1"/>
  <c r="AH3649" i="1"/>
  <c r="AH3648" i="1"/>
  <c r="AH3647" i="1"/>
  <c r="AH3646" i="1"/>
  <c r="AH3645" i="1"/>
  <c r="AH3644" i="1"/>
  <c r="AH3643" i="1"/>
  <c r="AH3642" i="1"/>
  <c r="AH3641" i="1"/>
  <c r="AH3640" i="1"/>
  <c r="AH3639" i="1"/>
  <c r="AH3638" i="1"/>
  <c r="AH3637" i="1"/>
  <c r="AH3636" i="1"/>
  <c r="AH3635" i="1"/>
  <c r="AH3634" i="1"/>
  <c r="AH3633" i="1"/>
  <c r="AH3632" i="1"/>
  <c r="AH3631" i="1"/>
  <c r="AH3630" i="1"/>
  <c r="AH3629" i="1"/>
  <c r="AH3628" i="1"/>
  <c r="AH3627" i="1"/>
  <c r="AH3626" i="1"/>
  <c r="AH3625" i="1"/>
  <c r="AH3624" i="1"/>
  <c r="AH3623" i="1"/>
  <c r="AH3622" i="1"/>
  <c r="AH3621" i="1"/>
  <c r="AH3620" i="1"/>
  <c r="AH3619" i="1"/>
  <c r="AH3618" i="1"/>
  <c r="AH3617" i="1"/>
  <c r="AH3616" i="1"/>
  <c r="AH3615" i="1"/>
  <c r="AH3614" i="1"/>
  <c r="AH3613" i="1"/>
  <c r="AH3612" i="1"/>
  <c r="AH3611" i="1"/>
  <c r="AH3610" i="1"/>
  <c r="AH3609" i="1"/>
  <c r="AH3608" i="1"/>
  <c r="AH3607" i="1"/>
  <c r="AH3606" i="1"/>
  <c r="AH3605" i="1"/>
  <c r="AH3604" i="1"/>
  <c r="AH3603" i="1"/>
  <c r="AH3602" i="1"/>
  <c r="AH3601" i="1"/>
  <c r="AH3600" i="1"/>
  <c r="AH3599" i="1"/>
  <c r="AH3598" i="1"/>
  <c r="AH3597" i="1"/>
  <c r="AH3596" i="1"/>
  <c r="AH3595" i="1"/>
  <c r="AH3594" i="1"/>
  <c r="AH3593" i="1"/>
  <c r="AH3592" i="1"/>
  <c r="AH3591" i="1"/>
  <c r="AH3590" i="1"/>
  <c r="AH3589" i="1"/>
  <c r="AH3588" i="1"/>
  <c r="AH3587" i="1"/>
  <c r="AH3586" i="1"/>
  <c r="AH3585" i="1"/>
  <c r="AH3584" i="1"/>
  <c r="AH3583" i="1"/>
  <c r="AH3582" i="1"/>
  <c r="AH3581" i="1"/>
  <c r="AH3580" i="1"/>
  <c r="AH3579" i="1"/>
  <c r="AH3578" i="1"/>
  <c r="AH3577" i="1"/>
  <c r="AH3576" i="1"/>
  <c r="AH3575" i="1"/>
  <c r="AH3574" i="1"/>
  <c r="AH3573" i="1"/>
  <c r="AH3572" i="1"/>
  <c r="AH3571" i="1"/>
  <c r="AH3570" i="1"/>
  <c r="AH3569" i="1"/>
  <c r="AH3568" i="1"/>
  <c r="AH3567" i="1"/>
  <c r="AH3566" i="1"/>
  <c r="AH3565" i="1"/>
  <c r="AH3564" i="1"/>
  <c r="AH3563" i="1"/>
  <c r="AH3562" i="1"/>
  <c r="AH3561" i="1"/>
  <c r="AH3560" i="1"/>
  <c r="AH3559" i="1"/>
  <c r="AH3558" i="1"/>
  <c r="AH3557" i="1"/>
  <c r="AH3556" i="1"/>
  <c r="AH3555" i="1"/>
  <c r="AH3554" i="1"/>
  <c r="AH3553" i="1"/>
  <c r="AH3552" i="1"/>
  <c r="AH3551" i="1"/>
  <c r="AH3550" i="1"/>
  <c r="AH3549" i="1"/>
  <c r="AH3548" i="1"/>
  <c r="AH3547" i="1"/>
  <c r="AH3546" i="1"/>
  <c r="AH3545" i="1"/>
  <c r="AH3544" i="1"/>
  <c r="AH3543" i="1"/>
  <c r="AH3542" i="1"/>
  <c r="AH3541" i="1"/>
  <c r="AH3540" i="1"/>
  <c r="AH3539" i="1"/>
  <c r="AH3538" i="1"/>
  <c r="AH3537" i="1"/>
  <c r="AH3536" i="1"/>
  <c r="AH3535" i="1"/>
  <c r="AH3534" i="1"/>
  <c r="AH3533" i="1"/>
  <c r="AH3532" i="1"/>
  <c r="AH3531" i="1"/>
  <c r="AH3530" i="1"/>
  <c r="AH3529" i="1"/>
  <c r="AH3528" i="1"/>
  <c r="AH3527" i="1"/>
  <c r="AH3526" i="1"/>
  <c r="AH3525" i="1"/>
  <c r="AH3524" i="1"/>
  <c r="AH3523" i="1"/>
  <c r="AH3522" i="1"/>
  <c r="AH3521" i="1"/>
  <c r="AH3520" i="1"/>
  <c r="AH3519" i="1"/>
  <c r="AH3518" i="1"/>
  <c r="AH3517" i="1"/>
  <c r="AH3516" i="1"/>
  <c r="AH3515" i="1"/>
  <c r="AH3514" i="1"/>
  <c r="AH3513" i="1"/>
  <c r="AH3512" i="1"/>
  <c r="AH3511" i="1"/>
  <c r="AH3510" i="1"/>
  <c r="AH3509" i="1"/>
  <c r="AH3508" i="1"/>
  <c r="AH3507" i="1"/>
  <c r="AH3506" i="1"/>
  <c r="AH3505" i="1"/>
  <c r="AH3504" i="1"/>
  <c r="AH3503" i="1"/>
  <c r="AH3502" i="1"/>
  <c r="AH3501" i="1"/>
  <c r="AH3500" i="1"/>
  <c r="AH3499" i="1"/>
  <c r="AH3498" i="1"/>
  <c r="AH3497" i="1"/>
  <c r="AH3496" i="1"/>
  <c r="AH3495" i="1"/>
  <c r="AH3494" i="1"/>
  <c r="AH3493" i="1"/>
  <c r="AH3492" i="1"/>
  <c r="AH3491" i="1"/>
  <c r="AH3490" i="1"/>
  <c r="AH3489" i="1"/>
  <c r="AH3488" i="1"/>
  <c r="AH3487" i="1"/>
  <c r="AH3486" i="1"/>
  <c r="AH3485" i="1"/>
  <c r="AH3484" i="1"/>
  <c r="AH3483" i="1"/>
  <c r="AH3482" i="1"/>
  <c r="AH3481" i="1"/>
  <c r="AH3480" i="1"/>
  <c r="AH3479" i="1"/>
  <c r="AH3478" i="1"/>
  <c r="AH3477" i="1"/>
  <c r="AH3476" i="1"/>
  <c r="AH3475" i="1"/>
  <c r="AH3474" i="1"/>
  <c r="AH3473" i="1"/>
  <c r="AH3472" i="1"/>
  <c r="AH3471" i="1"/>
  <c r="AH3470" i="1"/>
  <c r="AH3469" i="1"/>
  <c r="AH3468" i="1"/>
  <c r="AH3467" i="1"/>
  <c r="AH3466" i="1"/>
  <c r="AH3465" i="1"/>
  <c r="AH3464" i="1"/>
  <c r="AH3463" i="1"/>
  <c r="AH3462" i="1"/>
  <c r="AH3461" i="1"/>
  <c r="AH3460" i="1"/>
  <c r="AH3459" i="1"/>
  <c r="AH3458" i="1"/>
  <c r="AH3457" i="1"/>
  <c r="AH3456" i="1"/>
  <c r="AH3455" i="1"/>
  <c r="AH3454" i="1"/>
  <c r="AH3453" i="1"/>
  <c r="AH3452" i="1"/>
  <c r="AH3451" i="1"/>
  <c r="AH3450" i="1"/>
  <c r="AH3449" i="1"/>
  <c r="AH3448" i="1"/>
  <c r="AH3447" i="1"/>
  <c r="AH3446" i="1"/>
  <c r="AH3445" i="1"/>
  <c r="AH3444" i="1"/>
  <c r="AH3443" i="1"/>
  <c r="AH3442" i="1"/>
  <c r="AH3441" i="1"/>
  <c r="AH3440" i="1"/>
  <c r="AH3439" i="1"/>
  <c r="AH3438" i="1"/>
  <c r="AH3437" i="1"/>
  <c r="AH3436" i="1"/>
  <c r="AH3435" i="1"/>
  <c r="AH3434" i="1"/>
  <c r="AH3433" i="1"/>
  <c r="AH3432" i="1"/>
  <c r="AH3431" i="1"/>
  <c r="AH3430" i="1"/>
  <c r="AH3429" i="1"/>
  <c r="AH3428" i="1"/>
  <c r="AH3427" i="1"/>
  <c r="AH3426" i="1"/>
  <c r="AH3425" i="1"/>
  <c r="AH3424" i="1"/>
  <c r="AH3423" i="1"/>
  <c r="AH3422" i="1"/>
  <c r="AH3421" i="1"/>
  <c r="AH3420" i="1"/>
  <c r="AH3419" i="1"/>
  <c r="AH3418" i="1"/>
  <c r="AH3417" i="1"/>
  <c r="AH3416" i="1"/>
  <c r="AH3415" i="1"/>
  <c r="AH3414" i="1"/>
  <c r="AH3413" i="1"/>
  <c r="AH3412" i="1"/>
  <c r="AH3411" i="1"/>
  <c r="AH3410" i="1"/>
  <c r="AH3409" i="1"/>
  <c r="AH3408" i="1"/>
  <c r="AH3407" i="1"/>
  <c r="AH3406" i="1"/>
  <c r="AH3405" i="1"/>
  <c r="AH3404" i="1"/>
  <c r="AH3403" i="1"/>
  <c r="AH3402" i="1"/>
  <c r="AH3401" i="1"/>
  <c r="AH3400" i="1"/>
  <c r="AH3399" i="1"/>
  <c r="AH3398" i="1"/>
  <c r="AH3397" i="1"/>
  <c r="AH3396" i="1"/>
  <c r="AH3395" i="1"/>
  <c r="AH3394" i="1"/>
  <c r="AH3393" i="1"/>
  <c r="AH3392" i="1"/>
  <c r="AH3391" i="1"/>
  <c r="AH3390" i="1"/>
  <c r="AH3389" i="1"/>
  <c r="AH3388" i="1"/>
  <c r="AH3387" i="1"/>
  <c r="AH3386" i="1"/>
  <c r="AH3385" i="1"/>
  <c r="AH3384" i="1"/>
  <c r="AH3383" i="1"/>
  <c r="AH3382" i="1"/>
  <c r="AH3381" i="1"/>
  <c r="AH3380" i="1"/>
  <c r="AH3379" i="1"/>
  <c r="AH3378" i="1"/>
  <c r="AH3377" i="1"/>
  <c r="AH3376" i="1"/>
  <c r="AH3375" i="1"/>
  <c r="AH3374" i="1"/>
  <c r="AH3373" i="1"/>
  <c r="AH3372" i="1"/>
  <c r="AH3371" i="1"/>
  <c r="AH3370" i="1"/>
  <c r="AH3369" i="1"/>
  <c r="AH3368" i="1"/>
  <c r="AH3367" i="1"/>
  <c r="AH3366" i="1"/>
  <c r="AH3365" i="1"/>
  <c r="AH3364" i="1"/>
  <c r="AH3363" i="1"/>
  <c r="AH3362" i="1"/>
  <c r="AH3361" i="1"/>
  <c r="AH3360" i="1"/>
  <c r="AH3359" i="1"/>
  <c r="AH3358" i="1"/>
  <c r="AH3357" i="1"/>
  <c r="AH3356" i="1"/>
  <c r="AH3355" i="1"/>
  <c r="AH3354" i="1"/>
  <c r="AH3353" i="1"/>
  <c r="AH3352" i="1"/>
  <c r="AH3351" i="1"/>
  <c r="AH3350" i="1"/>
  <c r="AG3350" i="1"/>
  <c r="AH3349" i="1"/>
  <c r="AH3348" i="1"/>
  <c r="AH3347" i="1"/>
  <c r="AH3346" i="1"/>
  <c r="AH3345" i="1"/>
  <c r="AH3344" i="1"/>
  <c r="AH3343" i="1"/>
  <c r="AH3342" i="1"/>
  <c r="AH3341" i="1"/>
  <c r="AH3340" i="1"/>
  <c r="AH3339" i="1"/>
  <c r="AH3338" i="1"/>
  <c r="AG3338" i="1"/>
  <c r="AH3337" i="1"/>
  <c r="AG3337" i="1"/>
  <c r="AH3336" i="1"/>
  <c r="AG3336" i="1"/>
  <c r="AH3335" i="1"/>
  <c r="AH3334" i="1"/>
  <c r="AH3333" i="1"/>
  <c r="AH3332" i="1"/>
  <c r="AH3331" i="1"/>
  <c r="AH3330" i="1"/>
  <c r="AH3329" i="1"/>
  <c r="AH3328" i="1"/>
  <c r="AG3328" i="1"/>
  <c r="AH3327" i="1"/>
  <c r="AH3326" i="1"/>
  <c r="AH3325" i="1"/>
  <c r="AH3324" i="1"/>
  <c r="AH3323" i="1"/>
  <c r="AG3323" i="1"/>
  <c r="AH3322" i="1"/>
  <c r="AH3321" i="1"/>
  <c r="AH3320" i="1"/>
  <c r="AH3319" i="1"/>
  <c r="AG3319" i="1"/>
  <c r="AH3318" i="1"/>
  <c r="AH3317" i="1"/>
  <c r="AG3317" i="1"/>
  <c r="AH3316" i="1"/>
  <c r="AH3315" i="1"/>
  <c r="AG3315" i="1"/>
  <c r="AH3314" i="1"/>
  <c r="AH3313" i="1"/>
  <c r="AH3312" i="1"/>
  <c r="AH3311" i="1"/>
  <c r="AH3310" i="1"/>
  <c r="AH3309" i="1"/>
  <c r="AH3308" i="1"/>
  <c r="AG3308" i="1"/>
  <c r="AH3307" i="1"/>
  <c r="AG3307" i="1"/>
  <c r="AH3306" i="1"/>
  <c r="AH3305" i="1"/>
  <c r="AG3305" i="1"/>
  <c r="AH3304" i="1"/>
  <c r="AH3303" i="1"/>
  <c r="AH3302" i="1"/>
  <c r="AG3302" i="1"/>
  <c r="AH3301" i="1"/>
  <c r="AG3301" i="1"/>
  <c r="AH3300" i="1"/>
  <c r="AG3300" i="1"/>
  <c r="AH3299" i="1"/>
  <c r="AG3299" i="1"/>
  <c r="AH3298" i="1"/>
  <c r="AG3298" i="1"/>
  <c r="AH3297" i="1"/>
  <c r="AG3297" i="1"/>
  <c r="AH3296" i="1"/>
  <c r="AH3295" i="1"/>
  <c r="AH3294" i="1"/>
  <c r="AH3293" i="1"/>
  <c r="AG3293" i="1"/>
  <c r="AH3292" i="1"/>
  <c r="AG3292" i="1"/>
  <c r="AH3291" i="1"/>
  <c r="AH3290" i="1"/>
  <c r="AH3289" i="1"/>
  <c r="AG3289" i="1"/>
  <c r="AH3288" i="1"/>
  <c r="AG3288" i="1"/>
  <c r="AH3287" i="1"/>
  <c r="AG3287" i="1"/>
  <c r="AH3286" i="1"/>
  <c r="AG3286" i="1"/>
  <c r="AH3285" i="1"/>
  <c r="AG3285" i="1"/>
  <c r="AH3284" i="1"/>
  <c r="AG3284" i="1"/>
  <c r="AH3283" i="1"/>
  <c r="AG3283" i="1"/>
  <c r="AH3282" i="1"/>
  <c r="AG3282" i="1"/>
  <c r="AH3281" i="1"/>
  <c r="AG3281" i="1"/>
  <c r="AH3280" i="1"/>
  <c r="AG3280" i="1"/>
  <c r="AH3279" i="1"/>
  <c r="AG3279" i="1"/>
  <c r="AH3278" i="1"/>
  <c r="AG3278" i="1"/>
  <c r="AH3277" i="1"/>
  <c r="AG3277" i="1"/>
  <c r="AH3276" i="1"/>
  <c r="AG3276" i="1"/>
  <c r="AH3275" i="1"/>
  <c r="AH3274" i="1"/>
  <c r="AG3274" i="1"/>
  <c r="AH3273" i="1"/>
  <c r="AG3273" i="1"/>
  <c r="AH3272" i="1"/>
  <c r="AG3272" i="1"/>
  <c r="AH3271" i="1"/>
  <c r="AG3271" i="1"/>
  <c r="AH3270" i="1"/>
  <c r="AG3270" i="1"/>
  <c r="AH3269" i="1"/>
  <c r="AG3269" i="1"/>
  <c r="AH3268" i="1"/>
  <c r="AG3268" i="1"/>
  <c r="AH3264" i="1"/>
  <c r="AG3264" i="1"/>
  <c r="AH3263" i="1"/>
  <c r="AG3263" i="1"/>
  <c r="AH3261" i="1"/>
  <c r="AG3261" i="1"/>
  <c r="AH3260" i="1"/>
  <c r="AG3260" i="1"/>
  <c r="AH3259" i="1"/>
  <c r="AG3259" i="1"/>
  <c r="AH3258" i="1"/>
  <c r="AG3258" i="1"/>
  <c r="AH3257" i="1"/>
  <c r="AG3257" i="1"/>
  <c r="AH3256" i="1"/>
  <c r="AH3255" i="1"/>
  <c r="AG3255" i="1"/>
  <c r="AH3254" i="1"/>
  <c r="AG3254" i="1"/>
  <c r="AH3253" i="1"/>
  <c r="AG3253" i="1"/>
  <c r="AH3252" i="1"/>
  <c r="AH3251" i="1"/>
  <c r="AG3251" i="1"/>
  <c r="AH3250" i="1"/>
  <c r="AG3250" i="1"/>
  <c r="AH3249" i="1"/>
  <c r="AG3249" i="1"/>
  <c r="AH3248" i="1"/>
  <c r="AG3248" i="1"/>
  <c r="AH3247" i="1"/>
  <c r="AG3247" i="1"/>
  <c r="AH3246" i="1"/>
  <c r="AG3246" i="1"/>
  <c r="AH3245" i="1"/>
  <c r="AG3245" i="1"/>
  <c r="AH3244" i="1"/>
  <c r="AG3244" i="1"/>
  <c r="AH3243" i="1"/>
  <c r="AG3243" i="1"/>
  <c r="AH3242" i="1"/>
  <c r="AG3242" i="1"/>
  <c r="AH3241" i="1"/>
  <c r="AG3241" i="1"/>
  <c r="AH3240" i="1"/>
  <c r="AG3240" i="1"/>
  <c r="AH3239" i="1"/>
  <c r="AG3239" i="1"/>
  <c r="AH3238" i="1"/>
  <c r="AG3238" i="1"/>
  <c r="AH3237" i="1"/>
  <c r="AG3237" i="1"/>
  <c r="AH3236" i="1"/>
  <c r="AG3236" i="1"/>
  <c r="AH3235" i="1"/>
  <c r="AG3235" i="1"/>
  <c r="AH3234" i="1"/>
  <c r="AG3234" i="1"/>
  <c r="AH3233" i="1"/>
  <c r="AG3233" i="1"/>
  <c r="AH3232" i="1"/>
  <c r="AH3231" i="1"/>
  <c r="AG3231" i="1"/>
  <c r="AH3230" i="1"/>
  <c r="AG3230" i="1"/>
  <c r="AH3229" i="1"/>
  <c r="AG3229" i="1"/>
  <c r="AH3228" i="1"/>
  <c r="AG3228" i="1"/>
  <c r="AH3227" i="1"/>
  <c r="AG3227" i="1"/>
  <c r="AH3226" i="1"/>
  <c r="AG3226" i="1"/>
  <c r="AH3225" i="1"/>
  <c r="AG3225" i="1"/>
  <c r="AH3224" i="1"/>
  <c r="AG3224" i="1"/>
  <c r="AH3223" i="1"/>
  <c r="AG3223" i="1"/>
  <c r="AH3222" i="1"/>
  <c r="AG3222" i="1"/>
  <c r="AH3221" i="1"/>
  <c r="AG3221" i="1"/>
  <c r="AH3220" i="1"/>
  <c r="AG3220" i="1"/>
  <c r="AH3219" i="1"/>
  <c r="AG3219" i="1"/>
  <c r="AH3218" i="1"/>
  <c r="AG3218" i="1"/>
  <c r="AH3217" i="1"/>
  <c r="AG3217" i="1"/>
  <c r="AH3216" i="1"/>
  <c r="AG3216" i="1"/>
  <c r="AH3215" i="1"/>
  <c r="AG3215" i="1"/>
  <c r="AH3214" i="1"/>
  <c r="AG3214" i="1"/>
  <c r="AH3213" i="1"/>
  <c r="AG3213" i="1"/>
  <c r="AH3212" i="1"/>
  <c r="AG3212" i="1"/>
  <c r="AH3211" i="1"/>
  <c r="AG3211" i="1"/>
  <c r="AH3210" i="1"/>
  <c r="AG3210" i="1"/>
  <c r="AH3209" i="1"/>
  <c r="AG3209" i="1"/>
  <c r="AH3208" i="1"/>
  <c r="AG3208" i="1"/>
  <c r="AH3207" i="1"/>
  <c r="AG3207" i="1"/>
  <c r="AH3206" i="1"/>
  <c r="AG3206" i="1"/>
  <c r="AH3205" i="1"/>
  <c r="AG3205" i="1"/>
  <c r="AH3204" i="1"/>
  <c r="AG3204" i="1"/>
  <c r="AH3203" i="1"/>
  <c r="AG3203" i="1"/>
  <c r="AH3202" i="1"/>
  <c r="AG3202" i="1"/>
  <c r="AH3201" i="1"/>
  <c r="AG3201" i="1"/>
  <c r="AH3200" i="1"/>
  <c r="AG3200" i="1"/>
  <c r="AH3199" i="1"/>
  <c r="AG3199" i="1"/>
  <c r="AH3198" i="1"/>
  <c r="AG3198" i="1"/>
  <c r="AH3197" i="1"/>
  <c r="AG3197" i="1"/>
  <c r="AH3196" i="1"/>
  <c r="AG3196" i="1"/>
  <c r="AH3195" i="1"/>
  <c r="AG3195" i="1"/>
  <c r="AH3194" i="1"/>
  <c r="AG3194" i="1"/>
  <c r="AH3193" i="1"/>
  <c r="AG3193" i="1"/>
  <c r="AH3192" i="1"/>
  <c r="AG3192" i="1"/>
  <c r="AH3191" i="1"/>
  <c r="AG3191" i="1"/>
  <c r="AH3190" i="1"/>
  <c r="AG3190" i="1"/>
  <c r="AH3189" i="1"/>
  <c r="AG3189" i="1"/>
  <c r="AH3188" i="1"/>
  <c r="AG3188" i="1"/>
  <c r="AH3187" i="1"/>
  <c r="AG3187" i="1"/>
  <c r="AH3185" i="1"/>
  <c r="AG3185" i="1"/>
  <c r="AH3184" i="1"/>
  <c r="AG3184" i="1"/>
  <c r="AH3183" i="1"/>
  <c r="AG3183" i="1"/>
  <c r="AH3182" i="1"/>
  <c r="AG3182" i="1"/>
  <c r="AH3181" i="1"/>
  <c r="AG3181" i="1"/>
  <c r="AH3180" i="1"/>
  <c r="AG3180" i="1"/>
  <c r="AH3179" i="1"/>
  <c r="AG3179" i="1"/>
  <c r="AH3178" i="1"/>
  <c r="AG3178" i="1"/>
  <c r="AH3177" i="1"/>
  <c r="AG3177" i="1"/>
  <c r="AH3176" i="1"/>
  <c r="AG3176" i="1"/>
  <c r="AH3175" i="1"/>
  <c r="AG3175" i="1"/>
  <c r="AH3174" i="1"/>
  <c r="AG3174" i="1"/>
  <c r="AH3173" i="1"/>
  <c r="AG3173" i="1"/>
  <c r="AH3172" i="1"/>
  <c r="AG3172" i="1"/>
  <c r="AH3171" i="1"/>
  <c r="AG3171" i="1"/>
  <c r="AH3170" i="1"/>
  <c r="AG3170" i="1"/>
  <c r="AH3169" i="1"/>
  <c r="AG3169" i="1"/>
  <c r="AH3168" i="1"/>
  <c r="AG3168" i="1"/>
  <c r="AH3167" i="1"/>
  <c r="AG3167" i="1"/>
  <c r="AH3166" i="1"/>
  <c r="AG3166" i="1"/>
  <c r="AH3165" i="1"/>
  <c r="AG3165" i="1"/>
  <c r="AH3164" i="1"/>
  <c r="AG3164" i="1"/>
  <c r="AH3163" i="1"/>
  <c r="AG3163" i="1"/>
  <c r="AH3162" i="1"/>
  <c r="AG3162" i="1"/>
  <c r="AH3161" i="1"/>
  <c r="AG3161" i="1"/>
  <c r="AH3160" i="1"/>
  <c r="AG3160" i="1"/>
  <c r="AH3159" i="1"/>
  <c r="AG3159" i="1"/>
  <c r="AH3158" i="1"/>
  <c r="AG3158" i="1"/>
  <c r="AH3157" i="1"/>
  <c r="AG3157" i="1"/>
  <c r="AH3156" i="1"/>
  <c r="AG3156" i="1"/>
  <c r="AH3155" i="1"/>
  <c r="AG3155" i="1"/>
  <c r="AH3154" i="1"/>
  <c r="AG3154" i="1"/>
  <c r="AH3153" i="1"/>
  <c r="AG3153" i="1"/>
  <c r="AH3152" i="1"/>
  <c r="AG3152" i="1"/>
  <c r="AH3151" i="1"/>
  <c r="AG3151" i="1"/>
  <c r="AH3150" i="1"/>
  <c r="AG3150" i="1"/>
  <c r="AH3149" i="1"/>
  <c r="AG3149" i="1"/>
  <c r="AH3148" i="1"/>
  <c r="AG3148" i="1"/>
  <c r="AH3147" i="1"/>
  <c r="AG3147" i="1"/>
  <c r="AH3146" i="1"/>
  <c r="AG3146" i="1"/>
  <c r="AH3145" i="1"/>
  <c r="AG3145" i="1"/>
  <c r="AH3144" i="1"/>
  <c r="AG3144" i="1"/>
  <c r="AH3142" i="1"/>
  <c r="AG3142" i="1"/>
  <c r="AH3141" i="1"/>
  <c r="AG3141" i="1"/>
  <c r="AH3140" i="1"/>
  <c r="AG3140" i="1"/>
  <c r="AH3139" i="1"/>
  <c r="AG3139" i="1"/>
  <c r="AH3138" i="1"/>
  <c r="AG3138" i="1"/>
  <c r="AH3137" i="1"/>
  <c r="AG3137" i="1"/>
  <c r="AH3136" i="1"/>
  <c r="AG3136" i="1"/>
  <c r="AH3135" i="1"/>
  <c r="AG3135" i="1"/>
  <c r="AH3134" i="1"/>
  <c r="AG3134" i="1"/>
  <c r="AH3133" i="1"/>
  <c r="AG3133" i="1"/>
  <c r="AH3132" i="1"/>
  <c r="AG3132" i="1"/>
  <c r="AH3131" i="1"/>
  <c r="AG3131" i="1"/>
  <c r="AH3130" i="1"/>
  <c r="AG3130" i="1"/>
  <c r="AH3129" i="1"/>
  <c r="AG3129" i="1"/>
  <c r="AH3128" i="1"/>
  <c r="AG3128" i="1"/>
  <c r="AH3127" i="1"/>
  <c r="AG3127" i="1"/>
  <c r="AH3126" i="1"/>
  <c r="AG3126" i="1"/>
  <c r="AH3125" i="1"/>
  <c r="AG3125" i="1"/>
  <c r="AH3124" i="1"/>
  <c r="AG3124" i="1"/>
  <c r="AH3123" i="1"/>
  <c r="AG3123" i="1"/>
  <c r="AH3122" i="1"/>
  <c r="AG3122" i="1"/>
  <c r="AH3121" i="1"/>
  <c r="AG3121" i="1"/>
  <c r="AH3120" i="1"/>
  <c r="AG3120" i="1"/>
  <c r="AH3119" i="1"/>
  <c r="AG3119" i="1"/>
  <c r="AH3118" i="1"/>
  <c r="AG3118" i="1"/>
  <c r="AH3117" i="1"/>
  <c r="AG3117" i="1"/>
  <c r="AH3116" i="1"/>
  <c r="AG3116" i="1"/>
  <c r="AH3115" i="1"/>
  <c r="AG3115" i="1"/>
  <c r="AH3114" i="1"/>
  <c r="AG3114" i="1"/>
  <c r="AH3113" i="1"/>
  <c r="AG3113" i="1"/>
  <c r="AH3112" i="1"/>
  <c r="AG3112" i="1"/>
  <c r="AH3111" i="1"/>
  <c r="AG3111" i="1"/>
  <c r="AH3110" i="1"/>
  <c r="AG3110" i="1"/>
  <c r="AH3109" i="1"/>
  <c r="AG3109" i="1"/>
  <c r="AH3108" i="1"/>
  <c r="AG3108" i="1"/>
  <c r="AH3107" i="1"/>
  <c r="AG3107" i="1"/>
  <c r="AH3106" i="1"/>
  <c r="AG3106" i="1"/>
  <c r="AH3105" i="1"/>
  <c r="AG3105" i="1"/>
  <c r="AH3104" i="1"/>
  <c r="AG3104" i="1"/>
  <c r="AH3103" i="1"/>
  <c r="AG3103" i="1"/>
  <c r="AH3102" i="1"/>
  <c r="AG3102" i="1"/>
  <c r="AH3101" i="1"/>
  <c r="AG3101" i="1"/>
  <c r="AH3100" i="1"/>
  <c r="AG3100" i="1"/>
  <c r="AH3099" i="1"/>
  <c r="AG3099" i="1"/>
  <c r="AH3098" i="1"/>
  <c r="AG3098" i="1"/>
  <c r="AH3097" i="1"/>
  <c r="AG3097" i="1"/>
  <c r="AH3096" i="1"/>
  <c r="AG3096" i="1"/>
  <c r="AH3095" i="1"/>
  <c r="AG3095" i="1"/>
  <c r="AH3094" i="1"/>
  <c r="AG3094" i="1"/>
  <c r="AH3093" i="1"/>
  <c r="AG3093" i="1"/>
  <c r="AH3092" i="1"/>
  <c r="AG3092" i="1"/>
  <c r="AH3091" i="1"/>
  <c r="AG3091" i="1"/>
  <c r="AH3090" i="1"/>
  <c r="AG3090" i="1"/>
  <c r="AH3089" i="1"/>
  <c r="AG3089" i="1"/>
  <c r="AH3088" i="1"/>
  <c r="AG3088" i="1"/>
  <c r="AH3087" i="1"/>
  <c r="AG3087" i="1"/>
  <c r="AH3086" i="1"/>
  <c r="AG3086" i="1"/>
  <c r="AH3085" i="1"/>
  <c r="AG3085" i="1"/>
  <c r="AH3084" i="1"/>
  <c r="AG3084" i="1"/>
  <c r="AH3083" i="1"/>
  <c r="AG3083" i="1"/>
  <c r="AH3082" i="1"/>
  <c r="AG3082" i="1"/>
  <c r="AH3081" i="1"/>
  <c r="AG3081" i="1"/>
  <c r="AH3080" i="1"/>
  <c r="AG3080" i="1"/>
  <c r="AH3079" i="1"/>
  <c r="AG3079" i="1"/>
  <c r="AH3078" i="1"/>
  <c r="AG3078" i="1"/>
  <c r="AH3077" i="1"/>
  <c r="AG3077" i="1"/>
  <c r="AH3076" i="1"/>
  <c r="AG3076" i="1"/>
  <c r="AH3075" i="1"/>
  <c r="AG3075" i="1"/>
  <c r="AH3074" i="1"/>
  <c r="AG3074" i="1"/>
  <c r="AH3073" i="1"/>
  <c r="AG3073" i="1"/>
  <c r="AH3072" i="1"/>
  <c r="AG3072" i="1"/>
  <c r="AH3071" i="1"/>
  <c r="AG3071" i="1"/>
  <c r="AH3070" i="1"/>
  <c r="AG3070" i="1"/>
  <c r="AH3069" i="1"/>
  <c r="AG3069" i="1"/>
  <c r="AH3068" i="1"/>
  <c r="AG3068" i="1"/>
  <c r="AH3067" i="1"/>
  <c r="AG3067" i="1"/>
  <c r="AH3066" i="1"/>
  <c r="AG3066" i="1"/>
  <c r="AH3065" i="1"/>
  <c r="AG3065" i="1"/>
  <c r="AH3064" i="1"/>
  <c r="AG3064" i="1"/>
  <c r="AH3063" i="1"/>
  <c r="AG3063" i="1"/>
  <c r="AH3062" i="1"/>
  <c r="AG3062" i="1"/>
  <c r="AH3061" i="1"/>
  <c r="AG3061" i="1"/>
  <c r="AH3060" i="1"/>
  <c r="AG3060" i="1"/>
  <c r="AH3059" i="1"/>
  <c r="AG3059" i="1"/>
  <c r="AH3058" i="1"/>
  <c r="AG3058" i="1"/>
  <c r="AH3057" i="1"/>
  <c r="AG3057" i="1"/>
  <c r="AH3056" i="1"/>
  <c r="AG3056" i="1"/>
  <c r="AH3055" i="1"/>
  <c r="AG3055" i="1"/>
  <c r="AH3054" i="1"/>
  <c r="AG3054" i="1"/>
  <c r="AH3053" i="1"/>
  <c r="AG3053" i="1"/>
  <c r="AH3052" i="1"/>
  <c r="AG3052" i="1"/>
  <c r="AH3051" i="1"/>
  <c r="AG3051" i="1"/>
  <c r="AH3050" i="1"/>
  <c r="AG3050" i="1"/>
  <c r="AH3049" i="1"/>
  <c r="AG3049" i="1"/>
  <c r="AH3048" i="1"/>
  <c r="AG3048" i="1"/>
  <c r="AH3047" i="1"/>
  <c r="AG3047" i="1"/>
  <c r="AH3046" i="1"/>
  <c r="AG3046" i="1"/>
  <c r="AH3045" i="1"/>
  <c r="AG3045" i="1"/>
  <c r="AH3044" i="1"/>
  <c r="AG3044" i="1"/>
  <c r="AH3043" i="1"/>
  <c r="AG3043" i="1"/>
  <c r="AH3042" i="1"/>
  <c r="AG3042" i="1"/>
  <c r="AH3041" i="1"/>
  <c r="AG3041" i="1"/>
  <c r="AH3040" i="1"/>
  <c r="AG3040" i="1"/>
  <c r="AH3039" i="1"/>
  <c r="AG3039" i="1"/>
  <c r="AH3038" i="1"/>
  <c r="AG3038" i="1"/>
  <c r="AH3037" i="1"/>
  <c r="AG3037" i="1"/>
  <c r="AH3036" i="1"/>
  <c r="AG3036" i="1"/>
  <c r="AH3035" i="1"/>
  <c r="AG3035" i="1"/>
  <c r="AH3034" i="1"/>
  <c r="AG3034" i="1"/>
  <c r="AH3033" i="1"/>
  <c r="AG3033" i="1"/>
  <c r="AH3032" i="1"/>
  <c r="AG3032" i="1"/>
  <c r="AH3031" i="1"/>
  <c r="AG3031" i="1"/>
  <c r="AH3030" i="1"/>
  <c r="AG3030" i="1"/>
  <c r="AH3029" i="1"/>
  <c r="AG3029" i="1"/>
  <c r="AH3028" i="1"/>
  <c r="AG3028" i="1"/>
  <c r="AH3027" i="1"/>
  <c r="AG3027" i="1"/>
  <c r="AH3026" i="1"/>
  <c r="AG3026" i="1"/>
  <c r="AH3025" i="1"/>
  <c r="AG3025" i="1"/>
  <c r="AH3024" i="1"/>
  <c r="AG3024" i="1"/>
  <c r="AH3023" i="1"/>
  <c r="AG3023" i="1"/>
  <c r="AH3022" i="1"/>
  <c r="AG3022" i="1"/>
  <c r="AH3021" i="1"/>
  <c r="AG3021" i="1"/>
  <c r="AH3020" i="1"/>
  <c r="AG3020" i="1"/>
  <c r="AH3019" i="1"/>
  <c r="AG3019" i="1"/>
  <c r="AH3018" i="1"/>
  <c r="AG3018" i="1"/>
  <c r="AH3017" i="1"/>
  <c r="AG3017" i="1"/>
  <c r="AH3016" i="1"/>
  <c r="AG3016" i="1"/>
  <c r="AH3015" i="1"/>
  <c r="AG3015" i="1"/>
  <c r="AH3014" i="1"/>
  <c r="AG3014" i="1"/>
  <c r="AH3013" i="1"/>
  <c r="AG3013" i="1"/>
  <c r="AH3012" i="1"/>
  <c r="AG3012" i="1"/>
  <c r="AH3011" i="1"/>
  <c r="AG3011" i="1"/>
  <c r="AH3010" i="1"/>
  <c r="AG3010" i="1"/>
  <c r="AH3009" i="1"/>
  <c r="AG3009" i="1"/>
  <c r="AH3008" i="1"/>
  <c r="AG3008" i="1"/>
  <c r="AH3007" i="1"/>
  <c r="AG3007" i="1"/>
  <c r="AH3006" i="1"/>
  <c r="AG3006" i="1"/>
  <c r="AH3005" i="1"/>
  <c r="AG3005" i="1"/>
  <c r="AH3004" i="1"/>
  <c r="AG3004" i="1"/>
  <c r="AH3003" i="1"/>
  <c r="AG3003" i="1"/>
  <c r="AH3002" i="1"/>
  <c r="AG3002" i="1"/>
  <c r="AH3001" i="1"/>
  <c r="AG3001" i="1"/>
  <c r="AH3000" i="1"/>
  <c r="AG3000" i="1"/>
  <c r="AH2999" i="1"/>
  <c r="AG2999" i="1"/>
  <c r="AH2998" i="1"/>
  <c r="AG2998" i="1"/>
  <c r="AH2997" i="1"/>
  <c r="AG2997" i="1"/>
  <c r="AH2996" i="1"/>
  <c r="AG2996" i="1"/>
  <c r="AH2995" i="1"/>
  <c r="AG2995" i="1"/>
  <c r="AH2994" i="1"/>
  <c r="AG2994" i="1"/>
  <c r="AH2993" i="1"/>
  <c r="AG2993" i="1"/>
  <c r="AH2992" i="1"/>
  <c r="AG2992" i="1"/>
  <c r="AH2991" i="1"/>
  <c r="AG2991" i="1"/>
  <c r="AH2990" i="1"/>
  <c r="AG2990" i="1"/>
  <c r="AH2989" i="1"/>
  <c r="AG2989" i="1"/>
  <c r="AH2988" i="1"/>
  <c r="AG2988" i="1"/>
  <c r="AH2987" i="1"/>
  <c r="AG2987" i="1"/>
  <c r="AH2986" i="1"/>
  <c r="AG2986" i="1"/>
  <c r="AH2985" i="1"/>
  <c r="AG2985" i="1"/>
  <c r="AH2984" i="1"/>
  <c r="AG2984" i="1"/>
  <c r="AH2983" i="1"/>
  <c r="AG2983" i="1"/>
  <c r="AH2982" i="1"/>
  <c r="AG2982" i="1"/>
  <c r="AH2981" i="1"/>
  <c r="AG2981" i="1"/>
  <c r="AH2980" i="1"/>
  <c r="AG2980" i="1"/>
  <c r="AH2979" i="1"/>
  <c r="AG2979" i="1"/>
  <c r="AH2978" i="1"/>
  <c r="AG2978" i="1"/>
  <c r="AH2977" i="1"/>
  <c r="AG2977" i="1"/>
  <c r="AH2976" i="1"/>
  <c r="AG2976" i="1"/>
  <c r="AH2975" i="1"/>
  <c r="AG2975" i="1"/>
  <c r="AH2974" i="1"/>
  <c r="AG2974" i="1"/>
  <c r="AH2973" i="1"/>
  <c r="AG2973" i="1"/>
  <c r="AH2972" i="1"/>
  <c r="AG2972" i="1"/>
  <c r="AH2971" i="1"/>
  <c r="AG2971" i="1"/>
  <c r="AH2970" i="1"/>
  <c r="AG2970" i="1"/>
  <c r="AH2969" i="1"/>
  <c r="AG2969" i="1"/>
  <c r="AH2968" i="1"/>
  <c r="AG2968" i="1"/>
  <c r="AH2967" i="1"/>
  <c r="AG2967" i="1"/>
  <c r="AH2966" i="1"/>
  <c r="AG2966" i="1"/>
  <c r="AH2965" i="1"/>
  <c r="AG2965" i="1"/>
  <c r="AH2964" i="1"/>
  <c r="AG2964" i="1"/>
  <c r="AH2963" i="1"/>
  <c r="AG2963" i="1"/>
  <c r="AH2962" i="1"/>
  <c r="AG2962" i="1"/>
  <c r="AH2961" i="1"/>
  <c r="AG2961" i="1"/>
  <c r="AH2960" i="1"/>
  <c r="AG2960" i="1"/>
  <c r="AH2959" i="1"/>
  <c r="AG2959" i="1"/>
  <c r="AH2958" i="1"/>
  <c r="AG2958" i="1"/>
  <c r="AH2957" i="1"/>
  <c r="AG2957" i="1"/>
  <c r="AH2956" i="1"/>
  <c r="AG2956" i="1"/>
  <c r="AH2955" i="1"/>
  <c r="AG2955" i="1"/>
  <c r="AH2954" i="1"/>
  <c r="AG2954" i="1"/>
  <c r="AH2953" i="1"/>
  <c r="AG2953" i="1"/>
  <c r="AH2952" i="1"/>
  <c r="AG2952" i="1"/>
  <c r="AH2951" i="1"/>
  <c r="AG2951" i="1"/>
  <c r="AH2950" i="1"/>
  <c r="AG2950" i="1"/>
  <c r="AH2949" i="1"/>
  <c r="AG2949" i="1"/>
  <c r="AH2948" i="1"/>
  <c r="AG2948" i="1"/>
  <c r="AH2947" i="1"/>
  <c r="AG2947" i="1"/>
  <c r="AH2946" i="1"/>
  <c r="AG2946" i="1"/>
  <c r="AH2945" i="1"/>
  <c r="AG2945" i="1"/>
  <c r="AH2944" i="1"/>
  <c r="AG2944" i="1"/>
  <c r="AH2943" i="1"/>
  <c r="AG2943" i="1"/>
  <c r="AH2942" i="1"/>
  <c r="AG2942" i="1"/>
  <c r="AH2941" i="1"/>
  <c r="AG2941" i="1"/>
  <c r="AH2940" i="1"/>
  <c r="AG2940" i="1"/>
  <c r="AH2939" i="1"/>
  <c r="AG2939" i="1"/>
  <c r="AH2938" i="1"/>
  <c r="AG2938" i="1"/>
  <c r="AH2937" i="1"/>
  <c r="AG2937" i="1"/>
  <c r="AH2936" i="1"/>
  <c r="AG2936" i="1"/>
  <c r="AH2935" i="1"/>
  <c r="AG2935" i="1"/>
  <c r="AH2934" i="1"/>
  <c r="AG2934" i="1"/>
  <c r="AH2933" i="1"/>
  <c r="AG2933" i="1"/>
  <c r="AH2932" i="1"/>
  <c r="AG2932" i="1"/>
  <c r="AH2931" i="1"/>
  <c r="AG2931" i="1"/>
  <c r="AH2930" i="1"/>
  <c r="AH2929" i="1"/>
  <c r="AG2929" i="1"/>
  <c r="AH2928" i="1"/>
  <c r="AG2928" i="1"/>
  <c r="AH2927" i="1"/>
  <c r="AG2927" i="1"/>
  <c r="AH2926" i="1"/>
  <c r="AG2926" i="1"/>
  <c r="AH2925" i="1"/>
  <c r="AG2925" i="1"/>
  <c r="AH2924" i="1"/>
  <c r="AG2924" i="1"/>
  <c r="AH2923" i="1"/>
  <c r="AG2923" i="1"/>
  <c r="AH2922" i="1"/>
  <c r="AG2922" i="1"/>
  <c r="AH2921" i="1"/>
  <c r="AG2921" i="1"/>
  <c r="AH2920" i="1"/>
  <c r="AG2920" i="1"/>
  <c r="AH2919" i="1"/>
  <c r="AG2919" i="1"/>
  <c r="AH2918" i="1"/>
  <c r="AG2918" i="1"/>
  <c r="AH2917" i="1"/>
  <c r="AG2917" i="1"/>
  <c r="AH2916" i="1"/>
  <c r="AG2916" i="1"/>
  <c r="AH2915" i="1"/>
  <c r="AG2915" i="1"/>
  <c r="AH2914" i="1"/>
  <c r="AG2914" i="1"/>
  <c r="AH2913" i="1"/>
  <c r="AG2913" i="1"/>
  <c r="AH2912" i="1"/>
  <c r="AG2912" i="1"/>
  <c r="AH2911" i="1"/>
  <c r="AG2911" i="1"/>
  <c r="AH2910" i="1"/>
  <c r="AG2910" i="1"/>
  <c r="AH2909" i="1"/>
  <c r="AG2909" i="1"/>
  <c r="AH2908" i="1"/>
  <c r="AG2908" i="1"/>
  <c r="AH2907" i="1"/>
  <c r="AG2907" i="1"/>
  <c r="AH2906" i="1"/>
  <c r="AG2906" i="1"/>
  <c r="AH2905" i="1"/>
  <c r="AG2905" i="1"/>
  <c r="AH2904" i="1"/>
  <c r="AG2904" i="1"/>
  <c r="AH2903" i="1"/>
  <c r="AG2903" i="1"/>
  <c r="AH2902" i="1"/>
  <c r="AG2902" i="1"/>
  <c r="AH2901" i="1"/>
  <c r="AG2901" i="1"/>
  <c r="AH2900" i="1"/>
  <c r="AG2900" i="1"/>
  <c r="AH2899" i="1"/>
  <c r="AG2899" i="1"/>
  <c r="AH2898" i="1"/>
  <c r="AG2898" i="1"/>
  <c r="AH2897" i="1"/>
  <c r="AG2897" i="1"/>
  <c r="AH2896" i="1"/>
  <c r="AG2896" i="1"/>
  <c r="AH2895" i="1"/>
  <c r="AG2895" i="1"/>
  <c r="AH2894" i="1"/>
  <c r="AG2894" i="1"/>
  <c r="AH2893" i="1"/>
  <c r="AG2893" i="1"/>
  <c r="AH2892" i="1"/>
  <c r="AG2892" i="1"/>
  <c r="AH2891" i="1"/>
  <c r="AG2891" i="1"/>
  <c r="AH2890" i="1"/>
  <c r="AG2890" i="1"/>
  <c r="AH2889" i="1"/>
  <c r="AG2889" i="1"/>
  <c r="AH2888" i="1"/>
  <c r="AG2888" i="1"/>
  <c r="AH2887" i="1"/>
  <c r="AG2887" i="1"/>
  <c r="AH2886" i="1"/>
  <c r="AG2886" i="1"/>
  <c r="AH2885" i="1"/>
  <c r="AG2885" i="1"/>
  <c r="AH2884" i="1"/>
  <c r="AG2884" i="1"/>
  <c r="AH2883" i="1"/>
  <c r="AG2883" i="1"/>
  <c r="AH2882" i="1"/>
  <c r="AG2882" i="1"/>
  <c r="AH2881" i="1"/>
  <c r="AG2881" i="1"/>
  <c r="AH2880" i="1"/>
  <c r="AG2880" i="1"/>
  <c r="AH2879" i="1"/>
  <c r="AG2879" i="1"/>
  <c r="AH2878" i="1"/>
  <c r="AG2878" i="1"/>
  <c r="AH2877" i="1"/>
  <c r="AG2877" i="1"/>
  <c r="AH2876" i="1"/>
  <c r="AG2876" i="1"/>
  <c r="AH2875" i="1"/>
  <c r="AG2875" i="1"/>
  <c r="AH2874" i="1"/>
  <c r="AG2874" i="1"/>
  <c r="AH2873" i="1"/>
  <c r="AG2873" i="1"/>
  <c r="AH2872" i="1"/>
  <c r="AG2872" i="1"/>
  <c r="AH2871" i="1"/>
  <c r="AG2871" i="1"/>
  <c r="AH2870" i="1"/>
  <c r="AG2870" i="1"/>
  <c r="AH2869" i="1"/>
  <c r="AG2869" i="1"/>
  <c r="AH2868" i="1"/>
  <c r="AG2868" i="1"/>
  <c r="AH2867" i="1"/>
  <c r="AG2867" i="1"/>
  <c r="AH2866" i="1"/>
  <c r="AG2866" i="1"/>
  <c r="AH2865" i="1"/>
  <c r="AG2865" i="1"/>
  <c r="AH2864" i="1"/>
  <c r="AG2864" i="1"/>
  <c r="AH2863" i="1"/>
  <c r="AG2863" i="1"/>
  <c r="AH2862" i="1"/>
  <c r="AG2862" i="1"/>
  <c r="AH2861" i="1"/>
  <c r="AG2861" i="1"/>
  <c r="AH2860" i="1"/>
  <c r="AG2860" i="1"/>
  <c r="AH2859" i="1"/>
  <c r="AG2859" i="1"/>
  <c r="AH2858" i="1"/>
  <c r="AG2858" i="1"/>
  <c r="AH2857" i="1"/>
  <c r="AG2857" i="1"/>
  <c r="AH2856" i="1"/>
  <c r="AG2856" i="1"/>
  <c r="AH2855" i="1"/>
  <c r="AH2854" i="1"/>
  <c r="AG2854" i="1"/>
  <c r="AH2853" i="1"/>
  <c r="AG2853" i="1"/>
  <c r="AH2852" i="1"/>
  <c r="AG2852" i="1"/>
  <c r="AH2851" i="1"/>
  <c r="AG2851" i="1"/>
  <c r="AH2850" i="1"/>
  <c r="AG2850" i="1"/>
  <c r="AH2847" i="1"/>
  <c r="AG2847" i="1"/>
  <c r="AH2846" i="1"/>
  <c r="AG2846" i="1"/>
  <c r="AH2845" i="1"/>
  <c r="AG2845" i="1"/>
  <c r="AH2844" i="1"/>
  <c r="AG2844" i="1"/>
  <c r="AH2843" i="1"/>
  <c r="AG2843" i="1"/>
  <c r="AH2842" i="1"/>
  <c r="AG2842" i="1"/>
  <c r="AH2841" i="1"/>
  <c r="AG2841" i="1"/>
  <c r="AH2840" i="1"/>
  <c r="AG2840" i="1"/>
  <c r="AH2839" i="1"/>
  <c r="AG2839" i="1"/>
  <c r="AH2838" i="1"/>
  <c r="AG2838" i="1"/>
  <c r="AH2837" i="1"/>
  <c r="AG2837" i="1"/>
  <c r="AH2836" i="1"/>
  <c r="AG2836" i="1"/>
  <c r="AH2835" i="1"/>
  <c r="AG2835" i="1"/>
  <c r="AH2834" i="1"/>
  <c r="AG2834" i="1"/>
  <c r="AH2833" i="1"/>
  <c r="AG2833" i="1"/>
  <c r="AH2832" i="1"/>
  <c r="AG2832" i="1"/>
  <c r="AH2831" i="1"/>
  <c r="AG2831" i="1"/>
  <c r="AH2830" i="1"/>
  <c r="AG2830" i="1"/>
  <c r="AH2829" i="1"/>
  <c r="AG2829" i="1"/>
  <c r="AH2828" i="1"/>
  <c r="AG2828" i="1"/>
  <c r="AH2827" i="1"/>
  <c r="AG2827" i="1"/>
  <c r="AH2826" i="1"/>
  <c r="AG2826" i="1"/>
  <c r="AH2825" i="1"/>
  <c r="AG2825" i="1"/>
  <c r="AH2824" i="1"/>
  <c r="AG2824" i="1"/>
  <c r="AH2823" i="1"/>
  <c r="AG2823" i="1"/>
  <c r="AH2822" i="1"/>
  <c r="AG2822" i="1"/>
  <c r="AH2821" i="1"/>
  <c r="AG2821" i="1"/>
  <c r="AH2820" i="1"/>
  <c r="AG2820" i="1"/>
  <c r="AH2819" i="1"/>
  <c r="AG2819" i="1"/>
  <c r="AH2818" i="1"/>
  <c r="AG2818" i="1"/>
  <c r="AH2817" i="1"/>
  <c r="AG2817" i="1"/>
  <c r="AH2816" i="1"/>
  <c r="AG2816" i="1"/>
  <c r="AH2815" i="1"/>
  <c r="AG2815" i="1"/>
  <c r="AH2814" i="1"/>
  <c r="AG2814" i="1"/>
  <c r="AH2813" i="1"/>
  <c r="AG2813" i="1"/>
  <c r="AH2812" i="1"/>
  <c r="AG2812" i="1"/>
  <c r="AH2811" i="1"/>
  <c r="AG2811" i="1"/>
  <c r="AH2810" i="1"/>
  <c r="AG2810" i="1"/>
  <c r="AH2809" i="1"/>
  <c r="AG2809" i="1"/>
  <c r="AH2808" i="1"/>
  <c r="AG2808" i="1"/>
  <c r="AH2807" i="1"/>
  <c r="AG2807" i="1"/>
  <c r="AH2806" i="1"/>
  <c r="AG2806" i="1"/>
  <c r="AH2805" i="1"/>
  <c r="AG2805" i="1"/>
  <c r="AH2804" i="1"/>
  <c r="AG2804" i="1"/>
  <c r="AH2803" i="1"/>
  <c r="AG2803" i="1"/>
  <c r="AH2802" i="1"/>
  <c r="AG2802" i="1"/>
  <c r="AH2801" i="1"/>
  <c r="AG2801" i="1"/>
  <c r="AH2800" i="1"/>
  <c r="AG2800" i="1"/>
  <c r="AH2799" i="1"/>
  <c r="AG2799" i="1"/>
  <c r="AH2798" i="1"/>
  <c r="AG2798" i="1"/>
  <c r="AH2797" i="1"/>
  <c r="AG2797" i="1"/>
  <c r="AH2796" i="1"/>
  <c r="AG2796" i="1"/>
  <c r="AH2795" i="1"/>
  <c r="AG2795" i="1"/>
  <c r="AH2794" i="1"/>
  <c r="AG2794" i="1"/>
  <c r="AH2793" i="1"/>
  <c r="AG2793" i="1"/>
  <c r="AH2792" i="1"/>
  <c r="AG2792" i="1"/>
  <c r="AH2791" i="1"/>
  <c r="AG2791" i="1"/>
  <c r="AH2790" i="1"/>
  <c r="AG2790" i="1"/>
  <c r="AH2789" i="1"/>
  <c r="AG2789" i="1"/>
  <c r="AH2788" i="1"/>
  <c r="AG2788" i="1"/>
  <c r="AH2787" i="1"/>
  <c r="AG2787" i="1"/>
  <c r="AH2786" i="1"/>
  <c r="AG2786" i="1"/>
  <c r="AH2785" i="1"/>
  <c r="AG2785" i="1"/>
  <c r="AH2784" i="1"/>
  <c r="AH2783" i="1"/>
  <c r="AG2783" i="1"/>
  <c r="AH2782" i="1"/>
  <c r="AG2782" i="1"/>
  <c r="AH2781" i="1"/>
  <c r="AG2781" i="1"/>
  <c r="AH2780" i="1"/>
  <c r="AG2780" i="1"/>
  <c r="AH2779" i="1"/>
  <c r="AG2779" i="1"/>
  <c r="AH2778" i="1"/>
  <c r="AG2778" i="1"/>
  <c r="AH2777" i="1"/>
  <c r="AG2777" i="1"/>
  <c r="AH2776" i="1"/>
  <c r="AG2776" i="1"/>
  <c r="AH2775" i="1"/>
  <c r="AH2774" i="1"/>
  <c r="AG2774" i="1"/>
  <c r="AH2773" i="1"/>
  <c r="AG2773" i="1"/>
  <c r="AH2772" i="1"/>
  <c r="AG2772" i="1"/>
  <c r="AH2771" i="1"/>
  <c r="AG2771" i="1"/>
  <c r="AH2770" i="1"/>
  <c r="AG2770" i="1"/>
  <c r="AH2769" i="1"/>
  <c r="AG2769" i="1"/>
  <c r="AH2768" i="1"/>
  <c r="AG2768" i="1"/>
  <c r="AH2767" i="1"/>
  <c r="AG2767" i="1"/>
  <c r="AH2766" i="1"/>
  <c r="AG2766" i="1"/>
  <c r="AH2765" i="1"/>
  <c r="AG2765" i="1"/>
  <c r="AH2764" i="1"/>
  <c r="AG2764" i="1"/>
  <c r="AH2763" i="1"/>
  <c r="AG2763" i="1"/>
  <c r="AH2762" i="1"/>
  <c r="AG2762" i="1"/>
  <c r="AH2761" i="1"/>
  <c r="AG2761" i="1"/>
  <c r="AH2760" i="1"/>
  <c r="AG2760" i="1"/>
  <c r="AH2759" i="1"/>
  <c r="AG2759" i="1"/>
  <c r="AH2758" i="1"/>
  <c r="AG2758" i="1"/>
  <c r="AH2757" i="1"/>
  <c r="AG2757" i="1"/>
  <c r="AH2756" i="1"/>
  <c r="AG2756" i="1"/>
  <c r="AH2755" i="1"/>
  <c r="AG2755" i="1"/>
  <c r="AH2754" i="1"/>
  <c r="AG2754" i="1"/>
  <c r="AH2753" i="1"/>
  <c r="AG2753" i="1"/>
  <c r="AH2752" i="1"/>
  <c r="AG2752" i="1"/>
  <c r="AH2751" i="1"/>
  <c r="AG2751" i="1"/>
  <c r="AH2750" i="1"/>
  <c r="AG2750" i="1"/>
  <c r="AH2749" i="1"/>
  <c r="AG2749" i="1"/>
  <c r="AH2748" i="1"/>
  <c r="AG2748" i="1"/>
  <c r="AH2747" i="1"/>
  <c r="AG2747" i="1"/>
  <c r="AH2746" i="1"/>
  <c r="AG2746" i="1"/>
  <c r="AH2745" i="1"/>
  <c r="AG2745" i="1"/>
  <c r="AH2744" i="1"/>
  <c r="AG2744" i="1"/>
  <c r="AH2743" i="1"/>
  <c r="AG2743" i="1"/>
  <c r="AH2742" i="1"/>
  <c r="AG2742" i="1"/>
  <c r="AH2741" i="1"/>
  <c r="AG2741" i="1"/>
  <c r="AH2740" i="1"/>
  <c r="AG2740" i="1"/>
  <c r="AH2739" i="1"/>
  <c r="AG2739" i="1"/>
  <c r="AH2738" i="1"/>
  <c r="AG2738" i="1"/>
  <c r="AH2737" i="1"/>
  <c r="AG2737" i="1"/>
  <c r="AH2736" i="1"/>
  <c r="AG2736" i="1"/>
  <c r="AH2735" i="1"/>
  <c r="AG2735" i="1"/>
  <c r="AH2734" i="1"/>
  <c r="AG2734" i="1"/>
  <c r="AH2733" i="1"/>
  <c r="AG2733" i="1"/>
  <c r="AH2732" i="1"/>
  <c r="AG2732" i="1"/>
  <c r="AH2731" i="1"/>
  <c r="AG2731" i="1"/>
  <c r="AH2730" i="1"/>
  <c r="AG2730" i="1"/>
  <c r="AH2729" i="1"/>
  <c r="AG2729" i="1"/>
  <c r="AH2728" i="1"/>
  <c r="AG2728" i="1"/>
  <c r="AH2727" i="1"/>
  <c r="AG2727" i="1"/>
  <c r="AH2726" i="1"/>
  <c r="AG2726" i="1"/>
  <c r="AH2725" i="1"/>
  <c r="AG2725" i="1"/>
  <c r="AH2724" i="1"/>
  <c r="AG2724" i="1"/>
  <c r="AH2723" i="1"/>
  <c r="AG2723" i="1"/>
  <c r="AH2722" i="1"/>
  <c r="AG2722" i="1"/>
  <c r="AH2721" i="1"/>
  <c r="AG2721" i="1"/>
  <c r="AH2720" i="1"/>
  <c r="AG2720" i="1"/>
  <c r="AH2719" i="1"/>
  <c r="AG2719" i="1"/>
  <c r="AH2718" i="1"/>
  <c r="AG2718" i="1"/>
  <c r="AH2717" i="1"/>
  <c r="AG2717" i="1"/>
  <c r="AH2716" i="1"/>
  <c r="AG2716" i="1"/>
  <c r="AH2715" i="1"/>
  <c r="AG2715" i="1"/>
  <c r="AH2714" i="1"/>
  <c r="AG2714" i="1"/>
  <c r="AH2713" i="1"/>
  <c r="AG2713" i="1"/>
  <c r="AH2712" i="1"/>
  <c r="AG2712" i="1"/>
  <c r="AH2711" i="1"/>
  <c r="AG2711" i="1"/>
  <c r="AH2710" i="1"/>
  <c r="AG2710" i="1"/>
  <c r="AH2709" i="1"/>
  <c r="AG2709" i="1"/>
  <c r="AH2708" i="1"/>
  <c r="AG2708" i="1"/>
  <c r="AH2707" i="1"/>
  <c r="AG2707" i="1"/>
  <c r="AH2706" i="1"/>
  <c r="AG2706" i="1"/>
  <c r="AH2705" i="1"/>
  <c r="AG2705" i="1"/>
  <c r="AH2704" i="1"/>
  <c r="AG2704" i="1"/>
  <c r="AH2703" i="1"/>
  <c r="AG2703" i="1"/>
  <c r="AH2702" i="1"/>
  <c r="AG2702" i="1"/>
  <c r="AH2701" i="1"/>
  <c r="AG2701" i="1"/>
  <c r="AH2700" i="1"/>
  <c r="AG2700" i="1"/>
  <c r="AH2699" i="1"/>
  <c r="AG2699" i="1"/>
  <c r="AH2698" i="1"/>
  <c r="AG2698" i="1"/>
  <c r="AH2697" i="1"/>
  <c r="AG2697" i="1"/>
  <c r="AH2696" i="1"/>
  <c r="AG2696" i="1"/>
  <c r="AH2695" i="1"/>
  <c r="AG2695" i="1"/>
  <c r="AH2694" i="1"/>
  <c r="AG2694" i="1"/>
  <c r="AH2693" i="1"/>
  <c r="AG2693" i="1"/>
  <c r="AH2692" i="1"/>
  <c r="AG2692" i="1"/>
  <c r="AH2691" i="1"/>
  <c r="AG2691" i="1"/>
  <c r="AH2690" i="1"/>
  <c r="AG2690" i="1"/>
  <c r="AH2689" i="1"/>
  <c r="AG2689" i="1"/>
  <c r="AH2688" i="1"/>
  <c r="AG2688" i="1"/>
  <c r="AH2687" i="1"/>
  <c r="AG2687" i="1"/>
  <c r="AH2686" i="1"/>
  <c r="AG2686" i="1"/>
  <c r="AH2685" i="1"/>
  <c r="AG2685" i="1"/>
  <c r="AH2684" i="1"/>
  <c r="AG2684" i="1"/>
  <c r="AH2683" i="1"/>
  <c r="AG2683" i="1"/>
  <c r="AH2682" i="1"/>
  <c r="AG2682" i="1"/>
  <c r="AH2681" i="1"/>
  <c r="AG2681" i="1"/>
  <c r="AH2680" i="1"/>
  <c r="AG2680" i="1"/>
  <c r="AH2679" i="1"/>
  <c r="AG2679" i="1"/>
  <c r="AH2678" i="1"/>
  <c r="AG2678" i="1"/>
  <c r="AH2677" i="1"/>
  <c r="AG2677" i="1"/>
  <c r="AH2676" i="1"/>
  <c r="AG2676" i="1"/>
  <c r="AH2675" i="1"/>
  <c r="AG2675" i="1"/>
  <c r="AH2674" i="1"/>
  <c r="AG2674" i="1"/>
  <c r="AH2673" i="1"/>
  <c r="AG2673" i="1"/>
  <c r="AH2672" i="1"/>
  <c r="AG2672" i="1"/>
  <c r="AH2671" i="1"/>
  <c r="AG2671" i="1"/>
  <c r="AH2670" i="1"/>
  <c r="AG2670" i="1"/>
  <c r="AH2669" i="1"/>
  <c r="AG2669" i="1"/>
  <c r="AH2668" i="1"/>
  <c r="AG2668" i="1"/>
  <c r="AH2667" i="1"/>
  <c r="AG2667" i="1"/>
  <c r="AH2666" i="1"/>
  <c r="AG2666" i="1"/>
  <c r="AH2665" i="1"/>
  <c r="AG2665" i="1"/>
  <c r="AH2664" i="1"/>
  <c r="AG2664" i="1"/>
  <c r="AH2663" i="1"/>
  <c r="AG2663" i="1"/>
  <c r="AH2662" i="1"/>
  <c r="AG2662" i="1"/>
  <c r="AH2661" i="1"/>
  <c r="AG2661" i="1"/>
  <c r="AH2660" i="1"/>
  <c r="AG2660" i="1"/>
  <c r="AH2659" i="1"/>
  <c r="AG2659" i="1"/>
  <c r="AH2658" i="1"/>
  <c r="AG2658" i="1"/>
  <c r="AH2657" i="1"/>
  <c r="AG2657" i="1"/>
  <c r="AH2656" i="1"/>
  <c r="AG2656" i="1"/>
  <c r="AH2655" i="1"/>
  <c r="AG2655" i="1"/>
  <c r="AH2654" i="1"/>
  <c r="AG2654" i="1"/>
  <c r="AH2653" i="1"/>
  <c r="AG2653" i="1"/>
  <c r="AH2652" i="1"/>
  <c r="AG2652" i="1"/>
  <c r="AH2651" i="1"/>
  <c r="AG2651" i="1"/>
  <c r="AH2650" i="1"/>
  <c r="AG2650" i="1"/>
  <c r="AH2649" i="1"/>
  <c r="AG2649" i="1"/>
  <c r="AH2648" i="1"/>
  <c r="AG2648" i="1"/>
  <c r="AH2647" i="1"/>
  <c r="AG2647" i="1"/>
  <c r="AH2646" i="1"/>
  <c r="AG2646" i="1"/>
  <c r="AH2645" i="1"/>
  <c r="AG2645" i="1"/>
  <c r="AH2644" i="1"/>
  <c r="AG2644" i="1"/>
  <c r="AH2643" i="1"/>
  <c r="AG2643" i="1"/>
  <c r="AH2642" i="1"/>
  <c r="AG2642" i="1"/>
  <c r="AH2641" i="1"/>
  <c r="AG2641" i="1"/>
  <c r="AH2640" i="1"/>
  <c r="AG2640" i="1"/>
  <c r="AH2639" i="1"/>
  <c r="AG2639" i="1"/>
  <c r="AH2638" i="1"/>
  <c r="AG2638" i="1"/>
  <c r="AH2637" i="1"/>
  <c r="AG2637" i="1"/>
  <c r="AH2636" i="1"/>
  <c r="AH2635" i="1"/>
  <c r="AG2635" i="1"/>
  <c r="AH2634" i="1"/>
  <c r="AG2634" i="1"/>
  <c r="AH2633" i="1"/>
  <c r="AG2633" i="1"/>
  <c r="AH2632" i="1"/>
  <c r="AG2632" i="1"/>
  <c r="AH2631" i="1"/>
  <c r="AG2631" i="1"/>
  <c r="AH2630" i="1"/>
  <c r="AG2630" i="1"/>
  <c r="AH2629" i="1"/>
  <c r="AG2629" i="1"/>
  <c r="AH2628" i="1"/>
  <c r="AG2628" i="1"/>
  <c r="AH2627" i="1"/>
  <c r="AG2627" i="1"/>
  <c r="AH2626" i="1"/>
  <c r="AG2626" i="1"/>
  <c r="AH2625" i="1"/>
  <c r="AG2625" i="1"/>
  <c r="AH2624" i="1"/>
  <c r="AG2624" i="1"/>
  <c r="AH2623" i="1"/>
  <c r="AG2623" i="1"/>
  <c r="AH2622" i="1"/>
  <c r="AG2622" i="1"/>
  <c r="AH2621" i="1"/>
  <c r="AG2621" i="1"/>
  <c r="AH2620" i="1"/>
  <c r="AG2620" i="1"/>
  <c r="AH2619" i="1"/>
  <c r="AG2619" i="1"/>
  <c r="AH2618" i="1"/>
  <c r="AG2618" i="1"/>
  <c r="AH2617" i="1"/>
  <c r="AG2617" i="1"/>
  <c r="AH2616" i="1"/>
  <c r="AG2616" i="1"/>
  <c r="AH2615" i="1"/>
  <c r="AG2615" i="1"/>
  <c r="AH2614" i="1"/>
  <c r="AG2614" i="1"/>
  <c r="AH2613" i="1"/>
  <c r="AG2613" i="1"/>
  <c r="AH2612" i="1"/>
  <c r="AG2612" i="1"/>
  <c r="AH2611" i="1"/>
  <c r="AG2611" i="1"/>
  <c r="AH2610" i="1"/>
  <c r="AG2610" i="1"/>
  <c r="AH2609" i="1"/>
  <c r="AG2609" i="1"/>
  <c r="AH2608" i="1"/>
  <c r="AG2608" i="1"/>
  <c r="AH2607" i="1"/>
  <c r="AG2607" i="1"/>
  <c r="AH2606" i="1"/>
  <c r="AG2606" i="1"/>
  <c r="AH2605" i="1"/>
  <c r="AG2605" i="1"/>
  <c r="AH2604" i="1"/>
  <c r="AG2604" i="1"/>
  <c r="AH2603" i="1"/>
  <c r="AG2603" i="1"/>
  <c r="AH2602" i="1"/>
  <c r="AG2602" i="1"/>
  <c r="AH2601" i="1"/>
  <c r="AG2601" i="1"/>
  <c r="AH2600" i="1"/>
  <c r="AG2600" i="1"/>
  <c r="AH2599" i="1"/>
  <c r="AG2599" i="1"/>
  <c r="AH2598" i="1"/>
  <c r="AG2598" i="1"/>
  <c r="AH2597" i="1"/>
  <c r="AG2597" i="1"/>
  <c r="AH2596" i="1"/>
  <c r="AG2596" i="1"/>
  <c r="AH2595" i="1"/>
  <c r="AG2595" i="1"/>
  <c r="AH2594" i="1"/>
  <c r="AG2594" i="1"/>
  <c r="AH2593" i="1"/>
  <c r="AG2593" i="1"/>
  <c r="AH2592" i="1"/>
  <c r="AG2592" i="1"/>
  <c r="AH2591" i="1"/>
  <c r="AG2591" i="1"/>
  <c r="AH2590" i="1"/>
  <c r="AG2590" i="1"/>
  <c r="AH2589" i="1"/>
  <c r="AG2589" i="1"/>
  <c r="AH2588" i="1"/>
  <c r="AG2588" i="1"/>
  <c r="AH2587" i="1"/>
  <c r="AG2587" i="1"/>
  <c r="AH2586" i="1"/>
  <c r="AG2586" i="1"/>
  <c r="AH2585" i="1"/>
  <c r="AG2585" i="1"/>
  <c r="AH2584" i="1"/>
  <c r="AG2584" i="1"/>
  <c r="AH2583" i="1"/>
  <c r="AG2583" i="1"/>
  <c r="AH2582" i="1"/>
  <c r="AG2582" i="1"/>
  <c r="AH2581" i="1"/>
  <c r="AG2581" i="1"/>
  <c r="AH2580" i="1"/>
  <c r="AG2580" i="1"/>
  <c r="AH2579" i="1"/>
  <c r="AG2579" i="1"/>
  <c r="AH2578" i="1"/>
  <c r="AG2578" i="1"/>
  <c r="AH2577" i="1"/>
  <c r="AG2577" i="1"/>
  <c r="AH2576" i="1"/>
  <c r="AG2576" i="1"/>
  <c r="AH2575" i="1"/>
  <c r="AG2575" i="1"/>
  <c r="AH2574" i="1"/>
  <c r="AG2574" i="1"/>
  <c r="AH2573" i="1"/>
  <c r="AG2573" i="1"/>
  <c r="AH2572" i="1"/>
  <c r="AG2572" i="1"/>
  <c r="AH2571" i="1"/>
  <c r="AG2571" i="1"/>
  <c r="AH2570" i="1"/>
  <c r="AG2570" i="1"/>
  <c r="AH2569" i="1"/>
  <c r="AG2569" i="1"/>
  <c r="AH2568" i="1"/>
  <c r="AG2568" i="1"/>
  <c r="AH2567" i="1"/>
  <c r="AG2567" i="1"/>
  <c r="AH2566" i="1"/>
  <c r="AG2566" i="1"/>
  <c r="AH2565" i="1"/>
  <c r="AG2565" i="1"/>
  <c r="AH2564" i="1"/>
  <c r="AG2564" i="1"/>
  <c r="AH2563" i="1"/>
  <c r="AG2563" i="1"/>
  <c r="AH2562" i="1"/>
  <c r="AG2562" i="1"/>
  <c r="AH2561" i="1"/>
  <c r="AG2561" i="1"/>
  <c r="AH2560" i="1"/>
  <c r="AG2560" i="1"/>
  <c r="AH2559" i="1"/>
  <c r="AG2559" i="1"/>
  <c r="AH2558" i="1"/>
  <c r="AG2558" i="1"/>
  <c r="AH2557" i="1"/>
  <c r="AG2557" i="1"/>
  <c r="AH2556" i="1"/>
  <c r="AG2556" i="1"/>
  <c r="AH2555" i="1"/>
  <c r="AG2555" i="1"/>
  <c r="AH2554" i="1"/>
  <c r="AG2554" i="1"/>
  <c r="AH2553" i="1"/>
  <c r="AG2553" i="1"/>
  <c r="AH2552" i="1"/>
  <c r="AG2552" i="1"/>
  <c r="AH2551" i="1"/>
  <c r="AG2551" i="1"/>
  <c r="AH2550" i="1"/>
  <c r="AG2550" i="1"/>
  <c r="AH2549" i="1"/>
  <c r="AG2549" i="1"/>
  <c r="AH2548" i="1"/>
  <c r="AG2548" i="1"/>
  <c r="AH2547" i="1"/>
  <c r="AG2547" i="1"/>
  <c r="AH2546" i="1"/>
  <c r="AG2546" i="1"/>
  <c r="AH2545" i="1"/>
  <c r="AG2545" i="1"/>
  <c r="AH2544" i="1"/>
  <c r="AG2544" i="1"/>
  <c r="AH2543" i="1"/>
  <c r="AG2543" i="1"/>
  <c r="AH2542" i="1"/>
  <c r="AG2542" i="1"/>
  <c r="AH2541" i="1"/>
  <c r="AG2541" i="1"/>
  <c r="AH2540" i="1"/>
  <c r="AG2540" i="1"/>
  <c r="AH2539" i="1"/>
  <c r="AG2539" i="1"/>
  <c r="AH2538" i="1"/>
  <c r="AG2538" i="1"/>
  <c r="AH2537" i="1"/>
  <c r="AG2537" i="1"/>
  <c r="AH2536" i="1"/>
  <c r="AG2536" i="1"/>
  <c r="AH2535" i="1"/>
  <c r="AG2535" i="1"/>
  <c r="AH2534" i="1"/>
  <c r="AG2534" i="1"/>
  <c r="AH2533" i="1"/>
  <c r="AG2533" i="1"/>
  <c r="AH2532" i="1"/>
  <c r="AG2532" i="1"/>
  <c r="AH2531" i="1"/>
  <c r="AG2531" i="1"/>
  <c r="AH2530" i="1"/>
  <c r="AG2530" i="1"/>
  <c r="AH2529" i="1"/>
  <c r="AG2529" i="1"/>
  <c r="AH2528" i="1"/>
  <c r="AG2528" i="1"/>
  <c r="AH2527" i="1"/>
  <c r="AG2527" i="1"/>
  <c r="AH2526" i="1"/>
  <c r="AG2526" i="1"/>
  <c r="AH2525" i="1"/>
  <c r="AG2525" i="1"/>
  <c r="AH2524" i="1"/>
  <c r="AG2524" i="1"/>
  <c r="AH2523" i="1"/>
  <c r="AG2523" i="1"/>
  <c r="AH2522" i="1"/>
  <c r="AG2522" i="1"/>
  <c r="AH2521" i="1"/>
  <c r="AG2521" i="1"/>
  <c r="AH2520" i="1"/>
  <c r="AG2520" i="1"/>
  <c r="AH2519" i="1"/>
  <c r="AG2519" i="1"/>
  <c r="AH2518" i="1"/>
  <c r="AG2518" i="1"/>
  <c r="AH2517" i="1"/>
  <c r="AG2517" i="1"/>
  <c r="AH2516" i="1"/>
  <c r="AG2516" i="1"/>
  <c r="AH2515" i="1"/>
  <c r="AG2515" i="1"/>
  <c r="AH2514" i="1"/>
  <c r="AG2514" i="1"/>
  <c r="AH2513" i="1"/>
  <c r="AG2513" i="1"/>
  <c r="AH2512" i="1"/>
  <c r="AG2512" i="1"/>
  <c r="AH2511" i="1"/>
  <c r="AG2511" i="1"/>
  <c r="AH2510" i="1"/>
  <c r="AG2510" i="1"/>
  <c r="AH2509" i="1"/>
  <c r="AG2509" i="1"/>
  <c r="AH2508" i="1"/>
  <c r="AG2508" i="1"/>
  <c r="AH2507" i="1"/>
  <c r="AG2507" i="1"/>
  <c r="AH2506" i="1"/>
  <c r="AG2506" i="1"/>
  <c r="AH2505" i="1"/>
  <c r="AG2505" i="1"/>
  <c r="AH2504" i="1"/>
  <c r="AG2504" i="1"/>
  <c r="AH2503" i="1"/>
  <c r="AG2503" i="1"/>
  <c r="AH2502" i="1"/>
  <c r="AG2502" i="1"/>
  <c r="AH2501" i="1"/>
  <c r="AG2501" i="1"/>
  <c r="AH2500" i="1"/>
  <c r="AG2500" i="1"/>
  <c r="AH2499" i="1"/>
  <c r="AG2499" i="1"/>
  <c r="AH2498" i="1"/>
  <c r="AG2498" i="1"/>
  <c r="AH2497" i="1"/>
  <c r="AG2497" i="1"/>
  <c r="AH2496" i="1"/>
  <c r="AG2496" i="1"/>
  <c r="AH2495" i="1"/>
  <c r="AG2495" i="1"/>
  <c r="AH2494" i="1"/>
  <c r="AG2494" i="1"/>
  <c r="AH2493" i="1"/>
  <c r="AG2493" i="1"/>
  <c r="AH2492" i="1"/>
  <c r="AG2492" i="1"/>
  <c r="AH2491" i="1"/>
  <c r="AG2491" i="1"/>
  <c r="AH2490" i="1"/>
  <c r="AG2490" i="1"/>
  <c r="AH2489" i="1"/>
  <c r="AG2489" i="1"/>
  <c r="AH2488" i="1"/>
  <c r="AG2488" i="1"/>
  <c r="AH2487" i="1"/>
  <c r="AG2487" i="1"/>
  <c r="AH2486" i="1"/>
  <c r="AG2486" i="1"/>
  <c r="AH2485" i="1"/>
  <c r="AG2485" i="1"/>
  <c r="AH2484" i="1"/>
  <c r="AG2484" i="1"/>
  <c r="AH2483" i="1"/>
  <c r="AG2483" i="1"/>
  <c r="AH2482" i="1"/>
  <c r="AG2482" i="1"/>
  <c r="AH2481" i="1"/>
  <c r="AG2481" i="1"/>
  <c r="AH2480" i="1"/>
  <c r="AG2480" i="1"/>
  <c r="AH2479" i="1"/>
  <c r="AG2479" i="1"/>
  <c r="AH2478" i="1"/>
  <c r="AG2478" i="1"/>
  <c r="AH2477" i="1"/>
  <c r="AG2477" i="1"/>
  <c r="AH2476" i="1"/>
  <c r="AG2476" i="1"/>
  <c r="AH2475" i="1"/>
  <c r="AG2475" i="1"/>
  <c r="AH2474" i="1"/>
  <c r="AG2474" i="1"/>
  <c r="AH2473" i="1"/>
  <c r="AG2473" i="1"/>
  <c r="AH2472" i="1"/>
  <c r="AG2472" i="1"/>
  <c r="AH2471" i="1"/>
  <c r="AG2471" i="1"/>
  <c r="AH2470" i="1"/>
  <c r="AG2470" i="1"/>
  <c r="AH2469" i="1"/>
  <c r="AG2469" i="1"/>
  <c r="AH2468" i="1"/>
  <c r="AG2468" i="1"/>
  <c r="AH2467" i="1"/>
  <c r="AG2467" i="1"/>
  <c r="AH2466" i="1"/>
  <c r="AG2466" i="1"/>
  <c r="AH2465" i="1"/>
  <c r="AG2465" i="1"/>
  <c r="AH2464" i="1"/>
  <c r="AG2464" i="1"/>
  <c r="AH2463" i="1"/>
  <c r="AG2463" i="1"/>
  <c r="AH2462" i="1"/>
  <c r="AG2462" i="1"/>
  <c r="AH2461" i="1"/>
  <c r="AG2461" i="1"/>
  <c r="AH2460" i="1"/>
  <c r="AG2460" i="1"/>
  <c r="AH2459" i="1"/>
  <c r="AG2459" i="1"/>
  <c r="AH2458" i="1"/>
  <c r="AG2458" i="1"/>
  <c r="AH2457" i="1"/>
  <c r="AG2457" i="1"/>
  <c r="AH2456" i="1"/>
  <c r="AG2456" i="1"/>
  <c r="AH2455" i="1"/>
  <c r="AG2455" i="1"/>
  <c r="AH2454" i="1"/>
  <c r="AG2454" i="1"/>
  <c r="AH2453" i="1"/>
  <c r="AG2453" i="1"/>
  <c r="AH2452" i="1"/>
  <c r="AG2452" i="1"/>
  <c r="AH2451" i="1"/>
  <c r="AG2451" i="1"/>
  <c r="AH2450" i="1"/>
  <c r="AG2450" i="1"/>
  <c r="AH2449" i="1"/>
  <c r="AG2449" i="1"/>
  <c r="AH2448" i="1"/>
  <c r="AG2448" i="1"/>
  <c r="AH2447" i="1"/>
  <c r="AG2447" i="1"/>
  <c r="AH2446" i="1"/>
  <c r="AG2446" i="1"/>
  <c r="AH2445" i="1"/>
  <c r="AG2445" i="1"/>
  <c r="AH2444" i="1"/>
  <c r="AG2444" i="1"/>
  <c r="AH2443" i="1"/>
  <c r="AG2443" i="1"/>
  <c r="AH2442" i="1"/>
  <c r="AG2442" i="1"/>
  <c r="AH2441" i="1"/>
  <c r="AG2441" i="1"/>
  <c r="AH2440" i="1"/>
  <c r="AG2440" i="1"/>
  <c r="AH2439" i="1"/>
  <c r="AG2439" i="1"/>
  <c r="AH2438" i="1"/>
  <c r="AG2438" i="1"/>
  <c r="AH2437" i="1"/>
  <c r="AG2437" i="1"/>
  <c r="AH2436" i="1"/>
  <c r="AG2436" i="1"/>
  <c r="AH2435" i="1"/>
  <c r="AG2435" i="1"/>
  <c r="AH2434" i="1"/>
  <c r="AG2434" i="1"/>
  <c r="AH2433" i="1"/>
  <c r="AG2433" i="1"/>
  <c r="AH2432" i="1"/>
  <c r="AG2432" i="1"/>
  <c r="AH2431" i="1"/>
  <c r="AG2431" i="1"/>
  <c r="AH2430" i="1"/>
  <c r="AG2430" i="1"/>
  <c r="AH2429" i="1"/>
  <c r="AG2429" i="1"/>
  <c r="AH2428" i="1"/>
  <c r="AG2428" i="1"/>
  <c r="AH2427" i="1"/>
  <c r="AG2427" i="1"/>
  <c r="AH2426" i="1"/>
  <c r="AG2426" i="1"/>
  <c r="AH2425" i="1"/>
  <c r="AG2425" i="1"/>
  <c r="AH2424" i="1"/>
  <c r="AG2424" i="1"/>
  <c r="AH2423" i="1"/>
  <c r="AG2423" i="1"/>
  <c r="AH2422" i="1"/>
  <c r="AG2422" i="1"/>
  <c r="AH2421" i="1"/>
  <c r="AG2421" i="1"/>
  <c r="AH2420" i="1"/>
  <c r="AG2420" i="1"/>
  <c r="AH2419" i="1"/>
  <c r="AG2419" i="1"/>
  <c r="AH2418" i="1"/>
  <c r="AH2417" i="1"/>
  <c r="AG2417" i="1"/>
  <c r="AH2416" i="1"/>
  <c r="AG2416" i="1"/>
  <c r="AH2415" i="1"/>
  <c r="AG2415" i="1"/>
  <c r="AH2414" i="1"/>
  <c r="AG2414" i="1"/>
  <c r="AH2413" i="1"/>
  <c r="AG2413" i="1"/>
  <c r="AH2412" i="1"/>
  <c r="AG2412" i="1"/>
  <c r="AH2411" i="1"/>
  <c r="AG2411" i="1"/>
  <c r="AH2410" i="1"/>
  <c r="AG2410" i="1"/>
  <c r="AH2409" i="1"/>
  <c r="AG2409" i="1"/>
  <c r="AH2408" i="1"/>
  <c r="AG2408" i="1"/>
  <c r="AH2407" i="1"/>
  <c r="AG2407" i="1"/>
  <c r="AH2406" i="1"/>
  <c r="AG2406" i="1"/>
  <c r="AH2405" i="1"/>
  <c r="AG2405" i="1"/>
  <c r="AH2404" i="1"/>
  <c r="AG2404" i="1"/>
  <c r="AH2403" i="1"/>
  <c r="AG2403" i="1"/>
  <c r="AH2402" i="1"/>
  <c r="AG2402" i="1"/>
  <c r="AH2401" i="1"/>
  <c r="AG2401" i="1"/>
  <c r="AH2400" i="1"/>
  <c r="AG2400" i="1"/>
  <c r="AH2399" i="1"/>
  <c r="AG2399" i="1"/>
  <c r="AH2398" i="1"/>
  <c r="AG2398" i="1"/>
  <c r="AH2397" i="1"/>
  <c r="AG2397" i="1"/>
  <c r="AH2396" i="1"/>
  <c r="AG2396" i="1"/>
  <c r="AH2395" i="1"/>
  <c r="AG2395" i="1"/>
  <c r="AH2394" i="1"/>
  <c r="AG2394" i="1"/>
  <c r="AH2393" i="1"/>
  <c r="AG2393" i="1"/>
  <c r="AH2392" i="1"/>
  <c r="AG2392" i="1"/>
  <c r="AH2391" i="1"/>
  <c r="AG2391" i="1"/>
  <c r="AH2390" i="1"/>
  <c r="AG2390" i="1"/>
  <c r="AH2389" i="1"/>
  <c r="AG2389" i="1"/>
  <c r="AH2388" i="1"/>
  <c r="AG2388" i="1"/>
  <c r="AH2387" i="1"/>
  <c r="AG2387" i="1"/>
  <c r="AH2386" i="1"/>
  <c r="AG2386" i="1"/>
  <c r="AH2385" i="1"/>
  <c r="AG2385" i="1"/>
  <c r="AH2384" i="1"/>
  <c r="AG2384" i="1"/>
  <c r="AH2383" i="1"/>
  <c r="AG2383" i="1"/>
  <c r="AH2382" i="1"/>
  <c r="AG2382" i="1"/>
  <c r="AH2381" i="1"/>
  <c r="AG2381" i="1"/>
  <c r="AH2380" i="1"/>
  <c r="AG2380" i="1"/>
  <c r="AH2379" i="1"/>
  <c r="AG2379" i="1"/>
  <c r="AH2378" i="1"/>
  <c r="AG2378" i="1"/>
  <c r="AH2377" i="1"/>
  <c r="AG2377" i="1"/>
  <c r="AH2376" i="1"/>
  <c r="AG2376" i="1"/>
  <c r="AH2375" i="1"/>
  <c r="AG2375" i="1"/>
  <c r="AH2374" i="1"/>
  <c r="AG2374" i="1"/>
  <c r="AH2373" i="1"/>
  <c r="AG2373" i="1"/>
  <c r="AH2372" i="1"/>
  <c r="AG2372" i="1"/>
  <c r="AH2371" i="1"/>
  <c r="AG2371" i="1"/>
  <c r="AH2370" i="1"/>
  <c r="AG2370" i="1"/>
  <c r="AH2369" i="1"/>
  <c r="AG2369" i="1"/>
  <c r="AH2368" i="1"/>
  <c r="AG2368" i="1"/>
  <c r="AH2367" i="1"/>
  <c r="AG2367" i="1"/>
  <c r="AH2366" i="1"/>
  <c r="AG2366" i="1"/>
  <c r="AH2365" i="1"/>
  <c r="AG2365" i="1"/>
  <c r="AH2364" i="1"/>
  <c r="AG2364" i="1"/>
  <c r="AH2363" i="1"/>
  <c r="AG2363" i="1"/>
  <c r="AH2362" i="1"/>
  <c r="AG2362" i="1"/>
  <c r="AH2361" i="1"/>
  <c r="AG2361" i="1"/>
  <c r="AH2360" i="1"/>
  <c r="AG2360" i="1"/>
  <c r="AH2359" i="1"/>
  <c r="AG2359" i="1"/>
  <c r="AH2358" i="1"/>
  <c r="AG2358" i="1"/>
  <c r="AH2357" i="1"/>
  <c r="AG2357" i="1"/>
  <c r="AH2356" i="1"/>
  <c r="AG2356" i="1"/>
  <c r="AH2355" i="1"/>
  <c r="AG2355" i="1"/>
  <c r="AH2354" i="1"/>
  <c r="AG2354" i="1"/>
  <c r="AH2353" i="1"/>
  <c r="AG2353" i="1"/>
  <c r="AH2352" i="1"/>
  <c r="AG2352" i="1"/>
  <c r="AH2351" i="1"/>
  <c r="AG2351" i="1"/>
  <c r="AH2350" i="1"/>
  <c r="AG2350" i="1"/>
  <c r="AH2349" i="1"/>
  <c r="AG2349" i="1"/>
  <c r="AH2348" i="1"/>
  <c r="AG2348" i="1"/>
  <c r="AH2347" i="1"/>
  <c r="AG2347" i="1"/>
  <c r="AH2346" i="1"/>
  <c r="AG2346" i="1"/>
  <c r="AH2345" i="1"/>
  <c r="AG2345" i="1"/>
  <c r="AH2344" i="1"/>
  <c r="AG2344" i="1"/>
  <c r="AH2343" i="1"/>
  <c r="AG2343" i="1"/>
  <c r="AH2342" i="1"/>
  <c r="AG2342" i="1"/>
  <c r="AH2341" i="1"/>
  <c r="AG2341" i="1"/>
  <c r="AH2340" i="1"/>
  <c r="AG2340" i="1"/>
  <c r="AH2339" i="1"/>
  <c r="AG2339" i="1"/>
  <c r="AH2338" i="1"/>
  <c r="AG2338" i="1"/>
  <c r="AH2337" i="1"/>
  <c r="AG2337" i="1"/>
  <c r="AH2336" i="1"/>
  <c r="AG2336" i="1"/>
  <c r="AH2335" i="1"/>
  <c r="AG2335" i="1"/>
  <c r="AH2334" i="1"/>
  <c r="AG2334" i="1"/>
  <c r="AH2333" i="1"/>
  <c r="AG2333" i="1"/>
  <c r="AH2332" i="1"/>
  <c r="AG2332" i="1"/>
  <c r="AH2331" i="1"/>
  <c r="AG2331" i="1"/>
  <c r="AH2330" i="1"/>
  <c r="AG2330" i="1"/>
  <c r="AH2329" i="1"/>
  <c r="AG2329" i="1"/>
  <c r="AH2328" i="1"/>
  <c r="AG2328" i="1"/>
  <c r="AH2327" i="1"/>
  <c r="AG2327" i="1"/>
  <c r="AH2326" i="1"/>
  <c r="AH2325" i="1"/>
  <c r="AG2325" i="1"/>
  <c r="AH2324" i="1"/>
  <c r="AG2324" i="1"/>
  <c r="AH2323" i="1"/>
  <c r="AG2323" i="1"/>
  <c r="AH2322" i="1"/>
  <c r="AG2322" i="1"/>
  <c r="AH2321" i="1"/>
  <c r="AG2321" i="1"/>
  <c r="AH2320" i="1"/>
  <c r="AG2320" i="1"/>
  <c r="AH2319" i="1"/>
  <c r="AG2319" i="1"/>
  <c r="AH2318" i="1"/>
  <c r="AG2318" i="1"/>
  <c r="AH2317" i="1"/>
  <c r="AG2317" i="1"/>
  <c r="AH2316" i="1"/>
  <c r="AG2316" i="1"/>
  <c r="AH2315" i="1"/>
  <c r="AG2315" i="1"/>
  <c r="AH2314" i="1"/>
  <c r="AG2314" i="1"/>
  <c r="AH2313" i="1"/>
  <c r="AG2313" i="1"/>
  <c r="AH2312" i="1"/>
  <c r="AG2312" i="1"/>
  <c r="AH2311" i="1"/>
  <c r="AG2311" i="1"/>
  <c r="AH2310" i="1"/>
  <c r="AG2310" i="1"/>
  <c r="AH2309" i="1"/>
  <c r="AG2309" i="1"/>
  <c r="AH2308" i="1"/>
  <c r="AG2308" i="1"/>
  <c r="AH2307" i="1"/>
  <c r="AG2307" i="1"/>
  <c r="AH2306" i="1"/>
  <c r="AG2306" i="1"/>
  <c r="AH2305" i="1"/>
  <c r="AG2305" i="1"/>
  <c r="AH2304" i="1"/>
  <c r="AG2304" i="1"/>
  <c r="AH2303" i="1"/>
  <c r="AG2303" i="1"/>
  <c r="AH2302" i="1"/>
  <c r="AG2302" i="1"/>
  <c r="AH2301" i="1"/>
  <c r="AG2301" i="1"/>
  <c r="AH2300" i="1"/>
  <c r="AG2300" i="1"/>
  <c r="AH2299" i="1"/>
  <c r="AG2299" i="1"/>
  <c r="AH2298" i="1"/>
  <c r="AG2298" i="1"/>
  <c r="AH2297" i="1"/>
  <c r="AG2297" i="1"/>
  <c r="AH2296" i="1"/>
  <c r="AG2296" i="1"/>
  <c r="AH2295" i="1"/>
  <c r="AG2295" i="1"/>
  <c r="AH2294" i="1"/>
  <c r="AG2294" i="1"/>
  <c r="AH2293" i="1"/>
  <c r="AG2293" i="1"/>
  <c r="AH2292" i="1"/>
  <c r="AG2292" i="1"/>
  <c r="AH2291" i="1"/>
  <c r="AG2291" i="1"/>
  <c r="AH2290" i="1"/>
  <c r="AG2290" i="1"/>
  <c r="AH2289" i="1"/>
  <c r="AG2289" i="1"/>
  <c r="AH2288" i="1"/>
  <c r="AG2288" i="1"/>
  <c r="AH2287" i="1"/>
  <c r="AG2287" i="1"/>
  <c r="AH2286" i="1"/>
  <c r="AG2286" i="1"/>
  <c r="AH2285" i="1"/>
  <c r="AG2285" i="1"/>
  <c r="AH2284" i="1"/>
  <c r="AG2284" i="1"/>
  <c r="AH2283" i="1"/>
  <c r="AG2283" i="1"/>
  <c r="AH2282" i="1"/>
  <c r="AG2282" i="1"/>
  <c r="AH2281" i="1"/>
  <c r="AG2281" i="1"/>
  <c r="AH2280" i="1"/>
  <c r="AG2280" i="1"/>
  <c r="AH2279" i="1"/>
  <c r="AG2279" i="1"/>
  <c r="AH2278" i="1"/>
  <c r="AG2278" i="1"/>
  <c r="AH2277" i="1"/>
  <c r="AG2277" i="1"/>
  <c r="AH2276" i="1"/>
  <c r="AG2276" i="1"/>
  <c r="AH2275" i="1"/>
  <c r="AG2275" i="1"/>
  <c r="AH2274" i="1"/>
  <c r="AG2274" i="1"/>
  <c r="AH2273" i="1"/>
  <c r="AG2273" i="1"/>
  <c r="AH2272" i="1"/>
  <c r="AG2272" i="1"/>
  <c r="AH2271" i="1"/>
  <c r="AG2271" i="1"/>
  <c r="AH2270" i="1"/>
  <c r="AG2270" i="1"/>
  <c r="AH2269" i="1"/>
  <c r="AG2269" i="1"/>
  <c r="AH2268" i="1"/>
  <c r="AG2268" i="1"/>
  <c r="AH2267" i="1"/>
  <c r="AG2267" i="1"/>
  <c r="AH2266" i="1"/>
  <c r="AG2266" i="1"/>
  <c r="AH2265" i="1"/>
  <c r="AG2265" i="1"/>
  <c r="AH2264" i="1"/>
  <c r="AG2264" i="1"/>
  <c r="AH2263" i="1"/>
  <c r="AG2263" i="1"/>
  <c r="AH2262" i="1"/>
  <c r="AG2262" i="1"/>
  <c r="AH2261" i="1"/>
  <c r="AG2261" i="1"/>
  <c r="AH2260" i="1"/>
  <c r="AG2260" i="1"/>
  <c r="AH2259" i="1"/>
  <c r="AG2259" i="1"/>
  <c r="AH2258" i="1"/>
  <c r="AG2258" i="1"/>
  <c r="AH2257" i="1"/>
  <c r="AG2257" i="1"/>
  <c r="AH2256" i="1"/>
  <c r="AG2256" i="1"/>
  <c r="AH2255" i="1"/>
  <c r="AG2255" i="1"/>
  <c r="AH2254" i="1"/>
  <c r="AG2254" i="1"/>
  <c r="AH2253" i="1"/>
  <c r="AG2253" i="1"/>
  <c r="AH2252" i="1"/>
  <c r="AG2252" i="1"/>
  <c r="AH2251" i="1"/>
  <c r="AG2251" i="1"/>
  <c r="AH2250" i="1"/>
  <c r="AG2250" i="1"/>
  <c r="AH2249" i="1"/>
  <c r="AG2249" i="1"/>
  <c r="AH2248" i="1"/>
  <c r="AG2248" i="1"/>
  <c r="AH2247" i="1"/>
  <c r="AG2247" i="1"/>
  <c r="AH2246" i="1"/>
  <c r="AG2246" i="1"/>
  <c r="AH2245" i="1"/>
  <c r="AG2245" i="1"/>
  <c r="AH2244" i="1"/>
  <c r="AG2244" i="1"/>
  <c r="AH2243" i="1"/>
  <c r="AG2243" i="1"/>
  <c r="AH2242" i="1"/>
  <c r="AG2242" i="1"/>
  <c r="AH2241" i="1"/>
  <c r="AG2241" i="1"/>
  <c r="AH2240" i="1"/>
  <c r="AG2240" i="1"/>
  <c r="AH2239" i="1"/>
  <c r="AG2239" i="1"/>
  <c r="AH2238" i="1"/>
  <c r="AG2238" i="1"/>
  <c r="AH2237" i="1"/>
  <c r="AG2237" i="1"/>
  <c r="AH2236" i="1"/>
  <c r="AG2236" i="1"/>
  <c r="AH2235" i="1"/>
  <c r="AG2235" i="1"/>
  <c r="AH2234" i="1"/>
  <c r="AG2234" i="1"/>
  <c r="AH2233" i="1"/>
  <c r="AG2233" i="1"/>
  <c r="AH2232" i="1"/>
  <c r="AG2232" i="1"/>
  <c r="AH2231" i="1"/>
  <c r="AG2231" i="1"/>
  <c r="AH2230" i="1"/>
  <c r="AG2230" i="1"/>
  <c r="AH2229" i="1"/>
  <c r="AG2229" i="1"/>
  <c r="AH2228" i="1"/>
  <c r="AG2228" i="1"/>
  <c r="AH2227" i="1"/>
  <c r="AG2227" i="1"/>
  <c r="AH2226" i="1"/>
  <c r="AG2226" i="1"/>
  <c r="AH2225" i="1"/>
  <c r="AG2225" i="1"/>
  <c r="AH2224" i="1"/>
  <c r="AG2224" i="1"/>
  <c r="AH2223" i="1"/>
  <c r="AG2223" i="1"/>
  <c r="AH2222" i="1"/>
  <c r="AG2222" i="1"/>
  <c r="AH2221" i="1"/>
  <c r="AG2221" i="1"/>
  <c r="AH2220" i="1"/>
  <c r="AG2220" i="1"/>
  <c r="AH2219" i="1"/>
  <c r="AG2219" i="1"/>
  <c r="AH2218" i="1"/>
  <c r="AG2218" i="1"/>
  <c r="AH2217" i="1"/>
  <c r="AG2217" i="1"/>
  <c r="AH2216" i="1"/>
  <c r="AG2216" i="1"/>
  <c r="AH2215" i="1"/>
  <c r="AG2215" i="1"/>
  <c r="AH2214" i="1"/>
  <c r="AG2214" i="1"/>
  <c r="AH2213" i="1"/>
  <c r="AG2213" i="1"/>
  <c r="AH2212" i="1"/>
  <c r="AG2212" i="1"/>
  <c r="AH2211" i="1"/>
  <c r="AG2211" i="1"/>
  <c r="AH2210" i="1"/>
  <c r="AG2210" i="1"/>
  <c r="AH2209" i="1"/>
  <c r="AG2209" i="1"/>
  <c r="AH2208" i="1"/>
  <c r="AG2208" i="1"/>
  <c r="AH2207" i="1"/>
  <c r="AG2207" i="1"/>
  <c r="AH2206" i="1"/>
  <c r="AG2206" i="1"/>
  <c r="AH2205" i="1"/>
  <c r="AG2205" i="1"/>
  <c r="AH2204" i="1"/>
  <c r="AG2204" i="1"/>
  <c r="AH2203" i="1"/>
  <c r="AG2203" i="1"/>
  <c r="AH2202" i="1"/>
  <c r="AG2202" i="1"/>
  <c r="AH2201" i="1"/>
  <c r="AG2201" i="1"/>
  <c r="AH2200" i="1"/>
  <c r="AG2200" i="1"/>
  <c r="AH2199" i="1"/>
  <c r="AG2199" i="1"/>
  <c r="AH2198" i="1"/>
  <c r="AG2198" i="1"/>
  <c r="AH2197" i="1"/>
  <c r="AG2197" i="1"/>
  <c r="AH2196" i="1"/>
  <c r="AG2196" i="1"/>
  <c r="AH2195" i="1"/>
  <c r="AG2195" i="1"/>
  <c r="AH2194" i="1"/>
  <c r="AG2194" i="1"/>
  <c r="AH2193" i="1"/>
  <c r="AG2193" i="1"/>
  <c r="AH2192" i="1"/>
  <c r="AG2192" i="1"/>
  <c r="AH2191" i="1"/>
  <c r="AG2191" i="1"/>
  <c r="AH2190" i="1"/>
  <c r="AG2190" i="1"/>
  <c r="AH2189" i="1"/>
  <c r="AG2189" i="1"/>
  <c r="AH2188" i="1"/>
  <c r="AG2188" i="1"/>
  <c r="AH2187" i="1"/>
  <c r="AG2187" i="1"/>
  <c r="AH2186" i="1"/>
  <c r="AG2186" i="1"/>
  <c r="AH2185" i="1"/>
  <c r="AG2185" i="1"/>
  <c r="AH2184" i="1"/>
  <c r="AG2184" i="1"/>
  <c r="AH2183" i="1"/>
  <c r="AG2183" i="1"/>
  <c r="AH2182" i="1"/>
  <c r="AG2182" i="1"/>
  <c r="AH2181" i="1"/>
  <c r="AG2181" i="1"/>
  <c r="AH2180" i="1"/>
  <c r="AG2180" i="1"/>
  <c r="AH2179" i="1"/>
  <c r="AG2179" i="1"/>
  <c r="AH2178" i="1"/>
  <c r="AG2178" i="1"/>
  <c r="AH2177" i="1"/>
  <c r="AG2177" i="1"/>
  <c r="AH2176" i="1"/>
  <c r="AG2176" i="1"/>
  <c r="AH2175" i="1"/>
  <c r="AG2175" i="1"/>
  <c r="AH2174" i="1"/>
  <c r="AG2174" i="1"/>
  <c r="AH2173" i="1"/>
  <c r="AG2173" i="1"/>
  <c r="AH2172" i="1"/>
  <c r="AG2172" i="1"/>
  <c r="AH2171" i="1"/>
  <c r="AG2171" i="1"/>
  <c r="AH2170" i="1"/>
  <c r="AG2170" i="1"/>
  <c r="AH2169" i="1"/>
  <c r="AG2169" i="1"/>
  <c r="AH2168" i="1"/>
  <c r="AG2168" i="1"/>
  <c r="AH2167" i="1"/>
  <c r="AG2167" i="1"/>
  <c r="AH2166" i="1"/>
  <c r="AG2166" i="1"/>
  <c r="AH2165" i="1"/>
  <c r="AG2165" i="1"/>
  <c r="AH2164" i="1"/>
  <c r="AG2164" i="1"/>
  <c r="AH2163" i="1"/>
  <c r="AG2163" i="1"/>
  <c r="AH2162" i="1"/>
  <c r="AG2162" i="1"/>
  <c r="AH2161" i="1"/>
  <c r="AG2161" i="1"/>
  <c r="AH2160" i="1"/>
  <c r="AG2160" i="1"/>
  <c r="AH2159" i="1"/>
  <c r="AG2159" i="1"/>
  <c r="AH2158" i="1"/>
  <c r="AG2158" i="1"/>
  <c r="AH2157" i="1"/>
  <c r="AG2157" i="1"/>
  <c r="AH2156" i="1"/>
  <c r="AG2156" i="1"/>
  <c r="AH2155" i="1"/>
  <c r="AG2155" i="1"/>
  <c r="AH2154" i="1"/>
  <c r="AG2154" i="1"/>
  <c r="AH2153" i="1"/>
  <c r="AG2153" i="1"/>
  <c r="AH2152" i="1"/>
  <c r="AG2152" i="1"/>
  <c r="AH2151" i="1"/>
  <c r="AG2151" i="1"/>
  <c r="AH2150" i="1"/>
  <c r="AG2150" i="1"/>
  <c r="AH2149" i="1"/>
  <c r="AG2149" i="1"/>
  <c r="AH2148" i="1"/>
  <c r="AG2148" i="1"/>
  <c r="AH2147" i="1"/>
  <c r="AG2147" i="1"/>
  <c r="AH2146" i="1"/>
  <c r="AG2146" i="1"/>
  <c r="AH2145" i="1"/>
  <c r="AG2145" i="1"/>
  <c r="AH2144" i="1"/>
  <c r="AG2144" i="1"/>
  <c r="AH2143" i="1"/>
  <c r="AG2143" i="1"/>
  <c r="AH2142" i="1"/>
  <c r="AG2142" i="1"/>
  <c r="AH2141" i="1"/>
  <c r="AG2141" i="1"/>
  <c r="AH2140" i="1"/>
  <c r="AG2140" i="1"/>
  <c r="AH2139" i="1"/>
  <c r="AG2139" i="1"/>
  <c r="AH2138" i="1"/>
  <c r="AG2138" i="1"/>
  <c r="AH2137" i="1"/>
  <c r="AG2137" i="1"/>
  <c r="AH2136" i="1"/>
  <c r="AG2136" i="1"/>
  <c r="AH2135" i="1"/>
  <c r="AG2135" i="1"/>
  <c r="AH2134" i="1"/>
  <c r="AG2134" i="1"/>
  <c r="AH2133" i="1"/>
  <c r="AG2133" i="1"/>
  <c r="AH2132" i="1"/>
  <c r="AG2132" i="1"/>
  <c r="AH2131" i="1"/>
  <c r="AG2131" i="1"/>
  <c r="AH2130" i="1"/>
  <c r="AG2130" i="1"/>
  <c r="AH2129" i="1"/>
  <c r="AG2129" i="1"/>
  <c r="AH2128" i="1"/>
  <c r="AG2128" i="1"/>
  <c r="AH2127" i="1"/>
  <c r="AG2127" i="1"/>
  <c r="AH2126" i="1"/>
  <c r="AG2126" i="1"/>
  <c r="AH2125" i="1"/>
  <c r="AG2125" i="1"/>
  <c r="AH2124" i="1"/>
  <c r="AG2124" i="1"/>
  <c r="AH2123" i="1"/>
  <c r="AG2123" i="1"/>
  <c r="AH2122" i="1"/>
  <c r="AG2122" i="1"/>
  <c r="AH2121" i="1"/>
  <c r="AG2121" i="1"/>
  <c r="AH2120" i="1"/>
  <c r="AG2120" i="1"/>
  <c r="AH2119" i="1"/>
  <c r="AG2119" i="1"/>
  <c r="AH2118" i="1"/>
  <c r="AG2118" i="1"/>
  <c r="AH2117" i="1"/>
  <c r="AG2117" i="1"/>
  <c r="AH2116" i="1"/>
  <c r="AG2116" i="1"/>
  <c r="AH2115" i="1"/>
  <c r="AG2115" i="1"/>
  <c r="AH2114" i="1"/>
  <c r="AG2114" i="1"/>
  <c r="AH2113" i="1"/>
  <c r="AG2113" i="1"/>
  <c r="AH2112" i="1"/>
  <c r="AG2112" i="1"/>
  <c r="AH2111" i="1"/>
  <c r="AG2111" i="1"/>
  <c r="AH2110" i="1"/>
  <c r="AG2110" i="1"/>
  <c r="AH2109" i="1"/>
  <c r="AG2109" i="1"/>
  <c r="AH2108" i="1"/>
  <c r="AG2108" i="1"/>
  <c r="AH2107" i="1"/>
  <c r="AG2107" i="1"/>
  <c r="AH2106" i="1"/>
  <c r="AG2106" i="1"/>
  <c r="AH2105" i="1"/>
  <c r="AG2105" i="1"/>
  <c r="AH2104" i="1"/>
  <c r="AG2104" i="1"/>
  <c r="AH2103" i="1"/>
  <c r="AG2103" i="1"/>
  <c r="AH2102" i="1"/>
  <c r="AG2102" i="1"/>
  <c r="AH2101" i="1"/>
  <c r="AG2101" i="1"/>
  <c r="AH2100" i="1"/>
  <c r="AG2100" i="1"/>
  <c r="AH2099" i="1"/>
  <c r="AG2099" i="1"/>
  <c r="AH2098" i="1"/>
  <c r="AG2098" i="1"/>
  <c r="AH2097" i="1"/>
  <c r="AG2097" i="1"/>
  <c r="AH2096" i="1"/>
  <c r="AG2096" i="1"/>
  <c r="AH2095" i="1"/>
  <c r="AG2095" i="1"/>
  <c r="AH2094" i="1"/>
  <c r="AG2094" i="1"/>
  <c r="AH2093" i="1"/>
  <c r="AG2093" i="1"/>
  <c r="AH2092" i="1"/>
  <c r="AG2092" i="1"/>
  <c r="AH2091" i="1"/>
  <c r="AG2091" i="1"/>
  <c r="AH2090" i="1"/>
  <c r="AG2090" i="1"/>
  <c r="AH2089" i="1"/>
  <c r="AG2089" i="1"/>
  <c r="AH2088" i="1"/>
  <c r="AG2088" i="1"/>
  <c r="AH2087" i="1"/>
  <c r="AG2087" i="1"/>
  <c r="AH2086" i="1"/>
  <c r="AG2086" i="1"/>
  <c r="AH2085" i="1"/>
  <c r="AG2085" i="1"/>
  <c r="AH2084" i="1"/>
  <c r="AG2084" i="1"/>
  <c r="AH2083" i="1"/>
  <c r="AG2083" i="1"/>
  <c r="AH2082" i="1"/>
  <c r="AG2082" i="1"/>
  <c r="AH2081" i="1"/>
  <c r="AG2081" i="1"/>
  <c r="AH2080" i="1"/>
  <c r="AG2080" i="1"/>
  <c r="AH2079" i="1"/>
  <c r="AG2079" i="1"/>
  <c r="AH2078" i="1"/>
  <c r="AG2078" i="1"/>
  <c r="AH2077" i="1"/>
  <c r="AG2077" i="1"/>
  <c r="AH2076" i="1"/>
  <c r="AG2076" i="1"/>
  <c r="AH2075" i="1"/>
  <c r="AG2075" i="1"/>
  <c r="AH2074" i="1"/>
  <c r="AG2074" i="1"/>
  <c r="AH2073" i="1"/>
  <c r="AG2073" i="1"/>
  <c r="AH2072" i="1"/>
  <c r="AG2072" i="1"/>
  <c r="AH2071" i="1"/>
  <c r="AG2071" i="1"/>
  <c r="AH2070" i="1"/>
  <c r="AG2070" i="1"/>
  <c r="AH2069" i="1"/>
  <c r="AG2069" i="1"/>
  <c r="AH2068" i="1"/>
  <c r="AG2068" i="1"/>
  <c r="AH2067" i="1"/>
  <c r="AG2067" i="1"/>
  <c r="AH2066" i="1"/>
  <c r="AG2066" i="1"/>
  <c r="AH2065" i="1"/>
  <c r="AG2065" i="1"/>
  <c r="AH2064" i="1"/>
  <c r="AG2064" i="1"/>
  <c r="AH2063" i="1"/>
  <c r="AG2063" i="1"/>
  <c r="AH2062" i="1"/>
  <c r="AG2062" i="1"/>
  <c r="AH2061" i="1"/>
  <c r="AG2061" i="1"/>
  <c r="AH2060" i="1"/>
  <c r="AG2060" i="1"/>
  <c r="AH2059" i="1"/>
  <c r="AG2059" i="1"/>
  <c r="AH2058" i="1"/>
  <c r="AG2058" i="1"/>
  <c r="AH2057" i="1"/>
  <c r="AG2057" i="1"/>
  <c r="AH2056" i="1"/>
  <c r="AG2056" i="1"/>
  <c r="AH2055" i="1"/>
  <c r="AG2055" i="1"/>
  <c r="AH2054" i="1"/>
  <c r="AG2054" i="1"/>
  <c r="AH2053" i="1"/>
  <c r="AG2053" i="1"/>
  <c r="AH2052" i="1"/>
  <c r="AG2052" i="1"/>
  <c r="AH2051" i="1"/>
  <c r="AG2051" i="1"/>
  <c r="AH2050" i="1"/>
  <c r="AG2050" i="1"/>
  <c r="AH2049" i="1"/>
  <c r="AG2049" i="1"/>
  <c r="AH2048" i="1"/>
  <c r="AG2048" i="1"/>
  <c r="AH2047" i="1"/>
  <c r="AG2047" i="1"/>
  <c r="AH2046" i="1"/>
  <c r="AG2046" i="1"/>
  <c r="AH2045" i="1"/>
  <c r="AG2045" i="1"/>
  <c r="AH2044" i="1"/>
  <c r="AG2044" i="1"/>
  <c r="AH2043" i="1"/>
  <c r="AG2043" i="1"/>
  <c r="AH2042" i="1"/>
  <c r="AG2042" i="1"/>
  <c r="AH2041" i="1"/>
  <c r="AG2041" i="1"/>
  <c r="AH2040" i="1"/>
  <c r="AG2040" i="1"/>
  <c r="AH2039" i="1"/>
  <c r="AG2039" i="1"/>
  <c r="AH2038" i="1"/>
  <c r="AG2038" i="1"/>
  <c r="AH2037" i="1"/>
  <c r="AG2037" i="1"/>
  <c r="AH2036" i="1"/>
  <c r="AG2036" i="1"/>
  <c r="AH2035" i="1"/>
  <c r="AG2035" i="1"/>
  <c r="AH2034" i="1"/>
  <c r="AG2034" i="1"/>
  <c r="AH2033" i="1"/>
  <c r="AG2033" i="1"/>
  <c r="AH2032" i="1"/>
  <c r="AG2032" i="1"/>
  <c r="AH2031" i="1"/>
  <c r="AG2031" i="1"/>
  <c r="AH2030" i="1"/>
  <c r="AG2030" i="1"/>
  <c r="AH2029" i="1"/>
  <c r="AG2029" i="1"/>
  <c r="AH2028" i="1"/>
  <c r="AG2028" i="1"/>
  <c r="AH2027" i="1"/>
  <c r="AG2027" i="1"/>
  <c r="AH2026" i="1"/>
  <c r="AG2026" i="1"/>
  <c r="AH2025" i="1"/>
  <c r="AG2025" i="1"/>
  <c r="AH2024" i="1"/>
  <c r="AG2024" i="1"/>
  <c r="AH2023" i="1"/>
  <c r="AG2023" i="1"/>
  <c r="AH2022" i="1"/>
  <c r="AG2022" i="1"/>
  <c r="AH2021" i="1"/>
  <c r="AG2021" i="1"/>
  <c r="AH2020" i="1"/>
  <c r="AG2020" i="1"/>
  <c r="AH2019" i="1"/>
  <c r="AG2019" i="1"/>
  <c r="AH2018" i="1"/>
  <c r="AG2018" i="1"/>
  <c r="AH2017" i="1"/>
  <c r="AG2017" i="1"/>
  <c r="AH2016" i="1"/>
  <c r="AG2016" i="1"/>
  <c r="AH2015" i="1"/>
  <c r="AG2015" i="1"/>
  <c r="AH2014" i="1"/>
  <c r="AG2014" i="1"/>
  <c r="AH2013" i="1"/>
  <c r="AG2013" i="1"/>
  <c r="AH2012" i="1"/>
  <c r="AG2012" i="1"/>
  <c r="AH2011" i="1"/>
  <c r="AG2011" i="1"/>
  <c r="AH2010" i="1"/>
  <c r="AG2010" i="1"/>
  <c r="AH2009" i="1"/>
  <c r="AG2009" i="1"/>
  <c r="AH2008" i="1"/>
  <c r="AG2008" i="1"/>
  <c r="AH2007" i="1"/>
  <c r="AG2007" i="1"/>
  <c r="AH2006" i="1"/>
  <c r="AG2006" i="1"/>
  <c r="AH2005" i="1"/>
  <c r="AG2005" i="1"/>
  <c r="AH2004" i="1"/>
  <c r="AG2004" i="1"/>
  <c r="AH2003" i="1"/>
  <c r="AG2003" i="1"/>
  <c r="AH2002" i="1"/>
  <c r="AG2002" i="1"/>
  <c r="AH2001" i="1"/>
  <c r="AG2001" i="1"/>
  <c r="AH2000" i="1"/>
  <c r="AG2000" i="1"/>
  <c r="AH1999" i="1"/>
  <c r="AG1999" i="1"/>
  <c r="AH1998" i="1"/>
  <c r="AG1998" i="1"/>
  <c r="AH1997" i="1"/>
  <c r="AG1997" i="1"/>
  <c r="AH1996" i="1"/>
  <c r="AG1996" i="1"/>
  <c r="AH1995" i="1"/>
  <c r="AG1995" i="1"/>
  <c r="AH1994" i="1"/>
  <c r="AG1994" i="1"/>
  <c r="AH1993" i="1"/>
  <c r="AG1993" i="1"/>
  <c r="AH1992" i="1"/>
  <c r="AG1992" i="1"/>
  <c r="AH1991" i="1"/>
  <c r="AG1991" i="1"/>
  <c r="AH1990" i="1"/>
  <c r="AG1990" i="1"/>
  <c r="AH1989" i="1"/>
  <c r="AG1989" i="1"/>
  <c r="AH1988" i="1"/>
  <c r="AG1988" i="1"/>
  <c r="AH1987" i="1"/>
  <c r="AG1987" i="1"/>
  <c r="AH1986" i="1"/>
  <c r="AG1986" i="1"/>
  <c r="AH1985" i="1"/>
  <c r="AG1985" i="1"/>
  <c r="AH1984" i="1"/>
  <c r="AG1984" i="1"/>
  <c r="AH1983" i="1"/>
  <c r="AG1983" i="1"/>
  <c r="AH1982" i="1"/>
  <c r="AG1982" i="1"/>
  <c r="AH1981" i="1"/>
  <c r="AG1981" i="1"/>
  <c r="AH1980" i="1"/>
  <c r="AG1980" i="1"/>
  <c r="AH1979" i="1"/>
  <c r="AG1979" i="1"/>
  <c r="AH1978" i="1"/>
  <c r="AG1978" i="1"/>
  <c r="AH1977" i="1"/>
  <c r="AG1977" i="1"/>
  <c r="AH1976" i="1"/>
  <c r="AG1976" i="1"/>
  <c r="AH1975" i="1"/>
  <c r="AG1975" i="1"/>
  <c r="AH1974" i="1"/>
  <c r="AG1974" i="1"/>
  <c r="AH1973" i="1"/>
  <c r="AG1973" i="1"/>
  <c r="AH1972" i="1"/>
  <c r="AG1972" i="1"/>
  <c r="AH1971" i="1"/>
  <c r="AG1971" i="1"/>
  <c r="AH1970" i="1"/>
  <c r="AG1970" i="1"/>
  <c r="AH1969" i="1"/>
  <c r="AG1969" i="1"/>
  <c r="AH1968" i="1"/>
  <c r="AG1968" i="1"/>
  <c r="AH1967" i="1"/>
  <c r="AG1967" i="1"/>
  <c r="AH1966" i="1"/>
  <c r="AG1966" i="1"/>
  <c r="AH1965" i="1"/>
  <c r="AG1965" i="1"/>
  <c r="AH1964" i="1"/>
  <c r="AG1964" i="1"/>
  <c r="AH1963" i="1"/>
  <c r="AG1963" i="1"/>
  <c r="AH1962" i="1"/>
  <c r="AG1962" i="1"/>
  <c r="AH1961" i="1"/>
  <c r="AG1961" i="1"/>
  <c r="AH1960" i="1"/>
  <c r="AG1960" i="1"/>
  <c r="AH1959" i="1"/>
  <c r="AG1959" i="1"/>
  <c r="AH1958" i="1"/>
  <c r="AG1958" i="1"/>
  <c r="AH1957" i="1"/>
  <c r="AG1957" i="1"/>
  <c r="AH1956" i="1"/>
  <c r="AG1956" i="1"/>
  <c r="AH1955" i="1"/>
  <c r="AG1955" i="1"/>
  <c r="AH1954" i="1"/>
  <c r="AG1954" i="1"/>
  <c r="AH1953" i="1"/>
  <c r="AG1953" i="1"/>
  <c r="AH1952" i="1"/>
  <c r="AG1952" i="1"/>
  <c r="AH1951" i="1"/>
  <c r="AG1951" i="1"/>
  <c r="AH1950" i="1"/>
  <c r="AG1950" i="1"/>
  <c r="AH1949" i="1"/>
  <c r="AG1949" i="1"/>
  <c r="AH1948" i="1"/>
  <c r="AG1948" i="1"/>
  <c r="AH1947" i="1"/>
  <c r="AG1947" i="1"/>
  <c r="AH1946" i="1"/>
  <c r="AG1946" i="1"/>
  <c r="AH1945" i="1"/>
  <c r="AG1945" i="1"/>
  <c r="AH1944" i="1"/>
  <c r="AG1944" i="1"/>
  <c r="AH1943" i="1"/>
  <c r="AG1943" i="1"/>
  <c r="AH1942" i="1"/>
  <c r="AG1942" i="1"/>
  <c r="AH1941" i="1"/>
  <c r="AG1941" i="1"/>
  <c r="AH1940" i="1"/>
  <c r="AG1940" i="1"/>
  <c r="AH1939" i="1"/>
  <c r="AG1939" i="1"/>
  <c r="AH1938" i="1"/>
  <c r="AG1938" i="1"/>
  <c r="AH1937" i="1"/>
  <c r="AG1937" i="1"/>
  <c r="AH1936" i="1"/>
  <c r="AG1936" i="1"/>
  <c r="AH1935" i="1"/>
  <c r="AG1935" i="1"/>
  <c r="AH1934" i="1"/>
  <c r="AG1934" i="1"/>
  <c r="AH1933" i="1"/>
  <c r="AG1933" i="1"/>
  <c r="AH1932" i="1"/>
  <c r="AG1932" i="1"/>
  <c r="AH1931" i="1"/>
  <c r="AG1931" i="1"/>
  <c r="AH1930" i="1"/>
  <c r="AG1930" i="1"/>
  <c r="AH1929" i="1"/>
  <c r="AG1929" i="1"/>
  <c r="AH1928" i="1"/>
  <c r="AG1928" i="1"/>
  <c r="AH1927" i="1"/>
  <c r="AG1927" i="1"/>
  <c r="AH1926" i="1"/>
  <c r="AG1926" i="1"/>
  <c r="AH1925" i="1"/>
  <c r="AG1925" i="1"/>
  <c r="AH1924" i="1"/>
  <c r="AG1924" i="1"/>
  <c r="AH1923" i="1"/>
  <c r="AG1923" i="1"/>
  <c r="AH1922" i="1"/>
  <c r="AG1922" i="1"/>
  <c r="AH1921" i="1"/>
  <c r="AG1921" i="1"/>
  <c r="AH1920" i="1"/>
  <c r="AG1920" i="1"/>
  <c r="AH1919" i="1"/>
  <c r="AG1919" i="1"/>
  <c r="AH1918" i="1"/>
  <c r="AG1918" i="1"/>
  <c r="AH1917" i="1"/>
  <c r="AG1917" i="1"/>
  <c r="AH1916" i="1"/>
  <c r="AG1916" i="1"/>
  <c r="AH1915" i="1"/>
  <c r="AG1915" i="1"/>
  <c r="AH1914" i="1"/>
  <c r="AG1914" i="1"/>
  <c r="AH1913" i="1"/>
  <c r="AG1913" i="1"/>
  <c r="AH1912" i="1"/>
  <c r="AG1912" i="1"/>
  <c r="AH1911" i="1"/>
  <c r="AG1911" i="1"/>
  <c r="AH1910" i="1"/>
  <c r="AG1910" i="1"/>
  <c r="AH1909" i="1"/>
  <c r="AG1909" i="1"/>
  <c r="AH1908" i="1"/>
  <c r="AG1908" i="1"/>
  <c r="AH1907" i="1"/>
  <c r="AG1907" i="1"/>
  <c r="AH1906" i="1"/>
  <c r="AG1906" i="1"/>
  <c r="AH1905" i="1"/>
  <c r="AG1905" i="1"/>
  <c r="AH1904" i="1"/>
  <c r="AG1904" i="1"/>
  <c r="AH1903" i="1"/>
  <c r="AG1903" i="1"/>
  <c r="AH1902" i="1"/>
  <c r="AG1902" i="1"/>
  <c r="AH1901" i="1"/>
  <c r="AG1901" i="1"/>
  <c r="AH1900" i="1"/>
  <c r="AG1900" i="1"/>
  <c r="AH1899" i="1"/>
  <c r="AG1899" i="1"/>
  <c r="AH1898" i="1"/>
  <c r="AG1898" i="1"/>
  <c r="AH1897" i="1"/>
  <c r="AG1897" i="1"/>
  <c r="AH1896" i="1"/>
  <c r="AG1896" i="1"/>
  <c r="AH1895" i="1"/>
  <c r="AG1895" i="1"/>
  <c r="AH1894" i="1"/>
  <c r="AG1894" i="1"/>
  <c r="AH1893" i="1"/>
  <c r="AG1893" i="1"/>
  <c r="AH1892" i="1"/>
  <c r="AG1892" i="1"/>
  <c r="AH1891" i="1"/>
  <c r="AG1891" i="1"/>
  <c r="AH1890" i="1"/>
  <c r="AG1890" i="1"/>
  <c r="AH1889" i="1"/>
  <c r="AG1889" i="1"/>
  <c r="AH1888" i="1"/>
  <c r="AG1888" i="1"/>
  <c r="AH1887" i="1"/>
  <c r="AG1887" i="1"/>
  <c r="AH1886" i="1"/>
  <c r="AG1886" i="1"/>
  <c r="AH1885" i="1"/>
  <c r="AG1885" i="1"/>
  <c r="AH1884" i="1"/>
  <c r="AG1884" i="1"/>
  <c r="AH1883" i="1"/>
  <c r="AG1883" i="1"/>
  <c r="AH1882" i="1"/>
  <c r="AG1882" i="1"/>
  <c r="AH1881" i="1"/>
  <c r="AG1881" i="1"/>
  <c r="AH1880" i="1"/>
  <c r="AG1880" i="1"/>
  <c r="AH1879" i="1"/>
  <c r="AG1879" i="1"/>
  <c r="AH1878" i="1"/>
  <c r="AG1878" i="1"/>
  <c r="AH1877" i="1"/>
  <c r="AG1877" i="1"/>
  <c r="AH1876" i="1"/>
  <c r="AG1876" i="1"/>
  <c r="AH1875" i="1"/>
  <c r="AG1875" i="1"/>
  <c r="AH1874" i="1"/>
  <c r="AG1874" i="1"/>
  <c r="AH1873" i="1"/>
  <c r="AG1873" i="1"/>
  <c r="AH1872" i="1"/>
  <c r="AG1872" i="1"/>
  <c r="AH1871" i="1"/>
  <c r="AG1871" i="1"/>
  <c r="AH1870" i="1"/>
  <c r="AG1870" i="1"/>
  <c r="AH1869" i="1"/>
  <c r="AG1869" i="1"/>
  <c r="AH1868" i="1"/>
  <c r="AG1868" i="1"/>
  <c r="AH1867" i="1"/>
  <c r="AG1867" i="1"/>
  <c r="AH1866" i="1"/>
  <c r="AG1866" i="1"/>
  <c r="AH1865" i="1"/>
  <c r="AG1865" i="1"/>
  <c r="AH1864" i="1"/>
  <c r="AG1864" i="1"/>
  <c r="AH1863" i="1"/>
  <c r="AG1863" i="1"/>
  <c r="AH1862" i="1"/>
  <c r="AG1862" i="1"/>
  <c r="AH1861" i="1"/>
  <c r="AG1861" i="1"/>
  <c r="AH1860" i="1"/>
  <c r="AG1860" i="1"/>
  <c r="AH1859" i="1"/>
  <c r="AG1859" i="1"/>
  <c r="AH1858" i="1"/>
  <c r="AG1858" i="1"/>
  <c r="AH1857" i="1"/>
  <c r="AG1857" i="1"/>
  <c r="AH1856" i="1"/>
  <c r="AG1856" i="1"/>
  <c r="AH1855" i="1"/>
  <c r="AG1855" i="1"/>
  <c r="AH1854" i="1"/>
  <c r="AG1854" i="1"/>
  <c r="AH1853" i="1"/>
  <c r="AG1853" i="1"/>
  <c r="AH1852" i="1"/>
  <c r="AG1852" i="1"/>
  <c r="AH1851" i="1"/>
  <c r="AG1851" i="1"/>
  <c r="AH1850" i="1"/>
  <c r="AG1850" i="1"/>
  <c r="AH1849" i="1"/>
  <c r="AG1849" i="1"/>
  <c r="AH1848" i="1"/>
  <c r="AG1848" i="1"/>
  <c r="AH1847" i="1"/>
  <c r="AG1847" i="1"/>
  <c r="AH1846" i="1"/>
  <c r="AG1846" i="1"/>
  <c r="AH1845" i="1"/>
  <c r="AG1845" i="1"/>
  <c r="AH1844" i="1"/>
  <c r="AG1844" i="1"/>
  <c r="AH1843" i="1"/>
  <c r="AG1843" i="1"/>
  <c r="AH1842" i="1"/>
  <c r="AG1842" i="1"/>
  <c r="AH1841" i="1"/>
  <c r="AG1841" i="1"/>
  <c r="AH1840" i="1"/>
  <c r="AG1840" i="1"/>
  <c r="AH1839" i="1"/>
  <c r="AG1839" i="1"/>
  <c r="AH1838" i="1"/>
  <c r="AG1838" i="1"/>
  <c r="AH1837" i="1"/>
  <c r="AG1837" i="1"/>
  <c r="AH1836" i="1"/>
  <c r="AG1836" i="1"/>
  <c r="AH1835" i="1"/>
  <c r="AG1835" i="1"/>
  <c r="AH1834" i="1"/>
  <c r="AG1834" i="1"/>
  <c r="AH1833" i="1"/>
  <c r="AG1833" i="1"/>
  <c r="AH1832" i="1"/>
  <c r="AG1832" i="1"/>
  <c r="AH1831" i="1"/>
  <c r="AG1831" i="1"/>
  <c r="AH1830" i="1"/>
  <c r="AG1830" i="1"/>
  <c r="AH1829" i="1"/>
  <c r="AG1829" i="1"/>
  <c r="AH1828" i="1"/>
  <c r="AG1828" i="1"/>
  <c r="AH1827" i="1"/>
  <c r="AH1826" i="1"/>
  <c r="AG1826" i="1"/>
  <c r="AH1825" i="1"/>
  <c r="AG1825" i="1"/>
  <c r="AH1824" i="1"/>
  <c r="AG1824" i="1"/>
  <c r="AH1823" i="1"/>
  <c r="AG1823" i="1"/>
  <c r="AH1822" i="1"/>
  <c r="AG1822" i="1"/>
  <c r="AH1821" i="1"/>
  <c r="AG1821" i="1"/>
  <c r="AH1820" i="1"/>
  <c r="AG1820" i="1"/>
  <c r="AH1819" i="1"/>
  <c r="AG1819" i="1"/>
  <c r="AH1818" i="1"/>
  <c r="AG1818" i="1"/>
  <c r="AH1817" i="1"/>
  <c r="AG1817" i="1"/>
  <c r="AH1816" i="1"/>
  <c r="AG1816" i="1"/>
  <c r="AH1815" i="1"/>
  <c r="AG1815" i="1"/>
  <c r="AH1814" i="1"/>
  <c r="AG1814" i="1"/>
  <c r="AH1813" i="1"/>
  <c r="AG1813" i="1"/>
  <c r="AH1812" i="1"/>
  <c r="AG1812" i="1"/>
  <c r="AH1811" i="1"/>
  <c r="AG1811" i="1"/>
  <c r="AH1810" i="1"/>
  <c r="AG1810" i="1"/>
  <c r="AH1809" i="1"/>
  <c r="AG1809" i="1"/>
  <c r="AH1808" i="1"/>
  <c r="AG1808" i="1"/>
  <c r="AH1807" i="1"/>
  <c r="AG1807" i="1"/>
  <c r="AH1806" i="1"/>
  <c r="AG1806" i="1"/>
  <c r="AH1805" i="1"/>
  <c r="AG1805" i="1"/>
  <c r="AH1804" i="1"/>
  <c r="AG1804" i="1"/>
  <c r="AH1803" i="1"/>
  <c r="AG1803" i="1"/>
  <c r="AH1802" i="1"/>
  <c r="AG1802" i="1"/>
  <c r="AH1801" i="1"/>
  <c r="AG1801" i="1"/>
  <c r="AH1800" i="1"/>
  <c r="AG1800" i="1"/>
  <c r="AH1799" i="1"/>
  <c r="AG1799" i="1"/>
  <c r="AH1798" i="1"/>
  <c r="AG1798" i="1"/>
  <c r="AH1797" i="1"/>
  <c r="AG1797" i="1"/>
  <c r="AH1796" i="1"/>
  <c r="AG1796" i="1"/>
  <c r="AH1795" i="1"/>
  <c r="AG1795" i="1"/>
  <c r="AH1794" i="1"/>
  <c r="AG1794" i="1"/>
  <c r="AH1793" i="1"/>
  <c r="AG1793" i="1"/>
  <c r="AH1792" i="1"/>
  <c r="AG1792" i="1"/>
  <c r="AH1791" i="1"/>
  <c r="AG1791" i="1"/>
  <c r="AH1790" i="1"/>
  <c r="AG1790" i="1"/>
  <c r="AH1789" i="1"/>
  <c r="AG1789" i="1"/>
  <c r="AH1788" i="1"/>
  <c r="AG1788" i="1"/>
  <c r="AH1787" i="1"/>
  <c r="AG1787" i="1"/>
  <c r="AH1786" i="1"/>
  <c r="AG1786" i="1"/>
  <c r="AH1785" i="1"/>
  <c r="AG1785" i="1"/>
  <c r="AH1784" i="1"/>
  <c r="AG1784" i="1"/>
  <c r="AH1783" i="1"/>
  <c r="AG1783" i="1"/>
  <c r="AH1782" i="1"/>
  <c r="AG1782" i="1"/>
  <c r="AH1781" i="1"/>
  <c r="AG1781" i="1"/>
  <c r="AH1780" i="1"/>
  <c r="AG1780" i="1"/>
  <c r="AH1779" i="1"/>
  <c r="AG1779" i="1"/>
  <c r="AH1778" i="1"/>
  <c r="AG1778" i="1"/>
  <c r="AH1777" i="1"/>
  <c r="AG1777" i="1"/>
  <c r="AH1776" i="1"/>
  <c r="AG1776" i="1"/>
  <c r="AH1775" i="1"/>
  <c r="AG1775" i="1"/>
  <c r="AH1774" i="1"/>
  <c r="AG1774" i="1"/>
  <c r="AH1773" i="1"/>
  <c r="AG1773" i="1"/>
  <c r="AH1772" i="1"/>
  <c r="AG1772" i="1"/>
  <c r="AH1771" i="1"/>
  <c r="AG1771" i="1"/>
  <c r="AH1770" i="1"/>
  <c r="AG1770" i="1"/>
  <c r="AH1769" i="1"/>
  <c r="AG1769" i="1"/>
  <c r="AH1768" i="1"/>
  <c r="AG1768" i="1"/>
  <c r="AH1767" i="1"/>
  <c r="AG1767" i="1"/>
  <c r="AH1766" i="1"/>
  <c r="AG1766" i="1"/>
  <c r="AH1765" i="1"/>
  <c r="AG1765" i="1"/>
  <c r="AH1764" i="1"/>
  <c r="AG1764" i="1"/>
  <c r="AH1763" i="1"/>
  <c r="AG1763" i="1"/>
  <c r="AH1762" i="1"/>
  <c r="AG1762" i="1"/>
  <c r="AH1761" i="1"/>
  <c r="AG1761" i="1"/>
  <c r="AH1760" i="1"/>
  <c r="AG1760" i="1"/>
  <c r="AH1759" i="1"/>
  <c r="AG1759" i="1"/>
  <c r="AH1758" i="1"/>
  <c r="AG1758" i="1"/>
  <c r="AH1757" i="1"/>
  <c r="AG1757" i="1"/>
  <c r="AH1756" i="1"/>
  <c r="AG1756" i="1"/>
  <c r="AH1755" i="1"/>
  <c r="AG1755" i="1"/>
  <c r="AH1754" i="1"/>
  <c r="AG1754" i="1"/>
  <c r="AH1753" i="1"/>
  <c r="AG1753" i="1"/>
  <c r="AH1752" i="1"/>
  <c r="AG1752" i="1"/>
  <c r="AH1751" i="1"/>
  <c r="AG1751" i="1"/>
  <c r="AH1750" i="1"/>
  <c r="AG1750" i="1"/>
  <c r="AH1749" i="1"/>
  <c r="AG1749" i="1"/>
  <c r="AH1748" i="1"/>
  <c r="AG1748" i="1"/>
  <c r="AH1747" i="1"/>
  <c r="AG1747" i="1"/>
  <c r="AH1746" i="1"/>
  <c r="AG1746" i="1"/>
  <c r="AH1745" i="1"/>
  <c r="AG1745" i="1"/>
  <c r="AH1744" i="1"/>
  <c r="AG1744" i="1"/>
  <c r="AH1743" i="1"/>
  <c r="AG1743" i="1"/>
  <c r="AH1742" i="1"/>
  <c r="AG1742" i="1"/>
  <c r="AH1741" i="1"/>
  <c r="AG1741" i="1"/>
  <c r="AH1740" i="1"/>
  <c r="AG1740" i="1"/>
  <c r="AH1739" i="1"/>
  <c r="AG1739" i="1"/>
  <c r="AH1738" i="1"/>
  <c r="AG1738" i="1"/>
  <c r="AH1737" i="1"/>
  <c r="AG1737" i="1"/>
  <c r="AH1736" i="1"/>
  <c r="AG1736" i="1"/>
  <c r="AH1735" i="1"/>
  <c r="AG1735" i="1"/>
  <c r="AH1734" i="1"/>
  <c r="AG1734" i="1"/>
  <c r="AH1733" i="1"/>
  <c r="AG1733" i="1"/>
  <c r="AH1732" i="1"/>
  <c r="AG1732" i="1"/>
  <c r="AH1731" i="1"/>
  <c r="AG1731" i="1"/>
  <c r="AH1730" i="1"/>
  <c r="AG1730" i="1"/>
  <c r="AH1729" i="1"/>
  <c r="AG1729" i="1"/>
  <c r="AH1728" i="1"/>
  <c r="AG1728" i="1"/>
  <c r="AH1727" i="1"/>
  <c r="AG1727" i="1"/>
  <c r="AH1726" i="1"/>
  <c r="AG1726" i="1"/>
  <c r="AH1725" i="1"/>
  <c r="AG1725" i="1"/>
  <c r="AH1724" i="1"/>
  <c r="AG1724" i="1"/>
  <c r="AH1723" i="1"/>
  <c r="AG1723" i="1"/>
  <c r="AH1722" i="1"/>
  <c r="AG1722" i="1"/>
  <c r="AH1721" i="1"/>
  <c r="AG1721" i="1"/>
  <c r="AH1720" i="1"/>
  <c r="AG1720" i="1"/>
  <c r="AH1719" i="1"/>
  <c r="AG1719" i="1"/>
  <c r="AH1718" i="1"/>
  <c r="AG1718" i="1"/>
  <c r="AH1717" i="1"/>
  <c r="AG1717" i="1"/>
  <c r="AH1716" i="1"/>
  <c r="AG1716" i="1"/>
  <c r="AH1715" i="1"/>
  <c r="AG1715" i="1"/>
  <c r="AH1714" i="1"/>
  <c r="AG1714" i="1"/>
  <c r="AH1713" i="1"/>
  <c r="AG1713" i="1"/>
  <c r="AH1712" i="1"/>
  <c r="AG1712" i="1"/>
  <c r="AH1711" i="1"/>
  <c r="AG1711" i="1"/>
  <c r="AH1710" i="1"/>
  <c r="AG1710" i="1"/>
  <c r="AH1709" i="1"/>
  <c r="AG1709" i="1"/>
  <c r="AH1708" i="1"/>
  <c r="AG1708" i="1"/>
  <c r="AH1707" i="1"/>
  <c r="AG1707" i="1"/>
  <c r="AH1706" i="1"/>
  <c r="AG1706" i="1"/>
  <c r="AH1705" i="1"/>
  <c r="AG1705" i="1"/>
  <c r="AH1704" i="1"/>
  <c r="AG1704" i="1"/>
  <c r="AH1703" i="1"/>
  <c r="AG1703" i="1"/>
  <c r="AH1702" i="1"/>
  <c r="AG1702" i="1"/>
  <c r="AH1701" i="1"/>
  <c r="AG1701" i="1"/>
  <c r="AH1700" i="1"/>
  <c r="AG1700" i="1"/>
  <c r="AH1699" i="1"/>
  <c r="AG1699" i="1"/>
  <c r="AH1698" i="1"/>
  <c r="AG1698" i="1"/>
  <c r="AH1697" i="1"/>
  <c r="AG1697" i="1"/>
  <c r="AH1696" i="1"/>
  <c r="AG1696" i="1"/>
  <c r="AH1695" i="1"/>
  <c r="AG1695" i="1"/>
  <c r="AH1694" i="1"/>
  <c r="AG1694" i="1"/>
  <c r="AH1693" i="1"/>
  <c r="AG1693" i="1"/>
  <c r="AH1692" i="1"/>
  <c r="AG1692" i="1"/>
  <c r="AH1691" i="1"/>
  <c r="AG1691" i="1"/>
  <c r="AH1690" i="1"/>
  <c r="AG1690" i="1"/>
  <c r="AH1689" i="1"/>
  <c r="AG1689" i="1"/>
  <c r="AH1688" i="1"/>
  <c r="AG1688" i="1"/>
  <c r="AH1687" i="1"/>
  <c r="AG1687" i="1"/>
  <c r="AH1686" i="1"/>
  <c r="AG1686" i="1"/>
  <c r="AH1685" i="1"/>
  <c r="AG1685" i="1"/>
  <c r="AH1684" i="1"/>
  <c r="AG1684" i="1"/>
  <c r="AH1683" i="1"/>
  <c r="AG1683" i="1"/>
  <c r="AH1682" i="1"/>
  <c r="AG1682" i="1"/>
  <c r="AH1681" i="1"/>
  <c r="AG1681" i="1"/>
  <c r="AH1680" i="1"/>
  <c r="AG1680" i="1"/>
  <c r="AH1679" i="1"/>
  <c r="AG1679" i="1"/>
  <c r="AH1678" i="1"/>
  <c r="AG1678" i="1"/>
  <c r="AH1677" i="1"/>
  <c r="AG1677" i="1"/>
  <c r="AH1676" i="1"/>
  <c r="AH1675" i="1"/>
  <c r="AG1675" i="1"/>
  <c r="AH1674" i="1"/>
  <c r="AG1674" i="1"/>
  <c r="AH1673" i="1"/>
  <c r="AG1673" i="1"/>
  <c r="AH1672" i="1"/>
  <c r="AG1672" i="1"/>
  <c r="AH1671" i="1"/>
  <c r="AG1671" i="1"/>
  <c r="AH1670" i="1"/>
  <c r="AG1670" i="1"/>
  <c r="AH1669" i="1"/>
  <c r="AG1669" i="1"/>
  <c r="AH1668" i="1"/>
  <c r="AG1668" i="1"/>
  <c r="AH1667" i="1"/>
  <c r="AG1667" i="1"/>
  <c r="AH1666" i="1"/>
  <c r="AG1666" i="1"/>
  <c r="AH1665" i="1"/>
  <c r="AG1665" i="1"/>
  <c r="AH1664" i="1"/>
  <c r="AG1664" i="1"/>
  <c r="AH1663" i="1"/>
  <c r="AG1663" i="1"/>
  <c r="AH1662" i="1"/>
  <c r="AG1662" i="1"/>
  <c r="AH1661" i="1"/>
  <c r="AG1661" i="1"/>
  <c r="AH1660" i="1"/>
  <c r="AG1660" i="1"/>
  <c r="AH1659" i="1"/>
  <c r="AG1659" i="1"/>
  <c r="AH1658" i="1"/>
  <c r="AG1658" i="1"/>
  <c r="AH1657" i="1"/>
  <c r="AG1657" i="1"/>
  <c r="AH1656" i="1"/>
  <c r="AG1656" i="1"/>
  <c r="AH1655" i="1"/>
  <c r="AG1655" i="1"/>
  <c r="AH1654" i="1"/>
  <c r="AG1654" i="1"/>
  <c r="AH1653" i="1"/>
  <c r="AG1653" i="1"/>
  <c r="AH1652" i="1"/>
  <c r="AG1652" i="1"/>
  <c r="AH1651" i="1"/>
  <c r="AG1651" i="1"/>
  <c r="AH1650" i="1"/>
  <c r="AG1650" i="1"/>
  <c r="AH1649" i="1"/>
  <c r="AG1649" i="1"/>
  <c r="AH1648" i="1"/>
  <c r="AG1648" i="1"/>
  <c r="AH1647" i="1"/>
  <c r="AG1647" i="1"/>
  <c r="AH1646" i="1"/>
  <c r="AG1646" i="1"/>
  <c r="AH1645" i="1"/>
  <c r="AG1645" i="1"/>
  <c r="AH1644" i="1"/>
  <c r="AG1644" i="1"/>
  <c r="AH1643" i="1"/>
  <c r="AG1643" i="1"/>
  <c r="AH1642" i="1"/>
  <c r="AG1642" i="1"/>
  <c r="AH1641" i="1"/>
  <c r="AG1641" i="1"/>
  <c r="AH1640" i="1"/>
  <c r="AG1640" i="1"/>
  <c r="AH1639" i="1"/>
  <c r="AG1639" i="1"/>
  <c r="AH1638" i="1"/>
  <c r="AG1638" i="1"/>
  <c r="AH1637" i="1"/>
  <c r="AG1637" i="1"/>
  <c r="AH1636" i="1"/>
  <c r="AG1636" i="1"/>
  <c r="AH1635" i="1"/>
  <c r="AG1635" i="1"/>
  <c r="AH1634" i="1"/>
  <c r="AG1634" i="1"/>
  <c r="AH1633" i="1"/>
  <c r="AG1633" i="1"/>
  <c r="AH1632" i="1"/>
  <c r="AG1632" i="1"/>
  <c r="AH1631" i="1"/>
  <c r="AG1631" i="1"/>
  <c r="AH1630" i="1"/>
  <c r="AG1630" i="1"/>
  <c r="AH1629" i="1"/>
  <c r="AG1629" i="1"/>
  <c r="AH1628" i="1"/>
  <c r="AG1628" i="1"/>
  <c r="AH1627" i="1"/>
  <c r="AG1627" i="1"/>
  <c r="AH1626" i="1"/>
  <c r="AG1626" i="1"/>
  <c r="AH1625" i="1"/>
  <c r="AG1625" i="1"/>
  <c r="AH1624" i="1"/>
  <c r="AG1624" i="1"/>
  <c r="AH1623" i="1"/>
  <c r="AG1623" i="1"/>
  <c r="AH1622" i="1"/>
  <c r="AG1622" i="1"/>
  <c r="AH1621" i="1"/>
  <c r="AG1621" i="1"/>
  <c r="AH1620" i="1"/>
  <c r="AG1620" i="1"/>
  <c r="AH1619" i="1"/>
  <c r="AG1619" i="1"/>
  <c r="AH1618" i="1"/>
  <c r="AG1618" i="1"/>
  <c r="AH1617" i="1"/>
  <c r="AG1617" i="1"/>
  <c r="AH1616" i="1"/>
  <c r="AG1616" i="1"/>
  <c r="AH1615" i="1"/>
  <c r="AG1615" i="1"/>
  <c r="AH1614" i="1"/>
  <c r="AG1614" i="1"/>
  <c r="AH1613" i="1"/>
  <c r="AG1613" i="1"/>
  <c r="AH1612" i="1"/>
  <c r="AG1612" i="1"/>
  <c r="AH1611" i="1"/>
  <c r="AG1611" i="1"/>
  <c r="AH1610" i="1"/>
  <c r="AG1610" i="1"/>
  <c r="AH1609" i="1"/>
  <c r="AG1609" i="1"/>
  <c r="AH1608" i="1"/>
  <c r="AG1608" i="1"/>
  <c r="AH1607" i="1"/>
  <c r="AG1607" i="1"/>
  <c r="AH1606" i="1"/>
  <c r="AG1606" i="1"/>
  <c r="AH1605" i="1"/>
  <c r="AG1605" i="1"/>
  <c r="AH1604" i="1"/>
  <c r="AG1604" i="1"/>
  <c r="AH1603" i="1"/>
  <c r="AG1603" i="1"/>
  <c r="AH1602" i="1"/>
  <c r="AG1602" i="1"/>
  <c r="AH1601" i="1"/>
  <c r="AG1601" i="1"/>
  <c r="AH1600" i="1"/>
  <c r="AG1600" i="1"/>
  <c r="AH1599" i="1"/>
  <c r="AG1599" i="1"/>
  <c r="AH1598" i="1"/>
  <c r="AG1598" i="1"/>
  <c r="AH1597" i="1"/>
  <c r="AG1597" i="1"/>
  <c r="AH1596" i="1"/>
  <c r="AG1596" i="1"/>
  <c r="AH1595" i="1"/>
  <c r="AG1595" i="1"/>
  <c r="AH1594" i="1"/>
  <c r="AG1594" i="1"/>
  <c r="AH1593" i="1"/>
  <c r="AG1593" i="1"/>
  <c r="AH1592" i="1"/>
  <c r="AG1592" i="1"/>
  <c r="AH1591" i="1"/>
  <c r="AG1591" i="1"/>
  <c r="AH1590" i="1"/>
  <c r="AG1590" i="1"/>
  <c r="AH1589" i="1"/>
  <c r="AG1589" i="1"/>
  <c r="AH1588" i="1"/>
  <c r="AG1588" i="1"/>
  <c r="AH1587" i="1"/>
  <c r="AG1587" i="1"/>
  <c r="AH1586" i="1"/>
  <c r="AG1586" i="1"/>
  <c r="AH1585" i="1"/>
  <c r="AG1585" i="1"/>
  <c r="AH1584" i="1"/>
  <c r="AG1584" i="1"/>
  <c r="AH1583" i="1"/>
  <c r="AG1583" i="1"/>
  <c r="AH1582" i="1"/>
  <c r="AG1582" i="1"/>
  <c r="AH1581" i="1"/>
  <c r="AG1581" i="1"/>
  <c r="AH1580" i="1"/>
  <c r="AG1580" i="1"/>
  <c r="AH1579" i="1"/>
  <c r="AG1579" i="1"/>
  <c r="AH1578" i="1"/>
  <c r="AG1578" i="1"/>
  <c r="AH1577" i="1"/>
  <c r="AG1577" i="1"/>
  <c r="AH1576" i="1"/>
  <c r="AG1576" i="1"/>
  <c r="AH1575" i="1"/>
  <c r="AG1575" i="1"/>
  <c r="AH1574" i="1"/>
  <c r="AG1574" i="1"/>
  <c r="AH1573" i="1"/>
  <c r="AG1573" i="1"/>
  <c r="AH1572" i="1"/>
  <c r="AG1572" i="1"/>
  <c r="AH1571" i="1"/>
  <c r="AG1571" i="1"/>
  <c r="AH1570" i="1"/>
  <c r="AG1570" i="1"/>
  <c r="AH1569" i="1"/>
  <c r="AG1569" i="1"/>
  <c r="AH1568" i="1"/>
  <c r="AG1568" i="1"/>
  <c r="AH1567" i="1"/>
  <c r="AG1567" i="1"/>
  <c r="AH1566" i="1"/>
  <c r="AG1566" i="1"/>
  <c r="AH1565" i="1"/>
  <c r="AG1565" i="1"/>
  <c r="AH1564" i="1"/>
  <c r="AG1564" i="1"/>
  <c r="AH1563" i="1"/>
  <c r="AG1563" i="1"/>
  <c r="AH1562" i="1"/>
  <c r="AG1562" i="1"/>
  <c r="AH1561" i="1"/>
  <c r="AG1561" i="1"/>
  <c r="AH1560" i="1"/>
  <c r="AG1560" i="1"/>
  <c r="AH1559" i="1"/>
  <c r="AG1559" i="1"/>
  <c r="AH1558" i="1"/>
  <c r="AG1558" i="1"/>
  <c r="AH1557" i="1"/>
  <c r="AG1557" i="1"/>
  <c r="AH1556" i="1"/>
  <c r="AG1556" i="1"/>
  <c r="AH1555" i="1"/>
  <c r="AG1555" i="1"/>
  <c r="AH1554" i="1"/>
  <c r="AG1554" i="1"/>
  <c r="AH1553" i="1"/>
  <c r="AG1553" i="1"/>
  <c r="AH1552" i="1"/>
  <c r="AG1552" i="1"/>
  <c r="AH1551" i="1"/>
  <c r="AG1551" i="1"/>
  <c r="AH1550" i="1"/>
  <c r="AG1550" i="1"/>
  <c r="AH1549" i="1"/>
  <c r="AG1549" i="1"/>
  <c r="AH1548" i="1"/>
  <c r="AG1548" i="1"/>
  <c r="AH1547" i="1"/>
  <c r="AG1547" i="1"/>
  <c r="AH1546" i="1"/>
  <c r="AG1546" i="1"/>
  <c r="AH1545" i="1"/>
  <c r="AG1545" i="1"/>
  <c r="AH1544" i="1"/>
  <c r="AG1544" i="1"/>
  <c r="AH1543" i="1"/>
  <c r="AG1543" i="1"/>
  <c r="AH1542" i="1"/>
  <c r="AG1542" i="1"/>
  <c r="AH1541" i="1"/>
  <c r="AG1541" i="1"/>
  <c r="AH1540" i="1"/>
  <c r="AG1540" i="1"/>
  <c r="AH1539" i="1"/>
  <c r="AG1539" i="1"/>
  <c r="AH1538" i="1"/>
  <c r="AG1538" i="1"/>
  <c r="AH1537" i="1"/>
  <c r="AG1537" i="1"/>
  <c r="AH1536" i="1"/>
  <c r="AG1536" i="1"/>
  <c r="AH1535" i="1"/>
  <c r="AG1535" i="1"/>
  <c r="AH1534" i="1"/>
  <c r="AG1534" i="1"/>
  <c r="AH1533" i="1"/>
  <c r="AG1533" i="1"/>
  <c r="AH1532" i="1"/>
  <c r="AG1532" i="1"/>
  <c r="AH1531" i="1"/>
  <c r="AG1531" i="1"/>
  <c r="AH1530" i="1"/>
  <c r="AG1530" i="1"/>
  <c r="AH1529" i="1"/>
  <c r="AG1529" i="1"/>
  <c r="AH1528" i="1"/>
  <c r="AG1528" i="1"/>
  <c r="AH1527" i="1"/>
  <c r="AG1527" i="1"/>
  <c r="AH1526" i="1"/>
  <c r="AG1526" i="1"/>
  <c r="AH1525" i="1"/>
  <c r="AG1525" i="1"/>
  <c r="AH1524" i="1"/>
  <c r="AG1524" i="1"/>
  <c r="AH1523" i="1"/>
  <c r="AG1523" i="1"/>
  <c r="AH1522" i="1"/>
  <c r="AG1522" i="1"/>
  <c r="AH1521" i="1"/>
  <c r="AG1521" i="1"/>
  <c r="AH1520" i="1"/>
  <c r="AG1520" i="1"/>
  <c r="AH1519" i="1"/>
  <c r="AH1518" i="1"/>
  <c r="AG1518" i="1"/>
  <c r="AH1517" i="1"/>
  <c r="AG1517" i="1"/>
  <c r="AH1516" i="1"/>
  <c r="AG1516" i="1"/>
  <c r="AH1515" i="1"/>
  <c r="AG1515" i="1"/>
  <c r="AH1514" i="1"/>
  <c r="AG1514" i="1"/>
  <c r="AH1513" i="1"/>
  <c r="AG1513" i="1"/>
  <c r="AH1512" i="1"/>
  <c r="AG1512" i="1"/>
  <c r="AH1511" i="1"/>
  <c r="AG1511" i="1"/>
  <c r="AH1510" i="1"/>
  <c r="AG1510" i="1"/>
  <c r="AH1509" i="1"/>
  <c r="AG1509" i="1"/>
  <c r="AH1508" i="1"/>
  <c r="AG1508" i="1"/>
  <c r="AH1507" i="1"/>
  <c r="AG1507" i="1"/>
  <c r="AH1506" i="1"/>
  <c r="AG1506" i="1"/>
  <c r="AH1505" i="1"/>
  <c r="AG1505" i="1"/>
  <c r="AH1504" i="1"/>
  <c r="AG1504" i="1"/>
  <c r="AH1503" i="1"/>
  <c r="AG1503" i="1"/>
  <c r="AH1502" i="1"/>
  <c r="AG1502" i="1"/>
  <c r="AH1501" i="1"/>
  <c r="AG1501" i="1"/>
  <c r="AH1500" i="1"/>
  <c r="AG1500" i="1"/>
  <c r="AH1499" i="1"/>
  <c r="AG1499" i="1"/>
  <c r="AH1498" i="1"/>
  <c r="AG1498" i="1"/>
  <c r="AH1497" i="1"/>
  <c r="AG1497" i="1"/>
  <c r="AH1496" i="1"/>
  <c r="AG1496" i="1"/>
  <c r="AH1495" i="1"/>
  <c r="AG1495" i="1"/>
  <c r="AH1494" i="1"/>
  <c r="AG1494" i="1"/>
  <c r="AH1493" i="1"/>
  <c r="AG1493" i="1"/>
  <c r="AH1492" i="1"/>
  <c r="AG1492" i="1"/>
  <c r="AH1491" i="1"/>
  <c r="AG1491" i="1"/>
  <c r="AH1490" i="1"/>
  <c r="AG1490" i="1"/>
  <c r="AH1489" i="1"/>
  <c r="AG1489" i="1"/>
  <c r="AH1488" i="1"/>
  <c r="AG1488" i="1"/>
  <c r="AH1487" i="1"/>
  <c r="AG1487" i="1"/>
  <c r="AH1486" i="1"/>
  <c r="AG1486" i="1"/>
  <c r="AH1485" i="1"/>
  <c r="AG1485" i="1"/>
  <c r="AH1484" i="1"/>
  <c r="AG1484" i="1"/>
  <c r="AH1483" i="1"/>
  <c r="AG1483" i="1"/>
  <c r="AH1482" i="1"/>
  <c r="AG1482" i="1"/>
  <c r="AH1481" i="1"/>
  <c r="AG1481" i="1"/>
  <c r="AH1480" i="1"/>
  <c r="AH1479" i="1"/>
  <c r="AG1479" i="1"/>
  <c r="AH1478" i="1"/>
  <c r="AG1478" i="1"/>
  <c r="AH1477" i="1"/>
  <c r="AG1477" i="1"/>
  <c r="AH1476" i="1"/>
  <c r="AG1476" i="1"/>
  <c r="AH1475" i="1"/>
  <c r="AG1475" i="1"/>
  <c r="AH1474" i="1"/>
  <c r="AG1474" i="1"/>
  <c r="AH1473" i="1"/>
  <c r="AG1473" i="1"/>
  <c r="AH1472" i="1"/>
  <c r="AG1472" i="1"/>
  <c r="AH1471" i="1"/>
  <c r="AG1471" i="1"/>
  <c r="AH1470" i="1"/>
  <c r="AG1470" i="1"/>
  <c r="AH1469" i="1"/>
  <c r="AG1469" i="1"/>
  <c r="AH1468" i="1"/>
  <c r="AG1468" i="1"/>
  <c r="AH1467" i="1"/>
  <c r="AG1467" i="1"/>
  <c r="AH1466" i="1"/>
  <c r="AG1466" i="1"/>
  <c r="AH1465" i="1"/>
  <c r="AG1465" i="1"/>
  <c r="AH1464" i="1"/>
  <c r="AG1464" i="1"/>
  <c r="AH1463" i="1"/>
  <c r="AG1463" i="1"/>
  <c r="AH1462" i="1"/>
  <c r="AG1462" i="1"/>
  <c r="AH1461" i="1"/>
  <c r="AG1461" i="1"/>
  <c r="AH1460" i="1"/>
  <c r="AG1460" i="1"/>
  <c r="AH1459" i="1"/>
  <c r="AG1459" i="1"/>
  <c r="AH1458" i="1"/>
  <c r="AG1458" i="1"/>
  <c r="AH1457" i="1"/>
  <c r="AG1457" i="1"/>
  <c r="AH1456" i="1"/>
  <c r="AG1456" i="1"/>
  <c r="AH1455" i="1"/>
  <c r="AG1455" i="1"/>
  <c r="AH1454" i="1"/>
  <c r="AG1454" i="1"/>
  <c r="AH1453" i="1"/>
  <c r="AG1453" i="1"/>
  <c r="AH1452" i="1"/>
  <c r="AG1452" i="1"/>
  <c r="AH1451" i="1"/>
  <c r="AG1451" i="1"/>
  <c r="AH1450" i="1"/>
  <c r="AG1450" i="1"/>
  <c r="AH1449" i="1"/>
  <c r="AG1449" i="1"/>
  <c r="AH1448" i="1"/>
  <c r="AG1448" i="1"/>
  <c r="AH1447" i="1"/>
  <c r="AG1447" i="1"/>
  <c r="AH1446" i="1"/>
  <c r="AG1446" i="1"/>
  <c r="AH1445" i="1"/>
  <c r="AG1445" i="1"/>
  <c r="AH1444" i="1"/>
  <c r="AG1444" i="1"/>
  <c r="AH1443" i="1"/>
  <c r="AG1443" i="1"/>
  <c r="AH1442" i="1"/>
  <c r="AG1442" i="1"/>
  <c r="AH1441" i="1"/>
  <c r="AG1441" i="1"/>
  <c r="AH1440" i="1"/>
  <c r="AG1440" i="1"/>
  <c r="AH1439" i="1"/>
  <c r="AG1439" i="1"/>
  <c r="AH1438" i="1"/>
  <c r="AG1438" i="1"/>
  <c r="AH1437" i="1"/>
  <c r="AG1437" i="1"/>
  <c r="AH1436" i="1"/>
  <c r="AG1436" i="1"/>
  <c r="AH1435" i="1"/>
  <c r="AG1435" i="1"/>
  <c r="AH1434" i="1"/>
  <c r="AG1434" i="1"/>
  <c r="AH1433" i="1"/>
  <c r="AG1433" i="1"/>
  <c r="AH1432" i="1"/>
  <c r="AG1432" i="1"/>
  <c r="AH1431" i="1"/>
  <c r="AG1431" i="1"/>
  <c r="AH1430" i="1"/>
  <c r="AG1430" i="1"/>
  <c r="AH1429" i="1"/>
  <c r="AG1429" i="1"/>
  <c r="AH1428" i="1"/>
  <c r="AG1428" i="1"/>
  <c r="AH1427" i="1"/>
  <c r="AG1427" i="1"/>
  <c r="AH1426" i="1"/>
  <c r="AG1426" i="1"/>
  <c r="AH1425" i="1"/>
  <c r="AG1425" i="1"/>
  <c r="AH1424" i="1"/>
  <c r="AG1424" i="1"/>
  <c r="AH1423" i="1"/>
  <c r="AG1423" i="1"/>
  <c r="AH1422" i="1"/>
  <c r="AG1422" i="1"/>
  <c r="AH1421" i="1"/>
  <c r="AG1421" i="1"/>
  <c r="AH1420" i="1"/>
  <c r="AG1420" i="1"/>
  <c r="AH1419" i="1"/>
  <c r="AG1419" i="1"/>
  <c r="AH1418" i="1"/>
  <c r="AG1418" i="1"/>
  <c r="AH1417" i="1"/>
  <c r="AG1417" i="1"/>
  <c r="AH1416" i="1"/>
  <c r="AG1416" i="1"/>
  <c r="AH1415" i="1"/>
  <c r="AG1415" i="1"/>
  <c r="AH1414" i="1"/>
  <c r="AG1414" i="1"/>
  <c r="AH1413" i="1"/>
  <c r="AG1413" i="1"/>
  <c r="AH1412" i="1"/>
  <c r="AG1412" i="1"/>
  <c r="AH1411" i="1"/>
  <c r="AG1411" i="1"/>
  <c r="AH1410" i="1"/>
  <c r="AG1410" i="1"/>
  <c r="AH1409" i="1"/>
  <c r="AG1409" i="1"/>
  <c r="AH1408" i="1"/>
  <c r="AG1408" i="1"/>
  <c r="AH1407" i="1"/>
  <c r="AG1407" i="1"/>
  <c r="AH1406" i="1"/>
  <c r="AG1406" i="1"/>
  <c r="AH1405" i="1"/>
  <c r="AG1405" i="1"/>
  <c r="AH1404" i="1"/>
  <c r="AG1404" i="1"/>
  <c r="AH1403" i="1"/>
  <c r="AG1403" i="1"/>
  <c r="AH1402" i="1"/>
  <c r="AG1402" i="1"/>
  <c r="AH1401" i="1"/>
  <c r="AG1401" i="1"/>
  <c r="AH1400" i="1"/>
  <c r="AG1400" i="1"/>
  <c r="AH1399" i="1"/>
  <c r="AG1399" i="1"/>
  <c r="AH1398" i="1"/>
  <c r="AG1398" i="1"/>
  <c r="AH1397" i="1"/>
  <c r="AG1397" i="1"/>
  <c r="AH1396" i="1"/>
  <c r="AG1396" i="1"/>
  <c r="AH1395" i="1"/>
  <c r="AG1395" i="1"/>
  <c r="AH1394" i="1"/>
  <c r="AG1394" i="1"/>
  <c r="AH1393" i="1"/>
  <c r="AG1393" i="1"/>
  <c r="AH1392" i="1"/>
  <c r="AG1392" i="1"/>
  <c r="AH1391" i="1"/>
  <c r="AG1391" i="1"/>
  <c r="AH1390" i="1"/>
  <c r="AG1390" i="1"/>
  <c r="AH1389" i="1"/>
  <c r="AG1389" i="1"/>
  <c r="AH1388" i="1"/>
  <c r="AG1388" i="1"/>
  <c r="AH1387" i="1"/>
  <c r="AG1387" i="1"/>
  <c r="AH1386" i="1"/>
  <c r="AG1386" i="1"/>
  <c r="AH1385" i="1"/>
  <c r="AG1385" i="1"/>
  <c r="AH1384" i="1"/>
  <c r="AG1384" i="1"/>
  <c r="AH1383" i="1"/>
  <c r="AG1383" i="1"/>
  <c r="AH1382" i="1"/>
  <c r="AG1382" i="1"/>
  <c r="AH1381" i="1"/>
  <c r="AG1381" i="1"/>
  <c r="AH1380" i="1"/>
  <c r="AG1380" i="1"/>
  <c r="AH1379" i="1"/>
  <c r="AG1379" i="1"/>
  <c r="AH1378" i="1"/>
  <c r="AG1378" i="1"/>
  <c r="AH1377" i="1"/>
  <c r="AG1377" i="1"/>
  <c r="AH1376" i="1"/>
  <c r="AG1376" i="1"/>
  <c r="AH1375" i="1"/>
  <c r="AG1375" i="1"/>
  <c r="AH1374" i="1"/>
  <c r="AG1374" i="1"/>
  <c r="AH1373" i="1"/>
  <c r="AG1373" i="1"/>
  <c r="AH1372" i="1"/>
  <c r="AG1372" i="1"/>
  <c r="AH1371" i="1"/>
  <c r="AG1371" i="1"/>
  <c r="AH1370" i="1"/>
  <c r="AG1370" i="1"/>
  <c r="AH1369" i="1"/>
  <c r="AG1369" i="1"/>
  <c r="AH1368" i="1"/>
  <c r="AG1368" i="1"/>
  <c r="AH1367" i="1"/>
  <c r="AG1367" i="1"/>
  <c r="AH1366" i="1"/>
  <c r="AG1366" i="1"/>
  <c r="AH1365" i="1"/>
  <c r="AG1365" i="1"/>
  <c r="AH1364" i="1"/>
  <c r="AG1364" i="1"/>
  <c r="AH1363" i="1"/>
  <c r="AG1363" i="1"/>
  <c r="AH1362" i="1"/>
  <c r="AG1362" i="1"/>
  <c r="AH1361" i="1"/>
  <c r="AG1361" i="1"/>
  <c r="AH1360" i="1"/>
  <c r="AG1360" i="1"/>
  <c r="AH1359" i="1"/>
  <c r="AG1359" i="1"/>
  <c r="AH1358" i="1"/>
  <c r="AG1358" i="1"/>
  <c r="AH1357" i="1"/>
  <c r="AG1357" i="1"/>
  <c r="AH1356" i="1"/>
  <c r="AG1356" i="1"/>
  <c r="AH1355" i="1"/>
  <c r="AG1355" i="1"/>
  <c r="AH1354" i="1"/>
  <c r="AG1354" i="1"/>
  <c r="AH1353" i="1"/>
  <c r="AG1353" i="1"/>
  <c r="AH1352" i="1"/>
  <c r="AG1352" i="1"/>
  <c r="AH1351" i="1"/>
  <c r="AG1351" i="1"/>
  <c r="AH1350" i="1"/>
  <c r="AG1350" i="1"/>
  <c r="AH1349" i="1"/>
  <c r="AG1349" i="1"/>
  <c r="AH1348" i="1"/>
  <c r="AG1348" i="1"/>
  <c r="AH1347" i="1"/>
  <c r="AG1347" i="1"/>
  <c r="AH1346" i="1"/>
  <c r="AG1346" i="1"/>
  <c r="AH1345" i="1"/>
  <c r="AG1345" i="1"/>
  <c r="AH1344" i="1"/>
  <c r="AG1344" i="1"/>
  <c r="AH1343" i="1"/>
  <c r="AG1343" i="1"/>
  <c r="AH1342" i="1"/>
  <c r="AG1342" i="1"/>
  <c r="AH1341" i="1"/>
  <c r="AG1341" i="1"/>
  <c r="AH1340" i="1"/>
  <c r="AG1340" i="1"/>
  <c r="AH1339" i="1"/>
  <c r="AG1339" i="1"/>
  <c r="AH1338" i="1"/>
  <c r="AG1338" i="1"/>
  <c r="AH1337" i="1"/>
  <c r="AG1337" i="1"/>
  <c r="AH1336" i="1"/>
  <c r="AG1336" i="1"/>
  <c r="AH1335" i="1"/>
  <c r="AG1335" i="1"/>
  <c r="AH1334" i="1"/>
  <c r="AG1334" i="1"/>
  <c r="AH1333" i="1"/>
  <c r="AG1333" i="1"/>
  <c r="AH1332" i="1"/>
  <c r="AG1332" i="1"/>
  <c r="AH1331" i="1"/>
  <c r="AG1331" i="1"/>
  <c r="AH1330" i="1"/>
  <c r="AG1330" i="1"/>
  <c r="AH1329" i="1"/>
  <c r="AG1329" i="1"/>
  <c r="AH1328" i="1"/>
  <c r="AG1328" i="1"/>
  <c r="AH1327" i="1"/>
  <c r="AG1327" i="1"/>
  <c r="AH1326" i="1"/>
  <c r="AG1326" i="1"/>
  <c r="AH1325" i="1"/>
  <c r="AG1325" i="1"/>
  <c r="AH1324" i="1"/>
  <c r="AG1324" i="1"/>
  <c r="AH1323" i="1"/>
  <c r="AG1323" i="1"/>
  <c r="AH1322" i="1"/>
  <c r="AG1322" i="1"/>
  <c r="AH1321" i="1"/>
  <c r="AG1321" i="1"/>
  <c r="AH1320" i="1"/>
  <c r="AG1320" i="1"/>
  <c r="AH1319" i="1"/>
  <c r="AG1319" i="1"/>
  <c r="AH1318" i="1"/>
  <c r="AG1318" i="1"/>
  <c r="AH1317" i="1"/>
  <c r="AG1317" i="1"/>
  <c r="AH1316" i="1"/>
  <c r="AG1316" i="1"/>
  <c r="AH1315" i="1"/>
  <c r="AG1315" i="1"/>
  <c r="AH1314" i="1"/>
  <c r="AG1314" i="1"/>
  <c r="AH1313" i="1"/>
  <c r="AG1313" i="1"/>
  <c r="AH1312" i="1"/>
  <c r="AG1312" i="1"/>
  <c r="AH1311" i="1"/>
  <c r="AG1311" i="1"/>
  <c r="AH1310" i="1"/>
  <c r="AG1310" i="1"/>
  <c r="AH1309" i="1"/>
  <c r="AG1309" i="1"/>
  <c r="AH1308" i="1"/>
  <c r="AG1308" i="1"/>
  <c r="AH1307" i="1"/>
  <c r="AG1307" i="1"/>
  <c r="AH1306" i="1"/>
  <c r="AG1306" i="1"/>
  <c r="AH1305" i="1"/>
  <c r="AG1305" i="1"/>
  <c r="AH1304" i="1"/>
  <c r="AG1304" i="1"/>
  <c r="AH1303" i="1"/>
  <c r="AG1303" i="1"/>
  <c r="AH1302" i="1"/>
  <c r="AG1302" i="1"/>
  <c r="AH1301" i="1"/>
  <c r="AG1301" i="1"/>
  <c r="AH1300" i="1"/>
  <c r="AG1300" i="1"/>
  <c r="AH1299" i="1"/>
  <c r="AG1299" i="1"/>
  <c r="AH1298" i="1"/>
  <c r="AG1298" i="1"/>
  <c r="AH1297" i="1"/>
  <c r="AG1297" i="1"/>
  <c r="AH1296" i="1"/>
  <c r="AG1296" i="1"/>
  <c r="AH1295" i="1"/>
  <c r="AG1295" i="1"/>
  <c r="AH1294" i="1"/>
  <c r="AG1294" i="1"/>
  <c r="AH1293" i="1"/>
  <c r="AG1293" i="1"/>
  <c r="AH1292" i="1"/>
  <c r="AG1292" i="1"/>
  <c r="AH1291" i="1"/>
  <c r="AG1291" i="1"/>
  <c r="AH1290" i="1"/>
  <c r="AG1290" i="1"/>
  <c r="AH1289" i="1"/>
  <c r="AG1289" i="1"/>
  <c r="AH1288" i="1"/>
  <c r="AG1288" i="1"/>
  <c r="AH1287" i="1"/>
  <c r="AG1287" i="1"/>
  <c r="AH1286" i="1"/>
  <c r="AG1286" i="1"/>
  <c r="AH1285" i="1"/>
  <c r="AG1285" i="1"/>
  <c r="AH1284" i="1"/>
  <c r="AG1284" i="1"/>
  <c r="AH1283" i="1"/>
  <c r="AG1283" i="1"/>
  <c r="AH1282" i="1"/>
  <c r="AG1282" i="1"/>
  <c r="AH1281" i="1"/>
  <c r="AG1281" i="1"/>
  <c r="AH1280" i="1"/>
  <c r="AG1280" i="1"/>
  <c r="AH1279" i="1"/>
  <c r="AG1279" i="1"/>
  <c r="AH1278" i="1"/>
  <c r="AG1278" i="1"/>
  <c r="AH1277" i="1"/>
  <c r="AG1277" i="1"/>
  <c r="AH1276" i="1"/>
  <c r="AG1276" i="1"/>
  <c r="AH1275" i="1"/>
  <c r="AG1275" i="1"/>
  <c r="AH1274" i="1"/>
  <c r="AG1274" i="1"/>
  <c r="AH1273" i="1"/>
  <c r="AG1273" i="1"/>
  <c r="AH1272" i="1"/>
  <c r="AG1272" i="1"/>
  <c r="AH1271" i="1"/>
  <c r="AG1271" i="1"/>
  <c r="AH1270" i="1"/>
  <c r="AG1270" i="1"/>
  <c r="AH1269" i="1"/>
  <c r="AG1269" i="1"/>
  <c r="AH1268" i="1"/>
  <c r="AG1268" i="1"/>
  <c r="AH1267" i="1"/>
  <c r="AG1267" i="1"/>
  <c r="AH1266" i="1"/>
  <c r="AG1266" i="1"/>
  <c r="AH1265" i="1"/>
  <c r="AG1265" i="1"/>
  <c r="AH1264" i="1"/>
  <c r="AG1264" i="1"/>
  <c r="AH1263" i="1"/>
  <c r="AG1263" i="1"/>
  <c r="AH1262" i="1"/>
  <c r="AG1262" i="1"/>
  <c r="AH1261" i="1"/>
  <c r="AG1261" i="1"/>
  <c r="AH1260" i="1"/>
  <c r="AG1260" i="1"/>
  <c r="AH1259" i="1"/>
  <c r="AG1259" i="1"/>
  <c r="AH1258" i="1"/>
  <c r="AG1258" i="1"/>
  <c r="AH1257" i="1"/>
  <c r="AG1257" i="1"/>
  <c r="AH1256" i="1"/>
  <c r="AG1256" i="1"/>
  <c r="AH1255" i="1"/>
  <c r="AG1255" i="1"/>
  <c r="AH1254" i="1"/>
  <c r="AG1254" i="1"/>
  <c r="AH1253" i="1"/>
  <c r="AG1253" i="1"/>
  <c r="AH1252" i="1"/>
  <c r="AG1252" i="1"/>
  <c r="AH1251" i="1"/>
  <c r="AG1251" i="1"/>
  <c r="AH1250" i="1"/>
  <c r="AG1250" i="1"/>
  <c r="AH1249" i="1"/>
  <c r="AG1249" i="1"/>
  <c r="AH1248" i="1"/>
  <c r="AG1248" i="1"/>
  <c r="AH1247" i="1"/>
  <c r="AG1247" i="1"/>
  <c r="AH1246" i="1"/>
  <c r="AG1246" i="1"/>
  <c r="AH1245" i="1"/>
  <c r="AG1245" i="1"/>
  <c r="AH1244" i="1"/>
  <c r="AG1244" i="1"/>
  <c r="AH1243" i="1"/>
  <c r="AG1243" i="1"/>
  <c r="AH1242" i="1"/>
  <c r="AG1242" i="1"/>
  <c r="AH1241" i="1"/>
  <c r="AG1241" i="1"/>
  <c r="AH1240" i="1"/>
  <c r="AG1240" i="1"/>
  <c r="AH1239" i="1"/>
  <c r="AG1239" i="1"/>
  <c r="AH1238" i="1"/>
  <c r="AG1238" i="1"/>
  <c r="AH1237" i="1"/>
  <c r="AG1237" i="1"/>
  <c r="AH1236" i="1"/>
  <c r="AG1236" i="1"/>
  <c r="AH1235" i="1"/>
  <c r="AG1235" i="1"/>
  <c r="AH1234" i="1"/>
  <c r="AG1234" i="1"/>
  <c r="AH1233" i="1"/>
  <c r="AG1233" i="1"/>
  <c r="AH1232" i="1"/>
  <c r="AG1232" i="1"/>
  <c r="AH1231" i="1"/>
  <c r="AG1231" i="1"/>
  <c r="AH1230" i="1"/>
  <c r="AG1230" i="1"/>
  <c r="AH1229" i="1"/>
  <c r="AG1229" i="1"/>
  <c r="AH1228" i="1"/>
  <c r="AG1228" i="1"/>
  <c r="AH1227" i="1"/>
  <c r="AG1227" i="1"/>
  <c r="AH1226" i="1"/>
  <c r="AG1226" i="1"/>
  <c r="AH1225" i="1"/>
  <c r="AG1225" i="1"/>
  <c r="AH1224" i="1"/>
  <c r="AG1224" i="1"/>
  <c r="AH1223" i="1"/>
  <c r="AG1223" i="1"/>
  <c r="AH1222" i="1"/>
  <c r="AG1222" i="1"/>
  <c r="AH1221" i="1"/>
  <c r="AG1221" i="1"/>
  <c r="AH1220" i="1"/>
  <c r="AG1220" i="1"/>
  <c r="AH1219" i="1"/>
  <c r="AG1219" i="1"/>
  <c r="AH1218" i="1"/>
  <c r="AG1218" i="1"/>
  <c r="AH1217" i="1"/>
  <c r="AG1217" i="1"/>
  <c r="AH1216" i="1"/>
  <c r="AG1216" i="1"/>
  <c r="AH1215" i="1"/>
  <c r="AG1215" i="1"/>
  <c r="AH1214" i="1"/>
  <c r="AG1214" i="1"/>
  <c r="AH1213" i="1"/>
  <c r="AG1213" i="1"/>
  <c r="AH1212" i="1"/>
  <c r="AG1212" i="1"/>
  <c r="AH1211" i="1"/>
  <c r="AG1211" i="1"/>
  <c r="AH1210" i="1"/>
  <c r="AG1210" i="1"/>
  <c r="AH1209" i="1"/>
  <c r="AG1209" i="1"/>
  <c r="AH1208" i="1"/>
  <c r="AG1208" i="1"/>
  <c r="AH1207" i="1"/>
  <c r="AG1207" i="1"/>
  <c r="AH1206" i="1"/>
  <c r="AG1206" i="1"/>
  <c r="AH1205" i="1"/>
  <c r="AG1205" i="1"/>
  <c r="AH1204" i="1"/>
  <c r="AG1204" i="1"/>
  <c r="AH1203" i="1"/>
  <c r="AG1203" i="1"/>
  <c r="AH1202" i="1"/>
  <c r="AG1202" i="1"/>
  <c r="AH1201" i="1"/>
  <c r="AG1201" i="1"/>
  <c r="AH1200" i="1"/>
  <c r="AG1200" i="1"/>
  <c r="AH1199" i="1"/>
  <c r="AG1199" i="1"/>
  <c r="AH1198" i="1"/>
  <c r="AG1198" i="1"/>
  <c r="AH1197" i="1"/>
  <c r="AG1197" i="1"/>
  <c r="AH1196" i="1"/>
  <c r="AG1196" i="1"/>
  <c r="AH1195" i="1"/>
  <c r="AG1195" i="1"/>
  <c r="AH1194" i="1"/>
  <c r="AG1194" i="1"/>
  <c r="AH1193" i="1"/>
  <c r="AG1193" i="1"/>
  <c r="AH1192" i="1"/>
  <c r="AG1192" i="1"/>
  <c r="AH1191" i="1"/>
  <c r="AG1191" i="1"/>
  <c r="AH1190" i="1"/>
  <c r="AG1190" i="1"/>
  <c r="AH1189" i="1"/>
  <c r="AG1189" i="1"/>
  <c r="AH1188" i="1"/>
  <c r="AG1188" i="1"/>
  <c r="AH1187" i="1"/>
  <c r="AG1187" i="1"/>
  <c r="AH1186" i="1"/>
  <c r="AG1186" i="1"/>
  <c r="AH1185" i="1"/>
  <c r="AG1185" i="1"/>
  <c r="AH1184" i="1"/>
  <c r="AG1184" i="1"/>
  <c r="AH1183" i="1"/>
  <c r="AG1183" i="1"/>
  <c r="AH1182" i="1"/>
  <c r="AG1182" i="1"/>
  <c r="AH1181" i="1"/>
  <c r="AG1181" i="1"/>
  <c r="AH1180" i="1"/>
  <c r="AG1180" i="1"/>
  <c r="AH1179" i="1"/>
  <c r="AG1179" i="1"/>
  <c r="AH1178" i="1"/>
  <c r="AG1178" i="1"/>
  <c r="AH1177" i="1"/>
  <c r="AG1177" i="1"/>
  <c r="AH1176" i="1"/>
  <c r="AG1176" i="1"/>
  <c r="AH1175" i="1"/>
  <c r="AG1175" i="1"/>
  <c r="AH1174" i="1"/>
  <c r="AG1174" i="1"/>
  <c r="AH1173" i="1"/>
  <c r="AG1173" i="1"/>
  <c r="AH1172" i="1"/>
  <c r="AG1172" i="1"/>
  <c r="AH1171" i="1"/>
  <c r="AG1171" i="1"/>
  <c r="AH1170" i="1"/>
  <c r="AG1170" i="1"/>
  <c r="AH1169" i="1"/>
  <c r="AG1169" i="1"/>
  <c r="AH1168" i="1"/>
  <c r="AG1168" i="1"/>
  <c r="AH1167" i="1"/>
  <c r="AG1167" i="1"/>
  <c r="AH1166" i="1"/>
  <c r="AG1166" i="1"/>
  <c r="AH1165" i="1"/>
  <c r="AG1165" i="1"/>
  <c r="AH1164" i="1"/>
  <c r="AG1164" i="1"/>
  <c r="AH1163" i="1"/>
  <c r="AG1163" i="1"/>
  <c r="AH1162" i="1"/>
  <c r="AG1162" i="1"/>
  <c r="AH1161" i="1"/>
  <c r="AG1161" i="1"/>
  <c r="AH1160" i="1"/>
  <c r="AG1160" i="1"/>
  <c r="AH1159" i="1"/>
  <c r="AG1159" i="1"/>
  <c r="AH1158" i="1"/>
  <c r="AG1158" i="1"/>
  <c r="AH1157" i="1"/>
  <c r="AG1157" i="1"/>
  <c r="AH1156" i="1"/>
  <c r="AG1156" i="1"/>
  <c r="AH1155" i="1"/>
  <c r="AG1155" i="1"/>
  <c r="AH1154" i="1"/>
  <c r="AG1154" i="1"/>
  <c r="AH1153" i="1"/>
  <c r="AG1153" i="1"/>
  <c r="AH1152" i="1"/>
  <c r="AG1152" i="1"/>
  <c r="AH1151" i="1"/>
  <c r="AG1151" i="1"/>
  <c r="AH1150" i="1"/>
  <c r="AG1150" i="1"/>
  <c r="AH1149" i="1"/>
  <c r="AG1149" i="1"/>
  <c r="AH1148" i="1"/>
  <c r="AG1148" i="1"/>
  <c r="AH1147" i="1"/>
  <c r="AG1147" i="1"/>
  <c r="AH1146" i="1"/>
  <c r="AG1146" i="1"/>
  <c r="AH1145" i="1"/>
  <c r="AG1145" i="1"/>
  <c r="AH1144" i="1"/>
  <c r="AG1144" i="1"/>
  <c r="AH1143" i="1"/>
  <c r="AG1143" i="1"/>
  <c r="AH1142" i="1"/>
  <c r="AG1142" i="1"/>
  <c r="AH1141" i="1"/>
  <c r="AG1141" i="1"/>
  <c r="AH1140" i="1"/>
  <c r="AG1140" i="1"/>
  <c r="AH1139" i="1"/>
  <c r="AG1139" i="1"/>
  <c r="AH1138" i="1"/>
  <c r="AG1138" i="1"/>
  <c r="AH1137" i="1"/>
  <c r="AG1137" i="1"/>
  <c r="AH1136" i="1"/>
  <c r="AG1136" i="1"/>
  <c r="AH1135" i="1"/>
  <c r="AG1135" i="1"/>
  <c r="AH1134" i="1"/>
  <c r="AG1134" i="1"/>
  <c r="AH1133" i="1"/>
  <c r="AG1133" i="1"/>
  <c r="AH1132" i="1"/>
  <c r="AG1132" i="1"/>
  <c r="AH1131" i="1"/>
  <c r="AG1131" i="1"/>
  <c r="AH1130" i="1"/>
  <c r="AG1130" i="1"/>
  <c r="AH1129" i="1"/>
  <c r="AG1129" i="1"/>
  <c r="AH1128" i="1"/>
  <c r="AG1128" i="1"/>
  <c r="AH1127" i="1"/>
  <c r="AG1127" i="1"/>
  <c r="AH1126" i="1"/>
  <c r="AG1126" i="1"/>
  <c r="AH1125" i="1"/>
  <c r="AG1125" i="1"/>
  <c r="AH1124" i="1"/>
  <c r="AG1124" i="1"/>
  <c r="AH1123" i="1"/>
  <c r="AG1123" i="1"/>
  <c r="AH1122" i="1"/>
  <c r="AG1122" i="1"/>
  <c r="AH1121" i="1"/>
  <c r="AG1121" i="1"/>
  <c r="AH1120" i="1"/>
  <c r="AG1120" i="1"/>
  <c r="AH1119" i="1"/>
  <c r="AG1119" i="1"/>
  <c r="AH1118" i="1"/>
  <c r="AG1118" i="1"/>
  <c r="AH1117" i="1"/>
  <c r="AG1117" i="1"/>
  <c r="AH1116" i="1"/>
  <c r="AG1116" i="1"/>
  <c r="AH1115" i="1"/>
  <c r="AG1115" i="1"/>
  <c r="AH1114" i="1"/>
  <c r="AG1114" i="1"/>
  <c r="AH1113" i="1"/>
  <c r="AG1113" i="1"/>
  <c r="AH1112" i="1"/>
  <c r="AG1112" i="1"/>
  <c r="AH1111" i="1"/>
  <c r="AG1111" i="1"/>
  <c r="AH1110" i="1"/>
  <c r="AG1110" i="1"/>
  <c r="AH1109" i="1"/>
  <c r="AG1109" i="1"/>
  <c r="AH1108" i="1"/>
  <c r="AG1108" i="1"/>
  <c r="AH1107" i="1"/>
  <c r="AG1107" i="1"/>
  <c r="AH1106" i="1"/>
  <c r="AG1106" i="1"/>
  <c r="AH1105" i="1"/>
  <c r="AG1105" i="1"/>
  <c r="AH1104" i="1"/>
  <c r="AG1104" i="1"/>
  <c r="AH1103" i="1"/>
  <c r="AG1103" i="1"/>
  <c r="AH1102" i="1"/>
  <c r="AG1102" i="1"/>
  <c r="AH1101" i="1"/>
  <c r="AG1101" i="1"/>
  <c r="AH1100" i="1"/>
  <c r="AG1100" i="1"/>
  <c r="AH1099" i="1"/>
  <c r="AG1099" i="1"/>
  <c r="AH1098" i="1"/>
  <c r="AG1098" i="1"/>
  <c r="AH1097" i="1"/>
  <c r="AG1097" i="1"/>
  <c r="AH1096" i="1"/>
  <c r="AG1096" i="1"/>
  <c r="AH1095" i="1"/>
  <c r="AG1095" i="1"/>
  <c r="AH1094" i="1"/>
  <c r="AG1094" i="1"/>
  <c r="AH1093" i="1"/>
  <c r="AG1093" i="1"/>
  <c r="AH1092" i="1"/>
  <c r="AG1092" i="1"/>
  <c r="AH1091" i="1"/>
  <c r="AG1091" i="1"/>
  <c r="AH1090" i="1"/>
  <c r="AG1090" i="1"/>
  <c r="AH1089" i="1"/>
  <c r="AG1089" i="1"/>
  <c r="AH1088" i="1"/>
  <c r="AG1088" i="1"/>
  <c r="AH1087" i="1"/>
  <c r="AG1087" i="1"/>
  <c r="AH1086" i="1"/>
  <c r="AG1086" i="1"/>
  <c r="AH1085" i="1"/>
  <c r="AG1085" i="1"/>
  <c r="AH1084" i="1"/>
  <c r="AG1084" i="1"/>
  <c r="AH1083" i="1"/>
  <c r="AG1083" i="1"/>
  <c r="AH1082" i="1"/>
  <c r="AG1082" i="1"/>
  <c r="AH1081" i="1"/>
  <c r="AG1081" i="1"/>
  <c r="AH1080" i="1"/>
  <c r="AG1080" i="1"/>
  <c r="AH1079" i="1"/>
  <c r="AG1079" i="1"/>
  <c r="AH1078" i="1"/>
  <c r="AG1078" i="1"/>
  <c r="AH1077" i="1"/>
  <c r="AG1077" i="1"/>
  <c r="AH1076" i="1"/>
  <c r="AG1076" i="1"/>
  <c r="AH1075" i="1"/>
  <c r="AG1075" i="1"/>
  <c r="AH1074" i="1"/>
  <c r="AG1074" i="1"/>
  <c r="AH1073" i="1"/>
  <c r="AG1073" i="1"/>
  <c r="AH1072" i="1"/>
  <c r="AG1072" i="1"/>
  <c r="AH1071" i="1"/>
  <c r="AG1071" i="1"/>
  <c r="AH1070" i="1"/>
  <c r="AG1070" i="1"/>
  <c r="AH1069" i="1"/>
  <c r="AG1069" i="1"/>
  <c r="AH1068" i="1"/>
  <c r="AG1068" i="1"/>
  <c r="AH1067" i="1"/>
  <c r="AG1067" i="1"/>
  <c r="AH1066" i="1"/>
  <c r="AG1066" i="1"/>
  <c r="AH1065" i="1"/>
  <c r="AG1065" i="1"/>
  <c r="AH1064" i="1"/>
  <c r="AG1064" i="1"/>
  <c r="AH1063" i="1"/>
  <c r="AG1063" i="1"/>
  <c r="AH1062" i="1"/>
  <c r="AG1062" i="1"/>
  <c r="AH1061" i="1"/>
  <c r="AG1061" i="1"/>
  <c r="AH1060" i="1"/>
  <c r="AG1060" i="1"/>
  <c r="AH1059" i="1"/>
  <c r="AG1059" i="1"/>
  <c r="AH1058" i="1"/>
  <c r="AG1058" i="1"/>
  <c r="AH1057" i="1"/>
  <c r="AG1057" i="1"/>
  <c r="AH1056" i="1"/>
  <c r="AG1056" i="1"/>
  <c r="AH1055" i="1"/>
  <c r="AG1055" i="1"/>
  <c r="AH1054" i="1"/>
  <c r="AG1054" i="1"/>
  <c r="AH1053" i="1"/>
  <c r="AG1053" i="1"/>
  <c r="AH1052" i="1"/>
  <c r="AG1052" i="1"/>
  <c r="AH1051" i="1"/>
  <c r="AG1051" i="1"/>
  <c r="AH1050" i="1"/>
  <c r="AG1050" i="1"/>
  <c r="AH1049" i="1"/>
  <c r="AG1049" i="1"/>
  <c r="AH1048" i="1"/>
  <c r="AG1048" i="1"/>
  <c r="AH1047" i="1"/>
  <c r="AG1047" i="1"/>
  <c r="AH1046" i="1"/>
  <c r="AG1046" i="1"/>
  <c r="AH1045" i="1"/>
  <c r="AG1045" i="1"/>
  <c r="AH1044" i="1"/>
  <c r="AG1044" i="1"/>
  <c r="AH1043" i="1"/>
  <c r="AG1043" i="1"/>
  <c r="AH1042" i="1"/>
  <c r="AG1042" i="1"/>
  <c r="AH1041" i="1"/>
  <c r="AG1041" i="1"/>
  <c r="AH1040" i="1"/>
  <c r="AG1040" i="1"/>
  <c r="AH1039" i="1"/>
  <c r="AG1039" i="1"/>
  <c r="AH1038" i="1"/>
  <c r="AG1038" i="1"/>
  <c r="AH1037" i="1"/>
  <c r="AG1037" i="1"/>
  <c r="AH1036" i="1"/>
  <c r="AG1036" i="1"/>
  <c r="AH1035" i="1"/>
  <c r="AG1035" i="1"/>
  <c r="AH1034" i="1"/>
  <c r="AG1034" i="1"/>
  <c r="AH1033" i="1"/>
  <c r="AG1033" i="1"/>
  <c r="AH1032" i="1"/>
  <c r="AG1032" i="1"/>
  <c r="AH1031" i="1"/>
  <c r="AG1031" i="1"/>
  <c r="AH1030" i="1"/>
  <c r="AG1030" i="1"/>
  <c r="AH1029" i="1"/>
  <c r="AG1029" i="1"/>
  <c r="AH1028" i="1"/>
  <c r="AG1028" i="1"/>
  <c r="AH1027" i="1"/>
  <c r="AG1027" i="1"/>
  <c r="AH1026" i="1"/>
  <c r="AG1026" i="1"/>
  <c r="AH1025" i="1"/>
  <c r="AG1025" i="1"/>
  <c r="AH1024" i="1"/>
  <c r="AG1024" i="1"/>
  <c r="AH1023" i="1"/>
  <c r="AG1023" i="1"/>
  <c r="AH1022" i="1"/>
  <c r="AG1022" i="1"/>
  <c r="AH1021" i="1"/>
  <c r="AG1021" i="1"/>
  <c r="AH1020" i="1"/>
  <c r="AG1020" i="1"/>
  <c r="AH1019" i="1"/>
  <c r="AG1019" i="1"/>
  <c r="AH1018" i="1"/>
  <c r="AG1018" i="1"/>
  <c r="AH1017" i="1"/>
  <c r="AG1017" i="1"/>
  <c r="AH1016" i="1"/>
  <c r="AG1016" i="1"/>
  <c r="AH1015" i="1"/>
  <c r="AG1015" i="1"/>
  <c r="AH1014" i="1"/>
  <c r="AG1014" i="1"/>
  <c r="AH1013" i="1"/>
  <c r="AG1013" i="1"/>
  <c r="AH1012" i="1"/>
  <c r="AG1012" i="1"/>
  <c r="AH1011" i="1"/>
  <c r="AG1011" i="1"/>
  <c r="AH1010" i="1"/>
  <c r="AG1010" i="1"/>
  <c r="AH1009" i="1"/>
  <c r="AG1009" i="1"/>
  <c r="AH1008" i="1"/>
  <c r="AG1008" i="1"/>
  <c r="AH1007" i="1"/>
  <c r="AG1007" i="1"/>
  <c r="AH1006" i="1"/>
  <c r="AG1006" i="1"/>
  <c r="AH1005" i="1"/>
  <c r="AG1005" i="1"/>
  <c r="AH1004" i="1"/>
  <c r="AG1004" i="1"/>
  <c r="AH1003" i="1"/>
  <c r="AG1003" i="1"/>
  <c r="AH1002" i="1"/>
  <c r="AG1002" i="1"/>
  <c r="AH1001" i="1"/>
  <c r="AG1001" i="1"/>
  <c r="AH1000" i="1"/>
  <c r="AG1000" i="1"/>
  <c r="AH999" i="1"/>
  <c r="AG999" i="1"/>
  <c r="AH998" i="1"/>
  <c r="AG998" i="1"/>
  <c r="AH997" i="1"/>
  <c r="AG997" i="1"/>
  <c r="AH996" i="1"/>
  <c r="AG996" i="1"/>
  <c r="AH995" i="1"/>
  <c r="AG995" i="1"/>
  <c r="AH994" i="1"/>
  <c r="AG994" i="1"/>
  <c r="AH993" i="1"/>
  <c r="AG993" i="1"/>
  <c r="AH992" i="1"/>
  <c r="AG992" i="1"/>
  <c r="AH991" i="1"/>
  <c r="AG991" i="1"/>
  <c r="AH990" i="1"/>
  <c r="AG990" i="1"/>
  <c r="AH989" i="1"/>
  <c r="AG989" i="1"/>
  <c r="AH988" i="1"/>
  <c r="AG988" i="1"/>
  <c r="AH987" i="1"/>
  <c r="AG987" i="1"/>
  <c r="AH986" i="1"/>
  <c r="AG986" i="1"/>
  <c r="AH985" i="1"/>
  <c r="AG985" i="1"/>
  <c r="AH984" i="1"/>
  <c r="AG984" i="1"/>
  <c r="AH983" i="1"/>
  <c r="AG983" i="1"/>
  <c r="AH982" i="1"/>
  <c r="AG982" i="1"/>
  <c r="AH981" i="1"/>
  <c r="AG981" i="1"/>
  <c r="AH980" i="1"/>
  <c r="AG980" i="1"/>
  <c r="AH979" i="1"/>
  <c r="AG979" i="1"/>
  <c r="AH978" i="1"/>
  <c r="AG978" i="1"/>
  <c r="AH977" i="1"/>
  <c r="AG977" i="1"/>
  <c r="AH976" i="1"/>
  <c r="AG976" i="1"/>
  <c r="AH975" i="1"/>
  <c r="AG975" i="1"/>
  <c r="AH974" i="1"/>
  <c r="AG974" i="1"/>
  <c r="AH973" i="1"/>
  <c r="AG973" i="1"/>
  <c r="AH972" i="1"/>
  <c r="AG972" i="1"/>
  <c r="AH971" i="1"/>
  <c r="AG971" i="1"/>
  <c r="AH970" i="1"/>
  <c r="AG970" i="1"/>
  <c r="AH969" i="1"/>
  <c r="AG969" i="1"/>
  <c r="AH968" i="1"/>
  <c r="AG968" i="1"/>
  <c r="AH967" i="1"/>
  <c r="AG967" i="1"/>
  <c r="AH966" i="1"/>
  <c r="AG966" i="1"/>
  <c r="AH965" i="1"/>
  <c r="AG965" i="1"/>
  <c r="AH964" i="1"/>
  <c r="AG964" i="1"/>
  <c r="AH963" i="1"/>
  <c r="AG963" i="1"/>
  <c r="AH962" i="1"/>
  <c r="AG962" i="1"/>
  <c r="AH961" i="1"/>
  <c r="AG961" i="1"/>
  <c r="AH960" i="1"/>
  <c r="AG960" i="1"/>
  <c r="AH959" i="1"/>
  <c r="AG959" i="1"/>
  <c r="AH958" i="1"/>
  <c r="AG958" i="1"/>
  <c r="AH957" i="1"/>
  <c r="AG957" i="1"/>
  <c r="AH956" i="1"/>
  <c r="AG956" i="1"/>
  <c r="AH955" i="1"/>
  <c r="AG955" i="1"/>
  <c r="AH954" i="1"/>
  <c r="AG954" i="1"/>
  <c r="AH953" i="1"/>
  <c r="AG953" i="1"/>
  <c r="AH952" i="1"/>
  <c r="AG952" i="1"/>
  <c r="AH951" i="1"/>
  <c r="AG951" i="1"/>
  <c r="AH950" i="1"/>
  <c r="AG950" i="1"/>
  <c r="AH949" i="1"/>
  <c r="AG949" i="1"/>
  <c r="AH948" i="1"/>
  <c r="AG948" i="1"/>
  <c r="AH947" i="1"/>
  <c r="AG947" i="1"/>
  <c r="AH946" i="1"/>
  <c r="AG946" i="1"/>
  <c r="AH945" i="1"/>
  <c r="AG945" i="1"/>
  <c r="AH944" i="1"/>
  <c r="AG944" i="1"/>
  <c r="AH943" i="1"/>
  <c r="AG943" i="1"/>
  <c r="AH942" i="1"/>
  <c r="AG942" i="1"/>
  <c r="AH941" i="1"/>
  <c r="AG941" i="1"/>
  <c r="AH940" i="1"/>
  <c r="AG940" i="1"/>
  <c r="AH939" i="1"/>
  <c r="AG939" i="1"/>
  <c r="AH938" i="1"/>
  <c r="AG938" i="1"/>
  <c r="AH937" i="1"/>
  <c r="AG937" i="1"/>
  <c r="AH936" i="1"/>
  <c r="AG936" i="1"/>
  <c r="AH935" i="1"/>
  <c r="AG935" i="1"/>
  <c r="AH934" i="1"/>
  <c r="AG934" i="1"/>
  <c r="AH933" i="1"/>
  <c r="AG933" i="1"/>
  <c r="AH932" i="1"/>
  <c r="AG932" i="1"/>
  <c r="AH931" i="1"/>
  <c r="AG931" i="1"/>
  <c r="AH930" i="1"/>
  <c r="AG930" i="1"/>
  <c r="AH929" i="1"/>
  <c r="AG929" i="1"/>
  <c r="AH928" i="1"/>
  <c r="AG928" i="1"/>
  <c r="AH927" i="1"/>
  <c r="AG927" i="1"/>
  <c r="AH926" i="1"/>
  <c r="AG926" i="1"/>
  <c r="AH925" i="1"/>
  <c r="AG925" i="1"/>
  <c r="AH924" i="1"/>
  <c r="AG924" i="1"/>
  <c r="AH923" i="1"/>
  <c r="AG923" i="1"/>
  <c r="AH922" i="1"/>
  <c r="AG922" i="1"/>
  <c r="AH921" i="1"/>
  <c r="AG921" i="1"/>
  <c r="AH920" i="1"/>
  <c r="AG920" i="1"/>
  <c r="AH919" i="1"/>
  <c r="AG919" i="1"/>
  <c r="AH918" i="1"/>
  <c r="AG918" i="1"/>
  <c r="AH917" i="1"/>
  <c r="AG917" i="1"/>
  <c r="AH916" i="1"/>
  <c r="AG916" i="1"/>
  <c r="AH915" i="1"/>
  <c r="AG915" i="1"/>
  <c r="AH914" i="1"/>
  <c r="AG914" i="1"/>
  <c r="AH913" i="1"/>
  <c r="AG913" i="1"/>
  <c r="AH912" i="1"/>
  <c r="AG912" i="1"/>
  <c r="AH911" i="1"/>
  <c r="AG911" i="1"/>
  <c r="AH910" i="1"/>
  <c r="AG910" i="1"/>
  <c r="AH909" i="1"/>
  <c r="AG909" i="1"/>
  <c r="AH908" i="1"/>
  <c r="AG908" i="1"/>
  <c r="AH907" i="1"/>
  <c r="AG907" i="1"/>
  <c r="AH906" i="1"/>
  <c r="AG906" i="1"/>
  <c r="AH905" i="1"/>
  <c r="AG905" i="1"/>
  <c r="AH904" i="1"/>
  <c r="AG904" i="1"/>
  <c r="AH903" i="1"/>
  <c r="AG903" i="1"/>
  <c r="AH902" i="1"/>
  <c r="AG902" i="1"/>
  <c r="AH901" i="1"/>
  <c r="AG901" i="1"/>
  <c r="AH900" i="1"/>
  <c r="AG900" i="1"/>
  <c r="AH899" i="1"/>
  <c r="AG899" i="1"/>
  <c r="AH898" i="1"/>
  <c r="AG898" i="1"/>
  <c r="AH897" i="1"/>
  <c r="AG897" i="1"/>
  <c r="AH896" i="1"/>
  <c r="AG896" i="1"/>
  <c r="AH895" i="1"/>
  <c r="AG895" i="1"/>
  <c r="AH894" i="1"/>
  <c r="AG894" i="1"/>
  <c r="AH893" i="1"/>
  <c r="AG893" i="1"/>
  <c r="AH892" i="1"/>
  <c r="AG892" i="1"/>
  <c r="AH891" i="1"/>
  <c r="AG891" i="1"/>
  <c r="AH890" i="1"/>
  <c r="AG890" i="1"/>
  <c r="AH889" i="1"/>
  <c r="AG889" i="1"/>
  <c r="AH888" i="1"/>
  <c r="AG888" i="1"/>
  <c r="AH887" i="1"/>
  <c r="AG887" i="1"/>
  <c r="AH886" i="1"/>
  <c r="AG886" i="1"/>
  <c r="AH885" i="1"/>
  <c r="AG885" i="1"/>
  <c r="AH884" i="1"/>
  <c r="AG884" i="1"/>
  <c r="AH883" i="1"/>
  <c r="AG883" i="1"/>
  <c r="AH882" i="1"/>
  <c r="AG882" i="1"/>
  <c r="AH881" i="1"/>
  <c r="AG881" i="1"/>
  <c r="AH880" i="1"/>
  <c r="AG880" i="1"/>
  <c r="AH879" i="1"/>
  <c r="AG879" i="1"/>
  <c r="AH878" i="1"/>
  <c r="AG878" i="1"/>
  <c r="AH877" i="1"/>
  <c r="AG877" i="1"/>
  <c r="AH876" i="1"/>
  <c r="AG876" i="1"/>
  <c r="AH875" i="1"/>
  <c r="AG875" i="1"/>
  <c r="AH874" i="1"/>
  <c r="AG874" i="1"/>
  <c r="AH873" i="1"/>
  <c r="AG873" i="1"/>
  <c r="AH872" i="1"/>
  <c r="AG872" i="1"/>
  <c r="AH871" i="1"/>
  <c r="AG871" i="1"/>
  <c r="AH870" i="1"/>
  <c r="AG870" i="1"/>
  <c r="AH869" i="1"/>
  <c r="AG869" i="1"/>
  <c r="AH868" i="1"/>
  <c r="AG868" i="1"/>
  <c r="AH867" i="1"/>
  <c r="AG867" i="1"/>
  <c r="AH866" i="1"/>
  <c r="AG866" i="1"/>
  <c r="AH865" i="1"/>
  <c r="AG865" i="1"/>
  <c r="AH864" i="1"/>
  <c r="AG864" i="1"/>
  <c r="AH863" i="1"/>
  <c r="AG863" i="1"/>
  <c r="AH862" i="1"/>
  <c r="AG862" i="1"/>
  <c r="AH861" i="1"/>
  <c r="AG861" i="1"/>
  <c r="AH860" i="1"/>
  <c r="AG860" i="1"/>
  <c r="AH859" i="1"/>
  <c r="AG859" i="1"/>
  <c r="AH858" i="1"/>
  <c r="AG858" i="1"/>
  <c r="AH857" i="1"/>
  <c r="AG857" i="1"/>
  <c r="AH856" i="1"/>
  <c r="AG856" i="1"/>
  <c r="AH855" i="1"/>
  <c r="AG855" i="1"/>
  <c r="AH854" i="1"/>
  <c r="AG854" i="1"/>
  <c r="AH853" i="1"/>
  <c r="AG853" i="1"/>
  <c r="AH852" i="1"/>
  <c r="AG852" i="1"/>
  <c r="AH851" i="1"/>
  <c r="AG851" i="1"/>
  <c r="AH850" i="1"/>
  <c r="AG850" i="1"/>
  <c r="AH849" i="1"/>
  <c r="AG849" i="1"/>
  <c r="AH848" i="1"/>
  <c r="AG848" i="1"/>
  <c r="AH847" i="1"/>
  <c r="AG847" i="1"/>
  <c r="AH846" i="1"/>
  <c r="AG846" i="1"/>
  <c r="AH845" i="1"/>
  <c r="AG845" i="1"/>
  <c r="AH844" i="1"/>
  <c r="AG844" i="1"/>
  <c r="AH843" i="1"/>
  <c r="AG843" i="1"/>
  <c r="AH842" i="1"/>
  <c r="AG842" i="1"/>
  <c r="AH841" i="1"/>
  <c r="AG841" i="1"/>
  <c r="AH840" i="1"/>
  <c r="AG840" i="1"/>
  <c r="AH839" i="1"/>
  <c r="AG839" i="1"/>
  <c r="AH838" i="1"/>
  <c r="AG838" i="1"/>
  <c r="AH837" i="1"/>
  <c r="AG837" i="1"/>
  <c r="AH836" i="1"/>
  <c r="AG836" i="1"/>
  <c r="AH835" i="1"/>
  <c r="AG835" i="1"/>
  <c r="AH834" i="1"/>
  <c r="AG834" i="1"/>
  <c r="AH833" i="1"/>
  <c r="AG833" i="1"/>
  <c r="AH832" i="1"/>
  <c r="AG832" i="1"/>
  <c r="AH831" i="1"/>
  <c r="AG831" i="1"/>
  <c r="AH830" i="1"/>
  <c r="AG830" i="1"/>
  <c r="AH829" i="1"/>
  <c r="AG829" i="1"/>
  <c r="AH828" i="1"/>
  <c r="AG828" i="1"/>
  <c r="AH827" i="1"/>
  <c r="AG827" i="1"/>
  <c r="AH826" i="1"/>
  <c r="AG826" i="1"/>
  <c r="AH825" i="1"/>
  <c r="AG825" i="1"/>
  <c r="AH824" i="1"/>
  <c r="AG824" i="1"/>
  <c r="AH823" i="1"/>
  <c r="AG823" i="1"/>
  <c r="AH822" i="1"/>
  <c r="AG822" i="1"/>
  <c r="AH821" i="1"/>
  <c r="AG821" i="1"/>
  <c r="AH820" i="1"/>
  <c r="AG820" i="1"/>
  <c r="AH819" i="1"/>
  <c r="AG819" i="1"/>
  <c r="AH818" i="1"/>
  <c r="AG818" i="1"/>
  <c r="AH817" i="1"/>
  <c r="AG817" i="1"/>
  <c r="AH816" i="1"/>
  <c r="AG816" i="1"/>
  <c r="AH815" i="1"/>
  <c r="AG815" i="1"/>
  <c r="AH814" i="1"/>
  <c r="AG814" i="1"/>
  <c r="AH813" i="1"/>
  <c r="AG813" i="1"/>
  <c r="AH812" i="1"/>
  <c r="AG812" i="1"/>
  <c r="AH811" i="1"/>
  <c r="AG811" i="1"/>
  <c r="AH810" i="1"/>
  <c r="AG810" i="1"/>
  <c r="AH809" i="1"/>
  <c r="AG809" i="1"/>
  <c r="AH808" i="1"/>
  <c r="AG808" i="1"/>
  <c r="AH807" i="1"/>
  <c r="AG807" i="1"/>
  <c r="AH806" i="1"/>
  <c r="AG806" i="1"/>
  <c r="AH805" i="1"/>
  <c r="AG805" i="1"/>
  <c r="AH804" i="1"/>
  <c r="AG804" i="1"/>
  <c r="AH803" i="1"/>
  <c r="AG803" i="1"/>
  <c r="AH802" i="1"/>
  <c r="AG802" i="1"/>
  <c r="AH801" i="1"/>
  <c r="AG801" i="1"/>
  <c r="AH800" i="1"/>
  <c r="AG800" i="1"/>
  <c r="AH799" i="1"/>
  <c r="AG799" i="1"/>
  <c r="AH798" i="1"/>
  <c r="AG798" i="1"/>
  <c r="AH797" i="1"/>
  <c r="AG797" i="1"/>
  <c r="AH796" i="1"/>
  <c r="AG796" i="1"/>
  <c r="AH795" i="1"/>
  <c r="AG795" i="1"/>
  <c r="AH794" i="1"/>
  <c r="AG794" i="1"/>
  <c r="AH793" i="1"/>
  <c r="AG793" i="1"/>
  <c r="AH792" i="1"/>
  <c r="AG792" i="1"/>
  <c r="AH791" i="1"/>
  <c r="AG791" i="1"/>
  <c r="AH790" i="1"/>
  <c r="AG790" i="1"/>
  <c r="AH789" i="1"/>
  <c r="AG789" i="1"/>
  <c r="AH788" i="1"/>
  <c r="AG788" i="1"/>
  <c r="AH787" i="1"/>
  <c r="AG787" i="1"/>
  <c r="AH786" i="1"/>
  <c r="AG786" i="1"/>
  <c r="AH785" i="1"/>
  <c r="AG785" i="1"/>
  <c r="AH784" i="1"/>
  <c r="AG784" i="1"/>
  <c r="AH783" i="1"/>
  <c r="AG783" i="1"/>
  <c r="AH782" i="1"/>
  <c r="AG782" i="1"/>
  <c r="AH781" i="1"/>
  <c r="AG781" i="1"/>
  <c r="AH780" i="1"/>
  <c r="AG780" i="1"/>
  <c r="AH779" i="1"/>
  <c r="AG779" i="1"/>
  <c r="AH778" i="1"/>
  <c r="AG778" i="1"/>
  <c r="AH777" i="1"/>
  <c r="AG777" i="1"/>
  <c r="AH776" i="1"/>
  <c r="AG776" i="1"/>
  <c r="AH775" i="1"/>
  <c r="AG775" i="1"/>
  <c r="AH774" i="1"/>
  <c r="AG774" i="1"/>
  <c r="AH773" i="1"/>
  <c r="AG773" i="1"/>
  <c r="AH772" i="1"/>
  <c r="AG772" i="1"/>
  <c r="AH771" i="1"/>
  <c r="AG771" i="1"/>
  <c r="AH770" i="1"/>
  <c r="AG770" i="1"/>
  <c r="AH769" i="1"/>
  <c r="AG769" i="1"/>
  <c r="AH768" i="1"/>
  <c r="AG768" i="1"/>
  <c r="AH767" i="1"/>
  <c r="AG767" i="1"/>
  <c r="AH766" i="1"/>
  <c r="AG766" i="1"/>
  <c r="AH765" i="1"/>
  <c r="AG765" i="1"/>
  <c r="AH764" i="1"/>
  <c r="AG764" i="1"/>
  <c r="AH763" i="1"/>
  <c r="AG763" i="1"/>
  <c r="AH762" i="1"/>
  <c r="AG762" i="1"/>
  <c r="AH761" i="1"/>
  <c r="AG761" i="1"/>
  <c r="AH760" i="1"/>
  <c r="AG760" i="1"/>
  <c r="AH759" i="1"/>
  <c r="AG759" i="1"/>
  <c r="AH758" i="1"/>
  <c r="AG758" i="1"/>
  <c r="AH757" i="1"/>
  <c r="AG757" i="1"/>
  <c r="AH756" i="1"/>
  <c r="AG756" i="1"/>
  <c r="AH755" i="1"/>
  <c r="AG755" i="1"/>
  <c r="AH754" i="1"/>
  <c r="AG754" i="1"/>
  <c r="AH753" i="1"/>
  <c r="AG753" i="1"/>
  <c r="AH752" i="1"/>
  <c r="AG752" i="1"/>
  <c r="AH751" i="1"/>
  <c r="AG751" i="1"/>
  <c r="AH750" i="1"/>
  <c r="AG750" i="1"/>
  <c r="AH749" i="1"/>
  <c r="AG749" i="1"/>
  <c r="AH748" i="1"/>
  <c r="AG748" i="1"/>
  <c r="AH747" i="1"/>
  <c r="AG747" i="1"/>
  <c r="AH746" i="1"/>
  <c r="AG746" i="1"/>
  <c r="AH745" i="1"/>
  <c r="AG745" i="1"/>
  <c r="AH744" i="1"/>
  <c r="AG744" i="1"/>
  <c r="AH743" i="1"/>
  <c r="AG743" i="1"/>
  <c r="AH742" i="1"/>
  <c r="AG742" i="1"/>
  <c r="AH741" i="1"/>
  <c r="AG741" i="1"/>
  <c r="AH740" i="1"/>
  <c r="AG740" i="1"/>
  <c r="AH739" i="1"/>
  <c r="AG739" i="1"/>
  <c r="AH738" i="1"/>
  <c r="AG738" i="1"/>
  <c r="AH737" i="1"/>
  <c r="AG737" i="1"/>
  <c r="AH736" i="1"/>
  <c r="AG736" i="1"/>
  <c r="AH735" i="1"/>
  <c r="AG735" i="1"/>
  <c r="AH734" i="1"/>
  <c r="AG734" i="1"/>
  <c r="AH733" i="1"/>
  <c r="AG733" i="1"/>
  <c r="AH732" i="1"/>
  <c r="AG732" i="1"/>
  <c r="AH731" i="1"/>
  <c r="AG731" i="1"/>
  <c r="AH730" i="1"/>
  <c r="AG730" i="1"/>
  <c r="AH729" i="1"/>
  <c r="AG729" i="1"/>
  <c r="AH728" i="1"/>
  <c r="AG728" i="1"/>
  <c r="AH727" i="1"/>
  <c r="AG727" i="1"/>
  <c r="AH726" i="1"/>
  <c r="AG726" i="1"/>
  <c r="AH725" i="1"/>
  <c r="AG725" i="1"/>
  <c r="AH724" i="1"/>
  <c r="AG724" i="1"/>
  <c r="AH723" i="1"/>
  <c r="AG723" i="1"/>
  <c r="AH722" i="1"/>
  <c r="AG722" i="1"/>
  <c r="AH721" i="1"/>
  <c r="AG721" i="1"/>
  <c r="AH720" i="1"/>
  <c r="AG720" i="1"/>
  <c r="AH719" i="1"/>
  <c r="AG719" i="1"/>
  <c r="AH718" i="1"/>
  <c r="AG718" i="1"/>
  <c r="AH717" i="1"/>
  <c r="AG717" i="1"/>
  <c r="AH716" i="1"/>
  <c r="AG716" i="1"/>
  <c r="AH715" i="1"/>
  <c r="AG715" i="1"/>
  <c r="AH714" i="1"/>
  <c r="AG714" i="1"/>
  <c r="AH713" i="1"/>
  <c r="AG713" i="1"/>
  <c r="AH712" i="1"/>
  <c r="AG712" i="1"/>
  <c r="AH711" i="1"/>
  <c r="AG711" i="1"/>
  <c r="AH710" i="1"/>
  <c r="AG710" i="1"/>
  <c r="AH709" i="1"/>
  <c r="AG709" i="1"/>
  <c r="AH708" i="1"/>
  <c r="AG708" i="1"/>
  <c r="AH707" i="1"/>
  <c r="AG707" i="1"/>
  <c r="AH706" i="1"/>
  <c r="AG706" i="1"/>
  <c r="AH705" i="1"/>
  <c r="AG705" i="1"/>
  <c r="AH704" i="1"/>
  <c r="AG704" i="1"/>
  <c r="AH703" i="1"/>
  <c r="AG703" i="1"/>
  <c r="AH702" i="1"/>
  <c r="AG702" i="1"/>
  <c r="AH701" i="1"/>
  <c r="AG701" i="1"/>
  <c r="AH700" i="1"/>
  <c r="AG700" i="1"/>
  <c r="AH699" i="1"/>
  <c r="AG699" i="1"/>
  <c r="AH698" i="1"/>
  <c r="AG698" i="1"/>
  <c r="AH697" i="1"/>
  <c r="AG697" i="1"/>
  <c r="AH696" i="1"/>
  <c r="AG696" i="1"/>
  <c r="AH695" i="1"/>
  <c r="AG695" i="1"/>
  <c r="AH694" i="1"/>
  <c r="AG694" i="1"/>
  <c r="AH693" i="1"/>
  <c r="AG693" i="1"/>
  <c r="AH692" i="1"/>
  <c r="AG692" i="1"/>
  <c r="AH691" i="1"/>
  <c r="AG691" i="1"/>
  <c r="AH690" i="1"/>
  <c r="AG690" i="1"/>
  <c r="AH689" i="1"/>
  <c r="AG689" i="1"/>
  <c r="AH688" i="1"/>
  <c r="AG688" i="1"/>
  <c r="AH687" i="1"/>
  <c r="AG687" i="1"/>
  <c r="AH686" i="1"/>
  <c r="AG686" i="1"/>
  <c r="AH685" i="1"/>
  <c r="AG685" i="1"/>
  <c r="AH684" i="1"/>
  <c r="AG684" i="1"/>
  <c r="AH683" i="1"/>
  <c r="AG683" i="1"/>
  <c r="AH682" i="1"/>
  <c r="AG682" i="1"/>
  <c r="AH681" i="1"/>
  <c r="AG681" i="1"/>
  <c r="AH680" i="1"/>
  <c r="AG680" i="1"/>
  <c r="AH679" i="1"/>
  <c r="AG679" i="1"/>
  <c r="AH678" i="1"/>
  <c r="AG678" i="1"/>
  <c r="AH677" i="1"/>
  <c r="AG677" i="1"/>
  <c r="AH676" i="1"/>
  <c r="AG676" i="1"/>
  <c r="AH675" i="1"/>
  <c r="AG675" i="1"/>
  <c r="AH674" i="1"/>
  <c r="AG674" i="1"/>
  <c r="AH673" i="1"/>
  <c r="AG673" i="1"/>
  <c r="AH672" i="1"/>
  <c r="AG672" i="1"/>
  <c r="AH671" i="1"/>
  <c r="AG671" i="1"/>
  <c r="AH670" i="1"/>
  <c r="AG670" i="1"/>
  <c r="AH669" i="1"/>
  <c r="AG669" i="1"/>
  <c r="AH668" i="1"/>
  <c r="AG668" i="1"/>
  <c r="AH667" i="1"/>
  <c r="AG667" i="1"/>
  <c r="AH666" i="1"/>
  <c r="AG666" i="1"/>
  <c r="AH665" i="1"/>
  <c r="AG665" i="1"/>
  <c r="AH664" i="1"/>
  <c r="AG664" i="1"/>
  <c r="AH663" i="1"/>
  <c r="AG663" i="1"/>
  <c r="AH662" i="1"/>
  <c r="AG662" i="1"/>
  <c r="AH661" i="1"/>
  <c r="AG661" i="1"/>
  <c r="AH660" i="1"/>
  <c r="AG660" i="1"/>
  <c r="AH659" i="1"/>
  <c r="AG659" i="1"/>
  <c r="AH658" i="1"/>
  <c r="AG658" i="1"/>
  <c r="AH657" i="1"/>
  <c r="AG657" i="1"/>
  <c r="AH656" i="1"/>
  <c r="AG656" i="1"/>
  <c r="AH655" i="1"/>
  <c r="AG655" i="1"/>
  <c r="AH654" i="1"/>
  <c r="AG654" i="1"/>
  <c r="AH653" i="1"/>
  <c r="AG653" i="1"/>
  <c r="AH652" i="1"/>
  <c r="AG652" i="1"/>
  <c r="AH651" i="1"/>
  <c r="AG651" i="1"/>
  <c r="AH650" i="1"/>
  <c r="AG650" i="1"/>
  <c r="AH649" i="1"/>
  <c r="AG649" i="1"/>
  <c r="AH648" i="1"/>
  <c r="AG648" i="1"/>
  <c r="AH647" i="1"/>
  <c r="AG647" i="1"/>
  <c r="AH646" i="1"/>
  <c r="AG646" i="1"/>
  <c r="AH645" i="1"/>
  <c r="AG645" i="1"/>
  <c r="AH644" i="1"/>
  <c r="AG644" i="1"/>
  <c r="AH643" i="1"/>
  <c r="AG643" i="1"/>
  <c r="AH642" i="1"/>
  <c r="AG642" i="1"/>
  <c r="AH641" i="1"/>
  <c r="AG641" i="1"/>
  <c r="AH640" i="1"/>
  <c r="AG640" i="1"/>
  <c r="AH639" i="1"/>
  <c r="AG639" i="1"/>
  <c r="AH638" i="1"/>
  <c r="AG638" i="1"/>
  <c r="AH637" i="1"/>
  <c r="AG637" i="1"/>
  <c r="AH636" i="1"/>
  <c r="AG636" i="1"/>
  <c r="AH635" i="1"/>
  <c r="AG635" i="1"/>
  <c r="AH634" i="1"/>
  <c r="AG634" i="1"/>
  <c r="AH633" i="1"/>
  <c r="AG633" i="1"/>
  <c r="AH632" i="1"/>
  <c r="AG632" i="1"/>
  <c r="AH631" i="1"/>
  <c r="AG631" i="1"/>
  <c r="AH630" i="1"/>
  <c r="AG630" i="1"/>
  <c r="AH629" i="1"/>
  <c r="AG629" i="1"/>
  <c r="AH628" i="1"/>
  <c r="AG628" i="1"/>
  <c r="AH627" i="1"/>
  <c r="AH626" i="1"/>
  <c r="AG626" i="1"/>
  <c r="AH625" i="1"/>
  <c r="AG625" i="1"/>
  <c r="AH624" i="1"/>
  <c r="AG624" i="1"/>
  <c r="AH623" i="1"/>
  <c r="AG623" i="1"/>
  <c r="AH622" i="1"/>
  <c r="AG622" i="1"/>
  <c r="AH621" i="1"/>
  <c r="AG621" i="1"/>
  <c r="AH620" i="1"/>
  <c r="AG620" i="1"/>
  <c r="AH619" i="1"/>
  <c r="AG619" i="1"/>
  <c r="AH618" i="1"/>
  <c r="AG618" i="1"/>
  <c r="AH617" i="1"/>
  <c r="AG617" i="1"/>
  <c r="AH616" i="1"/>
  <c r="AG616" i="1"/>
  <c r="AH615" i="1"/>
  <c r="AG615" i="1"/>
  <c r="AH614" i="1"/>
  <c r="AG614" i="1"/>
  <c r="AH613" i="1"/>
  <c r="AG613" i="1"/>
  <c r="AH612" i="1"/>
  <c r="AG612" i="1"/>
  <c r="AH611" i="1"/>
  <c r="AG611" i="1"/>
  <c r="AH610" i="1"/>
  <c r="AG610" i="1"/>
  <c r="AH609" i="1"/>
  <c r="AG609" i="1"/>
  <c r="AH608" i="1"/>
  <c r="AG608" i="1"/>
  <c r="AH607" i="1"/>
  <c r="AG607" i="1"/>
  <c r="AH606" i="1"/>
  <c r="AG606" i="1"/>
  <c r="AH605" i="1"/>
  <c r="AG605" i="1"/>
  <c r="AH604" i="1"/>
  <c r="AG604" i="1"/>
  <c r="AH603" i="1"/>
  <c r="AG603" i="1"/>
  <c r="AH602" i="1"/>
  <c r="AG602" i="1"/>
  <c r="AH601" i="1"/>
  <c r="AG601" i="1"/>
  <c r="AH600" i="1"/>
  <c r="AG600" i="1"/>
  <c r="AH599" i="1"/>
  <c r="AG599" i="1"/>
  <c r="AH598" i="1"/>
  <c r="AG598" i="1"/>
  <c r="AH597" i="1"/>
  <c r="AG597" i="1"/>
  <c r="AH596" i="1"/>
  <c r="AG596" i="1"/>
  <c r="AH595" i="1"/>
  <c r="AG595" i="1"/>
  <c r="AH594" i="1"/>
  <c r="AG594" i="1"/>
  <c r="AH593" i="1"/>
  <c r="AG593" i="1"/>
  <c r="AH592" i="1"/>
  <c r="AG592" i="1"/>
  <c r="AH591" i="1"/>
  <c r="AG591" i="1"/>
  <c r="AH590" i="1"/>
  <c r="AG590" i="1"/>
  <c r="AH589" i="1"/>
  <c r="AG589" i="1"/>
  <c r="AH588" i="1"/>
  <c r="AG588" i="1"/>
  <c r="AH587" i="1"/>
  <c r="AG587" i="1"/>
  <c r="AH586" i="1"/>
  <c r="AG586" i="1"/>
  <c r="AH585" i="1"/>
  <c r="AG585" i="1"/>
  <c r="AH584" i="1"/>
  <c r="AG584" i="1"/>
  <c r="AH583" i="1"/>
  <c r="AG583" i="1"/>
  <c r="AH582" i="1"/>
  <c r="AG582" i="1"/>
  <c r="AH581" i="1"/>
  <c r="AG581" i="1"/>
  <c r="AH580" i="1"/>
  <c r="AG580" i="1"/>
  <c r="AH579" i="1"/>
  <c r="AG579" i="1"/>
  <c r="AH578" i="1"/>
  <c r="AG578" i="1"/>
  <c r="AH577" i="1"/>
  <c r="AG577" i="1"/>
  <c r="AH576" i="1"/>
  <c r="AG576" i="1"/>
  <c r="AH575" i="1"/>
  <c r="AG575" i="1"/>
  <c r="AH574" i="1"/>
  <c r="AG574" i="1"/>
  <c r="AH573" i="1"/>
  <c r="AG573" i="1"/>
  <c r="AH572" i="1"/>
  <c r="AG572" i="1"/>
  <c r="AH571" i="1"/>
  <c r="AG571" i="1"/>
  <c r="AH570" i="1"/>
  <c r="AG570" i="1"/>
  <c r="AH569" i="1"/>
  <c r="AG569" i="1"/>
  <c r="AH568" i="1"/>
  <c r="AG568" i="1"/>
  <c r="AH567" i="1"/>
  <c r="AG567" i="1"/>
  <c r="AH566" i="1"/>
  <c r="AG566" i="1"/>
  <c r="AH565" i="1"/>
  <c r="AG565" i="1"/>
  <c r="AH564" i="1"/>
  <c r="AG564" i="1"/>
  <c r="AH563" i="1"/>
  <c r="AG563" i="1"/>
  <c r="AH562" i="1"/>
  <c r="AG562" i="1"/>
  <c r="AH561" i="1"/>
  <c r="AG561" i="1"/>
  <c r="AH560" i="1"/>
  <c r="AG560" i="1"/>
  <c r="AH559" i="1"/>
  <c r="AG559" i="1"/>
  <c r="AH558" i="1"/>
  <c r="AG558" i="1"/>
  <c r="AH557" i="1"/>
  <c r="AG557" i="1"/>
  <c r="AH556" i="1"/>
  <c r="AG556" i="1"/>
  <c r="AH555" i="1"/>
  <c r="AG555" i="1"/>
  <c r="AH554" i="1"/>
  <c r="AG554" i="1"/>
  <c r="AH553" i="1"/>
  <c r="AG553" i="1"/>
  <c r="AH552" i="1"/>
  <c r="AG552" i="1"/>
  <c r="AH551" i="1"/>
  <c r="AG551" i="1"/>
  <c r="AH550" i="1"/>
  <c r="AG550" i="1"/>
  <c r="AH549" i="1"/>
  <c r="AG549" i="1"/>
  <c r="AH546" i="1"/>
  <c r="AG546" i="1"/>
  <c r="AH545" i="1"/>
  <c r="AG545" i="1"/>
  <c r="AH544" i="1"/>
  <c r="AG544" i="1"/>
  <c r="AH543" i="1"/>
  <c r="AG543" i="1"/>
  <c r="AH542" i="1"/>
  <c r="AG542" i="1"/>
  <c r="AH541" i="1"/>
  <c r="AG541" i="1"/>
  <c r="AH540" i="1"/>
  <c r="AG540" i="1"/>
  <c r="AH539" i="1"/>
  <c r="AG539" i="1"/>
  <c r="AH538" i="1"/>
  <c r="AG538" i="1"/>
  <c r="AH537" i="1"/>
  <c r="AG537" i="1"/>
  <c r="AH536" i="1"/>
  <c r="AG536" i="1"/>
  <c r="AH535" i="1"/>
  <c r="AG535" i="1"/>
  <c r="AH534" i="1"/>
  <c r="AG534" i="1"/>
  <c r="AH533" i="1"/>
  <c r="AG533" i="1"/>
  <c r="AH532" i="1"/>
  <c r="AG532" i="1"/>
  <c r="AH531" i="1"/>
  <c r="AG531" i="1"/>
  <c r="AH530" i="1"/>
  <c r="AG530" i="1"/>
  <c r="AH529" i="1"/>
  <c r="AG529" i="1"/>
  <c r="AH527" i="1"/>
  <c r="AG527" i="1"/>
  <c r="AH526" i="1"/>
  <c r="AG526" i="1"/>
  <c r="AH525" i="1"/>
  <c r="AG525" i="1"/>
  <c r="AH524" i="1"/>
  <c r="AG524" i="1"/>
  <c r="AH523" i="1"/>
  <c r="AG523" i="1"/>
  <c r="AH522" i="1"/>
  <c r="AG522" i="1"/>
  <c r="AH521" i="1"/>
  <c r="AG521" i="1"/>
  <c r="AH520" i="1"/>
  <c r="AG520" i="1"/>
  <c r="AH519" i="1"/>
  <c r="AG519" i="1"/>
  <c r="AH518" i="1"/>
  <c r="AG518" i="1"/>
  <c r="AH517" i="1"/>
  <c r="AG517" i="1"/>
  <c r="AH516" i="1"/>
  <c r="AG516" i="1"/>
  <c r="AH515" i="1"/>
  <c r="AG515" i="1"/>
  <c r="AH514" i="1"/>
  <c r="AG514" i="1"/>
  <c r="AH513" i="1"/>
  <c r="AG513" i="1"/>
  <c r="AH512" i="1"/>
  <c r="AG512" i="1"/>
  <c r="AH511" i="1"/>
  <c r="AG511" i="1"/>
  <c r="AH510" i="1"/>
  <c r="AG510" i="1"/>
  <c r="AH509" i="1"/>
  <c r="AG509" i="1"/>
  <c r="AH508" i="1"/>
  <c r="AG508" i="1"/>
  <c r="AH507" i="1"/>
  <c r="AG507" i="1"/>
  <c r="AH506" i="1"/>
  <c r="AG506" i="1"/>
  <c r="AH505" i="1"/>
  <c r="AG505" i="1"/>
  <c r="AH504" i="1"/>
  <c r="AG504" i="1"/>
  <c r="AH503" i="1"/>
  <c r="AG503" i="1"/>
  <c r="AH502" i="1"/>
  <c r="AG502" i="1"/>
  <c r="AH501" i="1"/>
  <c r="AG501" i="1"/>
  <c r="AH500" i="1"/>
  <c r="AG500" i="1"/>
  <c r="AH499" i="1"/>
  <c r="AG499" i="1"/>
  <c r="AH498" i="1"/>
  <c r="AG498" i="1"/>
  <c r="AH497" i="1"/>
  <c r="AG497" i="1"/>
  <c r="AH496" i="1"/>
  <c r="AG496" i="1"/>
  <c r="AH495" i="1"/>
  <c r="AG495" i="1"/>
  <c r="AH494" i="1"/>
  <c r="AG494" i="1"/>
  <c r="AH493" i="1"/>
  <c r="AG493" i="1"/>
  <c r="AH492" i="1"/>
  <c r="AG492" i="1"/>
  <c r="AH491" i="1"/>
  <c r="AG491" i="1"/>
  <c r="AH490" i="1"/>
  <c r="AG490" i="1"/>
  <c r="AH489" i="1"/>
  <c r="AG489" i="1"/>
  <c r="AH488" i="1"/>
  <c r="AG488" i="1"/>
  <c r="AH487" i="1"/>
  <c r="AG487" i="1"/>
  <c r="AH486" i="1"/>
  <c r="AG486" i="1"/>
  <c r="AH485" i="1"/>
  <c r="AG485" i="1"/>
  <c r="AH484" i="1"/>
  <c r="AG484" i="1"/>
  <c r="AH483" i="1"/>
  <c r="AG483" i="1"/>
  <c r="AH482" i="1"/>
  <c r="AG482" i="1"/>
  <c r="AH481" i="1"/>
  <c r="AG481" i="1"/>
  <c r="AH480" i="1"/>
  <c r="AG480" i="1"/>
  <c r="AH479" i="1"/>
  <c r="AG479" i="1"/>
  <c r="AH478" i="1"/>
  <c r="AG478" i="1"/>
  <c r="AH477" i="1"/>
  <c r="AG477" i="1"/>
  <c r="AH476" i="1"/>
  <c r="AG476" i="1"/>
  <c r="AH475" i="1"/>
  <c r="AG475" i="1"/>
  <c r="AH474" i="1"/>
  <c r="AG474" i="1"/>
  <c r="AH473" i="1"/>
  <c r="AG473" i="1"/>
  <c r="AH472" i="1"/>
  <c r="AG472" i="1"/>
  <c r="AH471" i="1"/>
  <c r="AG471" i="1"/>
  <c r="AH470" i="1"/>
  <c r="AG470" i="1"/>
  <c r="AH469" i="1"/>
  <c r="AG469" i="1"/>
  <c r="AH468" i="1"/>
  <c r="AG468" i="1"/>
  <c r="AH467" i="1"/>
  <c r="AG467" i="1"/>
  <c r="AH466" i="1"/>
  <c r="AG466" i="1"/>
  <c r="AH465" i="1"/>
  <c r="AG465" i="1"/>
  <c r="AH464" i="1"/>
  <c r="AG464" i="1"/>
  <c r="AH463" i="1"/>
  <c r="AG463" i="1"/>
  <c r="AH462" i="1"/>
  <c r="AG462" i="1"/>
  <c r="AH461" i="1"/>
  <c r="AG461" i="1"/>
  <c r="AH460" i="1"/>
  <c r="AG460" i="1"/>
  <c r="AH459" i="1"/>
  <c r="AG459" i="1"/>
  <c r="AH458" i="1"/>
  <c r="AG458" i="1"/>
  <c r="AH457" i="1"/>
  <c r="AG457" i="1"/>
  <c r="AH456" i="1"/>
  <c r="AG456" i="1"/>
  <c r="AH455" i="1"/>
  <c r="AG455" i="1"/>
  <c r="AH454" i="1"/>
  <c r="AG454" i="1"/>
  <c r="AH453" i="1"/>
  <c r="AG453" i="1"/>
  <c r="AH452" i="1"/>
  <c r="AG452" i="1"/>
  <c r="AH451" i="1"/>
  <c r="AG451" i="1"/>
  <c r="AH450" i="1"/>
  <c r="AG450" i="1"/>
  <c r="AH449" i="1"/>
  <c r="AG449" i="1"/>
  <c r="AH448" i="1"/>
  <c r="AG448" i="1"/>
  <c r="AH447" i="1"/>
  <c r="AG447" i="1"/>
  <c r="AH446" i="1"/>
  <c r="AG446" i="1"/>
  <c r="AH445" i="1"/>
  <c r="AG445" i="1"/>
  <c r="AH444" i="1"/>
  <c r="AG444" i="1"/>
  <c r="AH443" i="1"/>
  <c r="AG443" i="1"/>
  <c r="AH442" i="1"/>
  <c r="AG442" i="1"/>
  <c r="AH441" i="1"/>
  <c r="AG441" i="1"/>
  <c r="AH440" i="1"/>
  <c r="AG440" i="1"/>
  <c r="AH439" i="1"/>
  <c r="AG439" i="1"/>
  <c r="AH438" i="1"/>
  <c r="AG438" i="1"/>
  <c r="AH437" i="1"/>
  <c r="AG437" i="1"/>
  <c r="AH436" i="1"/>
  <c r="AG436" i="1"/>
  <c r="AH435" i="1"/>
  <c r="AG435" i="1"/>
  <c r="AH434" i="1"/>
  <c r="AG434" i="1"/>
  <c r="AH433" i="1"/>
  <c r="AG433" i="1"/>
  <c r="AH432" i="1"/>
  <c r="AG432" i="1"/>
  <c r="AH431" i="1"/>
  <c r="AG431" i="1"/>
  <c r="AH430" i="1"/>
  <c r="AG430" i="1"/>
  <c r="AH429" i="1"/>
  <c r="AG429" i="1"/>
  <c r="AH428" i="1"/>
  <c r="AG428" i="1"/>
  <c r="AH427" i="1"/>
  <c r="AG427" i="1"/>
  <c r="AH426" i="1"/>
  <c r="AG426" i="1"/>
  <c r="AH425" i="1"/>
  <c r="AG425" i="1"/>
  <c r="AH424" i="1"/>
  <c r="AG424" i="1"/>
  <c r="AH423" i="1"/>
  <c r="AG423" i="1"/>
  <c r="AH422" i="1"/>
  <c r="AG422" i="1"/>
  <c r="AH421" i="1"/>
  <c r="AG421" i="1"/>
  <c r="AH420" i="1"/>
  <c r="AG420" i="1"/>
  <c r="AH419" i="1"/>
  <c r="AG419" i="1"/>
  <c r="AH418" i="1"/>
  <c r="AG418" i="1"/>
  <c r="AH417" i="1"/>
  <c r="AG417" i="1"/>
  <c r="AH416" i="1"/>
  <c r="AG416" i="1"/>
  <c r="AH415" i="1"/>
  <c r="AG415" i="1"/>
  <c r="AH414" i="1"/>
  <c r="AG414" i="1"/>
  <c r="AH413" i="1"/>
  <c r="AG413" i="1"/>
  <c r="AH412" i="1"/>
  <c r="AG412" i="1"/>
  <c r="AH411" i="1"/>
  <c r="AG411" i="1"/>
  <c r="AH410" i="1"/>
  <c r="AG410" i="1"/>
  <c r="AH409" i="1"/>
  <c r="AG409" i="1"/>
  <c r="AH408" i="1"/>
  <c r="AG408" i="1"/>
  <c r="AH407" i="1"/>
  <c r="AG407" i="1"/>
  <c r="AH406" i="1"/>
  <c r="AG406" i="1"/>
  <c r="AH405" i="1"/>
  <c r="AG405" i="1"/>
  <c r="AH404" i="1"/>
  <c r="AG404" i="1"/>
  <c r="AH403" i="1"/>
  <c r="AG403" i="1"/>
  <c r="AH402" i="1"/>
  <c r="AG402" i="1"/>
  <c r="AH401" i="1"/>
  <c r="AG401" i="1"/>
  <c r="AH400" i="1"/>
  <c r="AG400" i="1"/>
  <c r="AH399" i="1"/>
  <c r="AG399" i="1"/>
  <c r="AH398" i="1"/>
  <c r="AG398" i="1"/>
  <c r="AH397" i="1"/>
  <c r="AG397" i="1"/>
  <c r="AH396" i="1"/>
  <c r="AG396" i="1"/>
  <c r="AH395" i="1"/>
  <c r="AG395" i="1"/>
  <c r="AH394" i="1"/>
  <c r="AG394" i="1"/>
  <c r="AH393" i="1"/>
  <c r="AG393" i="1"/>
  <c r="AH392" i="1"/>
  <c r="AG392" i="1"/>
  <c r="AH391" i="1"/>
  <c r="AG391" i="1"/>
  <c r="AH390" i="1"/>
  <c r="AG390" i="1"/>
  <c r="AH389" i="1"/>
  <c r="AG389" i="1"/>
  <c r="AH388" i="1"/>
  <c r="AG388" i="1"/>
  <c r="AH387" i="1"/>
  <c r="AG387" i="1"/>
  <c r="AH386" i="1"/>
  <c r="AG386" i="1"/>
  <c r="AH385" i="1"/>
  <c r="AG385" i="1"/>
  <c r="AH384" i="1"/>
  <c r="AG384" i="1"/>
  <c r="AH383" i="1"/>
  <c r="AG383" i="1"/>
  <c r="AH382" i="1"/>
  <c r="AG382" i="1"/>
  <c r="AH381" i="1"/>
  <c r="AG381" i="1"/>
  <c r="AH380" i="1"/>
  <c r="AG380" i="1"/>
  <c r="AH379" i="1"/>
  <c r="AG379" i="1"/>
  <c r="AH378" i="1"/>
  <c r="AG378" i="1"/>
  <c r="AH377" i="1"/>
  <c r="AG377" i="1"/>
  <c r="AH376" i="1"/>
  <c r="AG376" i="1"/>
  <c r="AH375" i="1"/>
  <c r="AG375" i="1"/>
  <c r="AH374" i="1"/>
  <c r="AG374" i="1"/>
  <c r="AH373" i="1"/>
  <c r="AG373" i="1"/>
  <c r="AH372" i="1"/>
  <c r="AG372" i="1"/>
  <c r="AH371" i="1"/>
  <c r="AG371" i="1"/>
  <c r="AH370" i="1"/>
  <c r="AG370" i="1"/>
  <c r="AH369" i="1"/>
  <c r="AG369" i="1"/>
  <c r="AH368" i="1"/>
  <c r="AG368" i="1"/>
  <c r="AH367" i="1"/>
  <c r="AG367" i="1"/>
  <c r="AH366" i="1"/>
  <c r="AG366" i="1"/>
  <c r="AH365" i="1"/>
  <c r="AG365" i="1"/>
  <c r="AH364" i="1"/>
  <c r="AG364" i="1"/>
  <c r="AH363" i="1"/>
  <c r="AG363" i="1"/>
  <c r="AH362" i="1"/>
  <c r="AG362" i="1"/>
  <c r="AH361" i="1"/>
  <c r="AG361" i="1"/>
  <c r="AH360" i="1"/>
  <c r="AG360" i="1"/>
  <c r="AH359" i="1"/>
  <c r="AG359" i="1"/>
  <c r="AH358" i="1"/>
  <c r="AG358" i="1"/>
  <c r="AH357" i="1"/>
  <c r="AG357" i="1"/>
  <c r="AH356" i="1"/>
  <c r="AG356" i="1"/>
  <c r="AH355" i="1"/>
  <c r="AG355" i="1"/>
  <c r="AH354" i="1"/>
  <c r="AG354" i="1"/>
  <c r="AH353" i="1"/>
  <c r="AG353" i="1"/>
  <c r="AH352" i="1"/>
  <c r="AG352" i="1"/>
  <c r="AH351" i="1"/>
  <c r="AG351" i="1"/>
  <c r="AH350" i="1"/>
  <c r="AG350" i="1"/>
  <c r="AH349" i="1"/>
  <c r="AG349" i="1"/>
  <c r="AH348" i="1"/>
  <c r="AG348" i="1"/>
  <c r="AH347" i="1"/>
  <c r="AG347" i="1"/>
  <c r="AH346" i="1"/>
  <c r="AG346" i="1"/>
  <c r="AH345" i="1"/>
  <c r="AG345" i="1"/>
  <c r="AH344" i="1"/>
  <c r="AG344" i="1"/>
  <c r="AH343" i="1"/>
  <c r="AG343" i="1"/>
  <c r="AH342" i="1"/>
  <c r="AG342" i="1"/>
  <c r="AH341" i="1"/>
  <c r="AG341" i="1"/>
  <c r="AH340" i="1"/>
  <c r="AG340" i="1"/>
  <c r="AH339" i="1"/>
  <c r="AG339" i="1"/>
  <c r="AH338" i="1"/>
  <c r="AG338" i="1"/>
  <c r="AH337" i="1"/>
  <c r="AG337" i="1"/>
  <c r="AH336" i="1"/>
  <c r="AG336" i="1"/>
  <c r="AH335" i="1"/>
  <c r="AG335" i="1"/>
  <c r="AH334" i="1"/>
  <c r="AG334" i="1"/>
  <c r="AH333" i="1"/>
  <c r="AG333" i="1"/>
  <c r="AH332" i="1"/>
  <c r="AG332" i="1"/>
  <c r="AH331" i="1"/>
  <c r="AG331" i="1"/>
  <c r="AH330" i="1"/>
  <c r="AG330" i="1"/>
  <c r="AH329" i="1"/>
  <c r="AG329" i="1"/>
  <c r="AH328" i="1"/>
  <c r="AG328" i="1"/>
  <c r="AH327" i="1"/>
  <c r="AG327" i="1"/>
  <c r="AH326" i="1"/>
  <c r="AG326" i="1"/>
  <c r="AH325" i="1"/>
  <c r="AG325" i="1"/>
  <c r="AH324" i="1"/>
  <c r="AG324" i="1"/>
  <c r="AH323" i="1"/>
  <c r="AG323" i="1"/>
  <c r="AH322" i="1"/>
  <c r="AG322" i="1"/>
  <c r="AH321" i="1"/>
  <c r="AG321" i="1"/>
  <c r="AH320" i="1"/>
  <c r="AG320" i="1"/>
  <c r="AH319" i="1"/>
  <c r="AG319" i="1"/>
  <c r="AH318" i="1"/>
  <c r="AG318" i="1"/>
  <c r="AH317" i="1"/>
  <c r="AG317" i="1"/>
  <c r="AH316" i="1"/>
  <c r="AG316" i="1"/>
  <c r="AH315" i="1"/>
  <c r="AG315" i="1"/>
  <c r="AH314" i="1"/>
  <c r="AG314" i="1"/>
  <c r="AH313" i="1"/>
  <c r="AG313" i="1"/>
  <c r="AH312" i="1"/>
  <c r="AG312" i="1"/>
  <c r="AH311" i="1"/>
  <c r="AG311" i="1"/>
  <c r="AH310" i="1"/>
  <c r="AG310" i="1"/>
  <c r="AH309" i="1"/>
  <c r="AG309" i="1"/>
  <c r="AH308" i="1"/>
  <c r="AG308" i="1"/>
  <c r="AH307" i="1"/>
  <c r="AG307" i="1"/>
  <c r="AH306" i="1"/>
  <c r="AG306" i="1"/>
  <c r="AH305" i="1"/>
  <c r="AG305" i="1"/>
  <c r="AH304" i="1"/>
  <c r="AG304" i="1"/>
  <c r="AH303" i="1"/>
  <c r="AG303" i="1"/>
  <c r="AH302" i="1"/>
  <c r="AG302" i="1"/>
  <c r="AH301" i="1"/>
  <c r="AG301" i="1"/>
  <c r="AH300" i="1"/>
  <c r="AG300" i="1"/>
  <c r="AH299" i="1"/>
  <c r="AG299" i="1"/>
  <c r="AH298" i="1"/>
  <c r="AG298" i="1"/>
  <c r="AH297" i="1"/>
  <c r="AG297" i="1"/>
  <c r="AH296" i="1"/>
  <c r="AG296" i="1"/>
  <c r="AH295" i="1"/>
  <c r="AG295" i="1"/>
  <c r="AH294" i="1"/>
  <c r="AG294" i="1"/>
  <c r="AH293" i="1"/>
  <c r="AG293" i="1"/>
  <c r="AH292" i="1"/>
  <c r="AG292" i="1"/>
  <c r="AH291" i="1"/>
  <c r="AG291" i="1"/>
  <c r="AH290" i="1"/>
  <c r="AG290" i="1"/>
  <c r="AH289" i="1"/>
  <c r="AG289" i="1"/>
  <c r="AH288" i="1"/>
  <c r="AG288" i="1"/>
  <c r="AH287" i="1"/>
  <c r="AG287" i="1"/>
  <c r="AH286" i="1"/>
  <c r="AG286" i="1"/>
  <c r="AH285" i="1"/>
  <c r="AG285" i="1"/>
  <c r="AH284" i="1"/>
  <c r="AG284" i="1"/>
  <c r="AH283" i="1"/>
  <c r="AG283" i="1"/>
  <c r="AH282" i="1"/>
  <c r="AG282" i="1"/>
  <c r="AH281" i="1"/>
  <c r="AG281" i="1"/>
  <c r="AH280" i="1"/>
  <c r="AG280" i="1"/>
  <c r="AH279" i="1"/>
  <c r="AG279" i="1"/>
  <c r="AH278" i="1"/>
  <c r="AG278" i="1"/>
  <c r="AH277" i="1"/>
  <c r="AG277" i="1"/>
  <c r="AH276" i="1"/>
  <c r="AG276" i="1"/>
  <c r="AH275" i="1"/>
  <c r="AG275" i="1"/>
  <c r="AH274" i="1"/>
  <c r="AG274" i="1"/>
  <c r="AH273" i="1"/>
  <c r="AG273" i="1"/>
  <c r="AH272" i="1"/>
  <c r="AG272" i="1"/>
  <c r="AH271" i="1"/>
  <c r="AG271" i="1"/>
  <c r="AH270" i="1"/>
  <c r="AG270" i="1"/>
  <c r="AH269" i="1"/>
  <c r="AG269" i="1"/>
  <c r="AH268" i="1"/>
  <c r="AG268" i="1"/>
  <c r="AH267" i="1"/>
  <c r="AG267" i="1"/>
  <c r="AH266" i="1"/>
  <c r="AG266" i="1"/>
  <c r="AH265" i="1"/>
  <c r="AG265" i="1"/>
  <c r="AH264" i="1"/>
  <c r="AG264" i="1"/>
  <c r="AH263" i="1"/>
  <c r="AG263" i="1"/>
  <c r="AH262" i="1"/>
  <c r="AG262" i="1"/>
  <c r="AH261" i="1"/>
  <c r="AG261" i="1"/>
  <c r="AH260" i="1"/>
  <c r="AG260" i="1"/>
  <c r="AH259" i="1"/>
  <c r="AG259" i="1"/>
  <c r="AH258" i="1"/>
  <c r="AG258" i="1"/>
  <c r="AH257" i="1"/>
  <c r="AG257" i="1"/>
  <c r="AH256" i="1"/>
  <c r="AG256" i="1"/>
  <c r="AH255" i="1"/>
  <c r="AG255" i="1"/>
  <c r="AH254" i="1"/>
  <c r="AG254" i="1"/>
  <c r="AH253" i="1"/>
  <c r="AG253" i="1"/>
  <c r="AH252" i="1"/>
  <c r="AG252" i="1"/>
  <c r="AH251" i="1"/>
  <c r="AG251" i="1"/>
  <c r="AH250" i="1"/>
  <c r="AG250" i="1"/>
  <c r="AH249" i="1"/>
  <c r="AG249" i="1"/>
  <c r="AH248" i="1"/>
  <c r="AG248" i="1"/>
  <c r="AH247" i="1"/>
  <c r="AG247" i="1"/>
  <c r="AH246" i="1"/>
  <c r="AG246" i="1"/>
  <c r="AH245" i="1"/>
  <c r="AG245" i="1"/>
  <c r="AH244" i="1"/>
  <c r="AG244" i="1"/>
  <c r="AH243" i="1"/>
  <c r="AG243" i="1"/>
  <c r="AH242" i="1"/>
  <c r="AG242" i="1"/>
  <c r="AH241" i="1"/>
  <c r="AG241" i="1"/>
  <c r="AH240" i="1"/>
  <c r="AG240" i="1"/>
  <c r="AH239" i="1"/>
  <c r="AG239" i="1"/>
  <c r="AH238" i="1"/>
  <c r="AG238" i="1"/>
  <c r="AH237" i="1"/>
  <c r="AG237" i="1"/>
  <c r="AH236" i="1"/>
  <c r="AG236" i="1"/>
  <c r="AH235" i="1"/>
  <c r="AG235" i="1"/>
  <c r="AH234" i="1"/>
  <c r="AG234" i="1"/>
  <c r="AH233" i="1"/>
  <c r="AG233" i="1"/>
  <c r="AH232" i="1"/>
  <c r="AG232" i="1"/>
  <c r="AH231" i="1"/>
  <c r="AG231" i="1"/>
  <c r="AH230" i="1"/>
  <c r="AG230" i="1"/>
  <c r="AH229" i="1"/>
  <c r="AG229" i="1"/>
  <c r="AH228" i="1"/>
  <c r="AG228" i="1"/>
  <c r="AH227" i="1"/>
  <c r="AG227" i="1"/>
  <c r="AH226" i="1"/>
  <c r="AG226" i="1"/>
  <c r="AH225" i="1"/>
  <c r="AG225" i="1"/>
  <c r="AH224" i="1"/>
  <c r="AG224" i="1"/>
  <c r="AH223" i="1"/>
  <c r="AG223" i="1"/>
  <c r="AH222" i="1"/>
  <c r="AG222" i="1"/>
  <c r="AH221" i="1"/>
  <c r="AG221" i="1"/>
  <c r="AH220" i="1"/>
  <c r="AG220" i="1"/>
  <c r="AH219" i="1"/>
  <c r="AG219" i="1"/>
  <c r="AH218" i="1"/>
  <c r="AG218" i="1"/>
  <c r="AH217" i="1"/>
  <c r="AG217" i="1"/>
  <c r="AH216" i="1"/>
  <c r="AG216" i="1"/>
  <c r="AH215" i="1"/>
  <c r="AG215" i="1"/>
  <c r="AH214" i="1"/>
  <c r="AG214" i="1"/>
  <c r="AH213" i="1"/>
  <c r="AG213" i="1"/>
  <c r="AH212" i="1"/>
  <c r="AG212" i="1"/>
  <c r="AH211" i="1"/>
  <c r="AG211" i="1"/>
  <c r="AH210" i="1"/>
  <c r="AG210" i="1"/>
  <c r="AH209" i="1"/>
  <c r="AG209" i="1"/>
  <c r="AH208" i="1"/>
  <c r="AG208" i="1"/>
  <c r="AH207" i="1"/>
  <c r="AG207" i="1"/>
  <c r="AH206" i="1"/>
  <c r="AG206" i="1"/>
  <c r="AH205" i="1"/>
  <c r="AG205" i="1"/>
  <c r="AH204" i="1"/>
  <c r="AG204" i="1"/>
  <c r="AH203" i="1"/>
  <c r="AG203" i="1"/>
  <c r="AH202" i="1"/>
  <c r="AG202" i="1"/>
  <c r="AH201" i="1"/>
  <c r="AG201" i="1"/>
  <c r="AH200" i="1"/>
  <c r="AG200" i="1"/>
  <c r="AH199" i="1"/>
  <c r="AG199" i="1"/>
  <c r="AH198" i="1"/>
  <c r="AG198" i="1"/>
  <c r="AH197" i="1"/>
  <c r="AG197" i="1"/>
  <c r="AH196" i="1"/>
  <c r="AG196" i="1"/>
  <c r="AH195" i="1"/>
  <c r="AG195" i="1"/>
  <c r="AH194" i="1"/>
  <c r="AG194" i="1"/>
  <c r="AH193" i="1"/>
  <c r="AG193" i="1"/>
  <c r="AH192" i="1"/>
  <c r="AG192" i="1"/>
  <c r="AH191" i="1"/>
  <c r="AG191" i="1"/>
  <c r="AH190" i="1"/>
  <c r="AG190" i="1"/>
  <c r="AH189" i="1"/>
  <c r="AG189" i="1"/>
  <c r="AH188" i="1"/>
  <c r="AG188" i="1"/>
  <c r="AH187" i="1"/>
  <c r="AG187" i="1"/>
  <c r="AH186" i="1"/>
  <c r="AG186" i="1"/>
  <c r="AH185" i="1"/>
  <c r="AG185" i="1"/>
  <c r="AH184" i="1"/>
  <c r="AG184" i="1"/>
  <c r="AH183" i="1"/>
  <c r="AG183" i="1"/>
  <c r="AH182" i="1"/>
  <c r="AG182" i="1"/>
  <c r="AH181" i="1"/>
  <c r="AG181" i="1"/>
  <c r="AH180" i="1"/>
  <c r="AG180" i="1"/>
  <c r="AH179" i="1"/>
  <c r="AG179" i="1"/>
  <c r="AH178" i="1"/>
  <c r="AG178" i="1"/>
  <c r="AH177" i="1"/>
  <c r="AG177" i="1"/>
  <c r="AH176" i="1"/>
  <c r="AG176" i="1"/>
  <c r="AH175" i="1"/>
  <c r="AG175" i="1"/>
  <c r="AH174" i="1"/>
  <c r="AG174" i="1"/>
  <c r="AH173" i="1"/>
  <c r="AG173" i="1"/>
  <c r="AH172" i="1"/>
  <c r="AG172" i="1"/>
  <c r="AH171" i="1"/>
  <c r="AG171" i="1"/>
  <c r="AH170" i="1"/>
  <c r="AG170" i="1"/>
  <c r="AH169" i="1"/>
  <c r="AG169" i="1"/>
  <c r="AH168" i="1"/>
  <c r="AG168" i="1"/>
  <c r="AH167" i="1"/>
  <c r="AG167" i="1"/>
  <c r="AH166" i="1"/>
  <c r="AG166" i="1"/>
  <c r="AH165" i="1"/>
  <c r="AG165" i="1"/>
  <c r="AH164" i="1"/>
  <c r="AG164" i="1"/>
  <c r="AH163" i="1"/>
  <c r="AG163" i="1"/>
  <c r="AH162" i="1"/>
  <c r="AG162" i="1"/>
  <c r="AH161" i="1"/>
  <c r="AG161" i="1"/>
  <c r="AH160" i="1"/>
  <c r="AG160" i="1"/>
  <c r="AH159" i="1"/>
  <c r="AG159" i="1"/>
  <c r="AH158" i="1"/>
  <c r="AG158" i="1"/>
  <c r="AH157" i="1"/>
  <c r="AG157" i="1"/>
  <c r="AH156" i="1"/>
  <c r="AG156" i="1"/>
  <c r="AH155" i="1"/>
  <c r="AG155" i="1"/>
  <c r="AH154" i="1"/>
  <c r="AG154" i="1"/>
  <c r="AH153" i="1"/>
  <c r="AG153" i="1"/>
  <c r="AH152" i="1"/>
  <c r="AG152" i="1"/>
  <c r="AH151" i="1"/>
  <c r="AG151" i="1"/>
  <c r="AH150" i="1"/>
  <c r="AG150" i="1"/>
  <c r="AH149" i="1"/>
  <c r="AG149" i="1"/>
  <c r="AH148" i="1"/>
  <c r="AG148" i="1"/>
  <c r="AH147" i="1"/>
  <c r="AG147" i="1"/>
  <c r="AH146" i="1"/>
  <c r="AG146" i="1"/>
  <c r="AH145" i="1"/>
  <c r="AG145" i="1"/>
  <c r="AH144" i="1"/>
  <c r="AG144" i="1"/>
  <c r="AH143" i="1"/>
  <c r="AG143" i="1"/>
  <c r="AH142" i="1"/>
  <c r="AG142" i="1"/>
  <c r="AH141" i="1"/>
  <c r="AG141" i="1"/>
  <c r="AH140" i="1"/>
  <c r="AG140" i="1"/>
  <c r="AH139" i="1"/>
  <c r="AG139" i="1"/>
  <c r="AH138" i="1"/>
  <c r="AG138" i="1"/>
  <c r="AH137" i="1"/>
  <c r="AG137" i="1"/>
  <c r="AH136" i="1"/>
  <c r="AG136" i="1"/>
  <c r="AH135" i="1"/>
  <c r="AG135" i="1"/>
  <c r="AH134" i="1"/>
  <c r="AG134" i="1"/>
  <c r="AH133" i="1"/>
  <c r="AG133" i="1"/>
  <c r="AH132" i="1"/>
  <c r="AG132" i="1"/>
  <c r="AH131" i="1"/>
  <c r="AG131" i="1"/>
  <c r="AH130" i="1"/>
  <c r="AG130" i="1"/>
  <c r="AH129" i="1"/>
  <c r="AG129" i="1"/>
  <c r="AH128" i="1"/>
  <c r="AG128" i="1"/>
  <c r="AH127" i="1"/>
  <c r="AG127" i="1"/>
  <c r="AH126" i="1"/>
  <c r="AG126" i="1"/>
  <c r="AH125" i="1"/>
  <c r="AG125" i="1"/>
  <c r="AH124" i="1"/>
  <c r="AG124" i="1"/>
  <c r="AH123" i="1"/>
  <c r="AG123" i="1"/>
  <c r="AH122" i="1"/>
  <c r="AG122" i="1"/>
  <c r="AH121" i="1"/>
  <c r="AG121" i="1"/>
  <c r="AH120" i="1"/>
  <c r="AG120" i="1"/>
  <c r="AH119" i="1"/>
  <c r="AG119" i="1"/>
  <c r="AH118" i="1"/>
  <c r="AG118" i="1"/>
  <c r="AH117" i="1"/>
  <c r="AG117" i="1"/>
  <c r="AH116" i="1"/>
  <c r="AG116" i="1"/>
  <c r="AH115" i="1"/>
  <c r="AG115" i="1"/>
  <c r="AH114" i="1"/>
  <c r="AG114" i="1"/>
  <c r="AH113" i="1"/>
  <c r="AG113" i="1"/>
  <c r="AH112" i="1"/>
  <c r="AG112" i="1"/>
  <c r="AH111" i="1"/>
  <c r="AG111" i="1"/>
  <c r="AH110" i="1"/>
  <c r="AG110" i="1"/>
  <c r="AH109" i="1"/>
  <c r="AG109" i="1"/>
  <c r="AH108" i="1"/>
  <c r="AG108" i="1"/>
  <c r="AH106" i="1"/>
  <c r="AG106" i="1"/>
  <c r="AH105" i="1"/>
  <c r="AG105" i="1"/>
  <c r="AH102" i="1"/>
  <c r="AG102" i="1"/>
  <c r="AH101" i="1"/>
  <c r="AG101" i="1"/>
  <c r="AH100" i="1"/>
  <c r="AG100" i="1"/>
  <c r="AH99" i="1"/>
  <c r="AG99" i="1"/>
  <c r="AH98" i="1"/>
  <c r="AG98" i="1"/>
  <c r="AH97" i="1"/>
  <c r="AG97" i="1"/>
  <c r="AH96" i="1"/>
  <c r="AG96" i="1"/>
  <c r="AH95" i="1"/>
  <c r="AG95" i="1"/>
  <c r="AH94" i="1"/>
  <c r="AG94" i="1"/>
  <c r="AH93" i="1"/>
  <c r="AG93" i="1"/>
  <c r="AH92" i="1"/>
  <c r="AG92" i="1"/>
  <c r="AH91" i="1"/>
  <c r="AG91" i="1"/>
  <c r="AH90" i="1"/>
  <c r="AG90" i="1"/>
  <c r="AH89" i="1"/>
  <c r="AG89" i="1"/>
  <c r="AH88" i="1"/>
  <c r="AG88" i="1"/>
  <c r="AH87" i="1"/>
  <c r="AG87" i="1"/>
  <c r="AH86" i="1"/>
  <c r="AG86" i="1"/>
  <c r="AH85" i="1"/>
  <c r="AG85" i="1"/>
  <c r="AH84" i="1"/>
  <c r="AG84" i="1"/>
  <c r="AH83" i="1"/>
  <c r="AG83" i="1"/>
  <c r="AH82" i="1"/>
  <c r="AG82" i="1"/>
  <c r="AH81" i="1"/>
  <c r="AG81" i="1"/>
  <c r="AH80" i="1"/>
  <c r="AG80" i="1"/>
  <c r="AH79" i="1"/>
  <c r="AG79" i="1"/>
  <c r="AH78" i="1"/>
  <c r="AG78" i="1"/>
  <c r="AH77" i="1"/>
  <c r="AG77" i="1"/>
  <c r="AH76" i="1"/>
  <c r="AG76" i="1"/>
  <c r="AH75" i="1"/>
  <c r="AG75" i="1"/>
  <c r="AH74" i="1"/>
  <c r="AG74" i="1"/>
  <c r="AH73" i="1"/>
  <c r="AG73" i="1"/>
  <c r="AH72" i="1"/>
  <c r="AG72" i="1"/>
  <c r="AH71" i="1"/>
  <c r="AG71" i="1"/>
  <c r="AH70" i="1"/>
  <c r="AG70" i="1"/>
  <c r="AH69" i="1"/>
  <c r="AG69" i="1"/>
  <c r="AH68" i="1"/>
  <c r="AG68" i="1"/>
  <c r="AH67" i="1"/>
  <c r="AG67" i="1"/>
  <c r="AH66" i="1"/>
  <c r="AG66" i="1"/>
  <c r="AH65" i="1"/>
  <c r="AG65" i="1"/>
  <c r="AH64" i="1"/>
  <c r="AG64" i="1"/>
  <c r="AH63" i="1"/>
  <c r="AG63" i="1"/>
  <c r="AH62" i="1"/>
  <c r="AG62" i="1"/>
  <c r="AH61" i="1"/>
  <c r="AG61" i="1"/>
  <c r="AH60" i="1"/>
  <c r="AG60" i="1"/>
  <c r="AH59" i="1"/>
  <c r="AG59" i="1"/>
  <c r="AH58" i="1"/>
  <c r="AG58" i="1"/>
  <c r="AH57" i="1"/>
  <c r="AG57" i="1"/>
  <c r="AH56" i="1"/>
  <c r="AG56" i="1"/>
  <c r="AH55" i="1"/>
  <c r="AG55" i="1"/>
  <c r="AH54" i="1"/>
  <c r="AG54" i="1"/>
  <c r="AH53" i="1"/>
  <c r="AG53" i="1"/>
  <c r="AH52" i="1"/>
  <c r="AG52" i="1"/>
  <c r="AH51" i="1"/>
  <c r="AG51" i="1"/>
  <c r="AH50" i="1"/>
  <c r="AG50" i="1"/>
  <c r="AH49" i="1"/>
  <c r="AG49" i="1"/>
  <c r="AH48" i="1"/>
  <c r="AG48" i="1"/>
  <c r="AH47" i="1"/>
  <c r="AG47" i="1"/>
  <c r="AH46" i="1"/>
  <c r="AG46" i="1"/>
  <c r="AH45" i="1"/>
  <c r="AG45" i="1"/>
  <c r="AH44" i="1"/>
  <c r="AG44" i="1"/>
  <c r="AH43" i="1"/>
  <c r="AG43" i="1"/>
  <c r="AH42" i="1"/>
  <c r="AG42" i="1"/>
  <c r="AH41" i="1"/>
  <c r="AG41" i="1"/>
  <c r="AH40" i="1"/>
  <c r="AG40" i="1"/>
  <c r="AH39" i="1"/>
  <c r="AG39" i="1"/>
  <c r="AH38" i="1"/>
  <c r="AG38" i="1"/>
  <c r="AH37" i="1"/>
  <c r="AG37" i="1"/>
  <c r="AH36" i="1"/>
  <c r="AG36" i="1"/>
  <c r="AH35" i="1"/>
  <c r="AG35" i="1"/>
  <c r="AH34" i="1"/>
  <c r="AG34" i="1"/>
  <c r="AH33" i="1"/>
  <c r="AG33" i="1"/>
  <c r="AH32" i="1"/>
  <c r="AG32" i="1"/>
  <c r="AH31" i="1"/>
  <c r="AG31" i="1"/>
  <c r="AH30" i="1"/>
  <c r="AG30" i="1"/>
  <c r="AH28" i="1"/>
  <c r="AG28" i="1"/>
  <c r="AH27" i="1"/>
  <c r="AG27" i="1"/>
  <c r="AH25" i="1"/>
  <c r="AG25" i="1"/>
  <c r="AH24" i="1"/>
  <c r="AG24" i="1"/>
  <c r="AH23" i="1"/>
  <c r="AG23" i="1"/>
  <c r="AH22" i="1"/>
  <c r="AG22" i="1"/>
  <c r="AH21" i="1"/>
  <c r="AG21" i="1"/>
  <c r="AH20" i="1"/>
  <c r="AG20" i="1"/>
  <c r="AH19" i="1"/>
  <c r="AG19" i="1"/>
  <c r="AH18" i="1"/>
  <c r="AG18" i="1"/>
  <c r="AH17" i="1"/>
  <c r="AG17" i="1"/>
  <c r="AH16" i="1"/>
  <c r="AG16" i="1"/>
  <c r="AH15" i="1"/>
  <c r="AG15" i="1"/>
  <c r="AH14" i="1"/>
  <c r="AG14" i="1"/>
  <c r="AH13" i="1"/>
  <c r="AG13" i="1"/>
  <c r="AH12" i="1"/>
  <c r="AG12" i="1"/>
  <c r="AH11" i="1"/>
  <c r="AG11" i="1"/>
  <c r="AH10" i="1"/>
  <c r="AG10" i="1"/>
  <c r="AH9" i="1"/>
  <c r="AG9" i="1"/>
  <c r="AH8" i="1"/>
  <c r="AG8" i="1"/>
  <c r="AH7" i="1"/>
  <c r="AG7" i="1"/>
  <c r="AH6" i="1"/>
  <c r="AG6" i="1"/>
  <c r="AH5" i="1"/>
  <c r="AG5" i="1"/>
  <c r="AH4" i="1"/>
  <c r="AG4" i="1"/>
  <c r="AH3" i="1"/>
  <c r="AG3" i="1"/>
  <c r="AH2" i="1"/>
  <c r="AG2" i="1"/>
</calcChain>
</file>

<file path=xl/sharedStrings.xml><?xml version="1.0" encoding="utf-8"?>
<sst xmlns="http://schemas.openxmlformats.org/spreadsheetml/2006/main" count="68198" uniqueCount="19871">
  <si>
    <t>978-1-4744-6070-5</t>
  </si>
  <si>
    <t>Edinburgh University Press</t>
  </si>
  <si>
    <t>Consuming Images</t>
  </si>
  <si>
    <t>Film Art and the American Television Commercial</t>
  </si>
  <si>
    <t>Consuming Images E-BOOK</t>
  </si>
  <si>
    <t>e-Book</t>
  </si>
  <si>
    <t>e-book (PDF)</t>
  </si>
  <si>
    <t>englisch</t>
  </si>
  <si>
    <t>Rhodes, Gary D. / Singer, Robert</t>
  </si>
  <si>
    <t>Cultural Studies</t>
  </si>
  <si>
    <t>Genres and Media in Cultural Studies</t>
  </si>
  <si>
    <t>Film</t>
  </si>
  <si>
    <t>PER004030 PERFORMING ARTS / Film &amp; Video / History &amp; Criticism</t>
  </si>
  <si>
    <t>Available</t>
  </si>
  <si>
    <t>Edinburgh University Press Complete eBook-Package 2020</t>
  </si>
  <si>
    <t>EBA_BACKALL; EBA_CL_HICS; EBA_EBACKALL; EBA_EBKALL; EBA_ECL_HICS; EBA_EEBKALL; EBA_ESSHALL; EBA_PPALL; EBA_SSHALL</t>
  </si>
  <si>
    <t>978-1-4744-6595-3</t>
  </si>
  <si>
    <t>History of the Social-Democratic Federation</t>
  </si>
  <si>
    <t>History of the Social-Democratic Federation E-BOOK</t>
  </si>
  <si>
    <t>Crick, Martin</t>
  </si>
  <si>
    <t>History</t>
  </si>
  <si>
    <t>Regional and National History</t>
  </si>
  <si>
    <t>Western Europe</t>
  </si>
  <si>
    <t>HIS015000 HISTORY / Europe / Great Britain / General</t>
  </si>
  <si>
    <t>Edinburgh University Press Archive eBook-Package Pre-2000</t>
  </si>
  <si>
    <t>978-0-7486-8389-5</t>
  </si>
  <si>
    <t>Islam and Economic Policy</t>
  </si>
  <si>
    <t>An Introduction</t>
  </si>
  <si>
    <t>Islam and Economic Policy E-BOOK</t>
  </si>
  <si>
    <t>Wilson, Rodney</t>
  </si>
  <si>
    <t>Business and Economics</t>
  </si>
  <si>
    <t>Political Economics</t>
  </si>
  <si>
    <t>Political Economics, other</t>
  </si>
  <si>
    <t>BUS068000 BUSINESS &amp; ECONOMICS / Development / Economic Development</t>
  </si>
  <si>
    <t>Edinburgh University Press Complete eBook-Package 2014-2015</t>
  </si>
  <si>
    <t>weltweit without Hongkong, Volksrepublik China</t>
  </si>
  <si>
    <t>EBA_BACKALL; EBA_CL_LAEC; EBA_EBACKALL; EBA_EBKALL; EBA_ECL_LAEC; EBA_EEBKALL; EBA_ESSHALL; EBA_ESTMALL; EBA_EXCL; EBA_PPALL; EBA_SSHALL; EBA_STMALL</t>
  </si>
  <si>
    <t>978-0-7486-9359-7</t>
  </si>
  <si>
    <t>From Film Practice to Data Process</t>
  </si>
  <si>
    <t>Production Aesthetics and Representational Practices of a Film Industry in Transition</t>
  </si>
  <si>
    <t>From Film Practice to Data Process E-BOOK</t>
  </si>
  <si>
    <t>Atkinson, Sarah</t>
  </si>
  <si>
    <t>Literary Studies</t>
  </si>
  <si>
    <t>Literary Genres and Media</t>
  </si>
  <si>
    <t>Drama, Theater</t>
  </si>
  <si>
    <t>PER004000 PERFORMING ARTS / Film &amp; Video / General</t>
  </si>
  <si>
    <t>Edinburgh University Press Complete eBook-Package 2018</t>
  </si>
  <si>
    <t>EBA_BACKALL; EBA_CL_LT; EBA_EBACKALL; EBA_EBKALL; EBA_ECL_LT; EBA_EEBKALL; EBA_ESSHALL; EBA_PPALL; EBA_SSHALL</t>
  </si>
  <si>
    <t>978-1-4744-1149-3</t>
  </si>
  <si>
    <t>Irish Queer Cinema</t>
  </si>
  <si>
    <t>Irish Queer Cinema E-BOOK</t>
  </si>
  <si>
    <t>Macleod, Allison</t>
  </si>
  <si>
    <t>PER004010 PERFORMING ARTS / Film &amp; Video / Direction &amp; Production</t>
  </si>
  <si>
    <t>EBA_BACKALL; EBA_CL_MUAR; EBA_EBACKALL; EBA_EBKALL; EBA_ECL_MUAR; EBA_EEBKALL; EBA_ESSHALL; EBA_EXCL; EBA_PPALL; EBA_SSHALL</t>
  </si>
  <si>
    <t>978-1-4744-6791-9</t>
  </si>
  <si>
    <t>Citizenship and Rights in Multicultural Societies</t>
  </si>
  <si>
    <t>Citizenship and Rights in Multicultural Societies E-BOOK</t>
  </si>
  <si>
    <t>Bonazzi, T. / Dunne, Michael</t>
  </si>
  <si>
    <t>Social Sciences</t>
  </si>
  <si>
    <t>Political Science</t>
  </si>
  <si>
    <t>Political Science, other</t>
  </si>
  <si>
    <t>POL003000 POLITICAL SCIENCE / Civics &amp; Citizenship</t>
  </si>
  <si>
    <t>EBA_BACKALL; EBA_CL_SN; EBA_EBACKALL; EBA_EBKALL; EBA_ECL_SN; EBA_EEBKALL; EBA_ESSHALL; EBA_PPALL; EBA_SSHALL</t>
  </si>
  <si>
    <t>978-1-4744-6786-5</t>
  </si>
  <si>
    <t>Stuarts and Romanovs</t>
  </si>
  <si>
    <t>The Rise and Fall of a Special Relationship</t>
  </si>
  <si>
    <t>Stuarts and Romanovs E-BOOK</t>
  </si>
  <si>
    <t>Kotilaine, Jarmo / Dukes, Paul / Herd, Graeme</t>
  </si>
  <si>
    <t>Edinburgh University Press Backlist eBook-Package 2013-2000</t>
  </si>
  <si>
    <t>978-1-4744-7030-8</t>
  </si>
  <si>
    <t>The Politics of Radical Democracy</t>
  </si>
  <si>
    <t>The Politics of Radical Democracy E-BOOK</t>
  </si>
  <si>
    <t>Little, Adrian / Lloyd, Moya</t>
  </si>
  <si>
    <t>POL007000 POLITICAL SCIENCE / Political ideologies / Democracy</t>
  </si>
  <si>
    <t>978-1-4744-8528-9</t>
  </si>
  <si>
    <t>The Fundamental Field</t>
  </si>
  <si>
    <t>Thought, Poetics, World</t>
  </si>
  <si>
    <t>The Fundamental Field E-BOOK</t>
  </si>
  <si>
    <t>Malpas, Jeff / White, Kenneth</t>
  </si>
  <si>
    <t>Philosophy</t>
  </si>
  <si>
    <t>Aesthetics</t>
  </si>
  <si>
    <t>PHI001000 PHILOSOPHY / Aesthetics</t>
  </si>
  <si>
    <t>EBOOK PACKAGE COMPLETE 2022 | EBOOK PACKAGE COMPLETE 2022 English | EBOOK PACKAGE Philosophy 2022 | EBOOK PACKAGE Philosophy 2022 English | Edinburgh University Press Complete eBook-Package 2021</t>
  </si>
  <si>
    <t>EBA_BACKALL; EBA_CL_PLTLJSIS; EBA_EBACKALL; EBA_EBKALL; EBA_ECL_PLTLJSIS; EBA_EEBKALL; EBA_ESSHALL; EBA_PPALL; EBA_SSHALL</t>
  </si>
  <si>
    <t>978-1-4744-6557-1</t>
  </si>
  <si>
    <t>The Sources of Islamic Law</t>
  </si>
  <si>
    <t>Islamic Theories of Abrogation</t>
  </si>
  <si>
    <t>The Sources of Islamic Law E-BOOK</t>
  </si>
  <si>
    <t>Burton, John</t>
  </si>
  <si>
    <t>Theology and Religion</t>
  </si>
  <si>
    <t>Religious Studies</t>
  </si>
  <si>
    <t>Islam</t>
  </si>
  <si>
    <t>REL037020 RELIGION / Islam / Law</t>
  </si>
  <si>
    <t>978-1-4744-6836-7</t>
  </si>
  <si>
    <t>Standard Written English</t>
  </si>
  <si>
    <t>A Guide</t>
  </si>
  <si>
    <t>Standard Written English E-BOOK</t>
  </si>
  <si>
    <t>Gaskell, Philip</t>
  </si>
  <si>
    <t>Linguistics and Semiotics</t>
  </si>
  <si>
    <t>Theoretical Frameworks and Disciplines</t>
  </si>
  <si>
    <t>Linguistics, other</t>
  </si>
  <si>
    <t>LAN006000 LANGUAGE ARTS &amp; DISCIPLINES / Grammar &amp; Punctuation</t>
  </si>
  <si>
    <t>EBA_BACKALL; EBA_CL_LS; EBA_EBACKALL; EBA_EBKALL; EBA_ECL_LS; EBA_EEBKALL; EBA_ESSHALL; EBA_PPALL; EBA_SSHALL</t>
  </si>
  <si>
    <t>978-1-4744-7865-6</t>
  </si>
  <si>
    <t>Walking North with Keats</t>
  </si>
  <si>
    <t>Walking North with Keats E-BOOK</t>
  </si>
  <si>
    <t>Kyros Walker, Carol</t>
  </si>
  <si>
    <t>Anglo-American Literature</t>
  </si>
  <si>
    <t>Anglo-American Literature, general</t>
  </si>
  <si>
    <t>LIT004120 LITERARY CRITICISM / European / English, Irish, Scottish, Welsh</t>
  </si>
  <si>
    <t>EBOOK PACKAGE COMPLETE 2021 | EBOOK PACKAGE COMPLETE 2021 English | EBOOK PACKAGE Literary, Cultural, Area Studies 2021 | EBOOK PACKAGE Literary, Cultural, Area Studies 2021 English | Edinburgh University Press Complete eBook-Package 2021</t>
  </si>
  <si>
    <t>978-0-7486-6942-4</t>
  </si>
  <si>
    <t>Don Paterson</t>
  </si>
  <si>
    <t>Contemporary Critical Essays</t>
  </si>
  <si>
    <t>Don Paterson E-BOOK</t>
  </si>
  <si>
    <t>Pollard, Natalie</t>
  </si>
  <si>
    <t>Literary Studies, general</t>
  </si>
  <si>
    <t>LIT000000 LITERARY CRITICISM / General</t>
  </si>
  <si>
    <t>978-0-7486-3533-7</t>
  </si>
  <si>
    <t>The Political Thought of Jacques Rancière</t>
  </si>
  <si>
    <t>Creating Equality</t>
  </si>
  <si>
    <t>The Political Thought of Jacques Rancière E-BOOK</t>
  </si>
  <si>
    <t>May, Todd</t>
  </si>
  <si>
    <t>Political Philosophy and Social Philosophy</t>
  </si>
  <si>
    <t>PHI019000 PHILOSOPHY / Political</t>
  </si>
  <si>
    <t>978-1-4744-6564-9</t>
  </si>
  <si>
    <t>Feminist Visual Culture</t>
  </si>
  <si>
    <t>Feminist Visual Culture E-BOOK</t>
  </si>
  <si>
    <t>Carson, Fiona / Pajaczkowska, Claire</t>
  </si>
  <si>
    <t>Sociology</t>
  </si>
  <si>
    <t>Sociology, other</t>
  </si>
  <si>
    <t>SOC010000 SOCIAL SCIENCE / Feminism &amp; Feminist Theory</t>
  </si>
  <si>
    <t>978-1-4744-7325-5</t>
  </si>
  <si>
    <t>Religion</t>
  </si>
  <si>
    <t>The Classical Theories</t>
  </si>
  <si>
    <t>Religion E-BOOK</t>
  </si>
  <si>
    <t>Thrower, James</t>
  </si>
  <si>
    <t>Systematic Theology and Philosophy of Religion</t>
  </si>
  <si>
    <t>Philosophy of Religion</t>
  </si>
  <si>
    <t>REL051000 RELIGION / Philosophy</t>
  </si>
  <si>
    <t>978-0-7486-4224-3</t>
  </si>
  <si>
    <t>The Government of Scotland</t>
  </si>
  <si>
    <t>Public Policy Making after Devolution</t>
  </si>
  <si>
    <t>The Government of Scotland E-BOOK</t>
  </si>
  <si>
    <t>Keating, Michael</t>
  </si>
  <si>
    <t>POL000000 POLITICAL SCIENCE / General</t>
  </si>
  <si>
    <t>978-0-7486-2816-2</t>
  </si>
  <si>
    <t>Associationism and the Literary Imagination</t>
  </si>
  <si>
    <t>From the Phantasmal Chaos</t>
  </si>
  <si>
    <t>Associationism and the Literary Imagination E-BOOK</t>
  </si>
  <si>
    <t>Craig, Cairns</t>
  </si>
  <si>
    <t>978-0-7486-4598-5</t>
  </si>
  <si>
    <t>Democracy and Political Violence</t>
  </si>
  <si>
    <t>Democracy and Political Violence E-BOOK</t>
  </si>
  <si>
    <t>Schwarzmantel, John</t>
  </si>
  <si>
    <t>EBA_BACKALL; EBA_CL_SN; EBA_EBACKALL; EBA_EBKALL; EBA_ECL_SN; EBA_EEBKALL; EBA_ESSHALL; EBA_EXCL; EBA_PPALL; EBA_SSHALL</t>
  </si>
  <si>
    <t>978-1-4744-6805-3</t>
  </si>
  <si>
    <t>The Poetics of Impersonality</t>
  </si>
  <si>
    <t>T. S. Eliot and Ezra Pound</t>
  </si>
  <si>
    <t>The Poetics of Impersonality E-BOOK</t>
  </si>
  <si>
    <t>Ellmann, Maud</t>
  </si>
  <si>
    <t>Literature of other Nations and Languages</t>
  </si>
  <si>
    <t>Other Nations and Languages</t>
  </si>
  <si>
    <t>LIT008000 LITERARY CRITICISM / Asian / General</t>
  </si>
  <si>
    <t>978-1-4744-6468-0</t>
  </si>
  <si>
    <t>The Politics of Property</t>
  </si>
  <si>
    <t>Labour, Freedom and Belonging</t>
  </si>
  <si>
    <t>The Politics of Property E-BOOK</t>
  </si>
  <si>
    <t>Brace, Laura</t>
  </si>
  <si>
    <t>POL010000 POLITICAL SCIENCE / History &amp; Theory</t>
  </si>
  <si>
    <t>978-0-7486-2625-0</t>
  </si>
  <si>
    <t>Film Remakes</t>
  </si>
  <si>
    <t>Film Remakes E-BOOK</t>
  </si>
  <si>
    <t>Verevis, Constantine</t>
  </si>
  <si>
    <t>978-1-4744-1512-5</t>
  </si>
  <si>
    <t>Metadrama and the Informer in Shakespeare and Jonson</t>
  </si>
  <si>
    <t>Metadrama and the Informer in Shakespeare and Jonson E-BOOK</t>
  </si>
  <si>
    <t>Angus, Bill</t>
  </si>
  <si>
    <t>Genre Studies, general</t>
  </si>
  <si>
    <t>LIT011000 LITERARY CRITICISM / Medieval</t>
  </si>
  <si>
    <t>Edinburgh University Press Complete eBook-Package 2016</t>
  </si>
  <si>
    <t>978-0-7486-4688-3</t>
  </si>
  <si>
    <t>Whatever Happened to Tory Scotland?</t>
  </si>
  <si>
    <t>Whatever Happened to Tory Scotland? E-BOOK</t>
  </si>
  <si>
    <t>Torrance, David</t>
  </si>
  <si>
    <t>Edinburgh University Press eBook Placeholder 2021</t>
  </si>
  <si>
    <t>eBook Placeholder Product</t>
  </si>
  <si>
    <t>General Interest</t>
  </si>
  <si>
    <t>SCI000000 SCIENCE / General</t>
  </si>
  <si>
    <t>in production</t>
  </si>
  <si>
    <t>EBA_BACKALL; EBA_EBACKALL; EBA_EBKALL; EBA_EEBKALL; EBA_ESSHALL; EBA_ESTMALL; EBA_PPALL; EBA_SSHALL; EBA_STMALL</t>
  </si>
  <si>
    <t>978-1-4744-4415-6</t>
  </si>
  <si>
    <t>Women in the Western</t>
  </si>
  <si>
    <t>Women in the Western E-BOOK</t>
  </si>
  <si>
    <t>Matheson, Sue</t>
  </si>
  <si>
    <t>978-1-4744-0799-1</t>
  </si>
  <si>
    <t>The Trouble with Democracy</t>
  </si>
  <si>
    <t>Political Modernity in the 21st Century</t>
  </si>
  <si>
    <t>The Trouble with Democracy E-BOOK</t>
  </si>
  <si>
    <t>Rosich, Gerard / Wagner, Peter</t>
  </si>
  <si>
    <t>Edinburgh University Press eBook Placeholder 2017</t>
  </si>
  <si>
    <t>978-0-7486-4533-6</t>
  </si>
  <si>
    <t>The Idea of Commercial Society in the Scottish Enlightenment</t>
  </si>
  <si>
    <t>The Idea of Commercial Society in the Scottish Enligh E-BOOK</t>
  </si>
  <si>
    <t>Berry, Christopher J.</t>
  </si>
  <si>
    <t>978-0-7486-2623-6</t>
  </si>
  <si>
    <t>The Edinburgh Dictionary of Continental Philosophy</t>
  </si>
  <si>
    <t>The Edinburgh Dictionary of Continental Philosophy E-BOOK</t>
  </si>
  <si>
    <t>Protevi, John</t>
  </si>
  <si>
    <t>Philosophy, other</t>
  </si>
  <si>
    <t>PHI021000 PHILOSOPHY / Reference</t>
  </si>
  <si>
    <t>978-1-4744-6178-8</t>
  </si>
  <si>
    <t>Asian Cinema</t>
  </si>
  <si>
    <t>A Regional View</t>
  </si>
  <si>
    <t>Asian Cinema E-BOOK</t>
  </si>
  <si>
    <t>Khoo, Olivia</t>
  </si>
  <si>
    <t>EBOOK PACKAGE Arts 2022 | EBOOK PACKAGE Arts, Architecture and Design 2022 English | EBOOK PACKAGE COMPLETE 2022 | EBOOK PACKAGE COMPLETE 2022 English | Edinburgh University Press Complete eBook-Package 2021</t>
  </si>
  <si>
    <t>978-1-4744-2966-5</t>
  </si>
  <si>
    <t>The Call of Classical Literature in the Romantic Age</t>
  </si>
  <si>
    <t>The Call of Classical Literature in the Romantic Age E-BOOK</t>
  </si>
  <si>
    <t>Van Anglen, K. P. / Engell, James</t>
  </si>
  <si>
    <t>LIT004020 LITERARY CRITICISM / American / General</t>
  </si>
  <si>
    <t>Edinburgh University Press Complete eBook-Package 2017</t>
  </si>
  <si>
    <t>978-1-4744-7230-2</t>
  </si>
  <si>
    <t>Plato's Republic</t>
  </si>
  <si>
    <t>Plato's Republic E-BOOK</t>
  </si>
  <si>
    <t>Sayers, Sean</t>
  </si>
  <si>
    <t>History of Philosophy</t>
  </si>
  <si>
    <t>Ancient Philosophy</t>
  </si>
  <si>
    <t>PHI002000 PHILOSOPHY / History &amp; Surveys / Ancient &amp; Classical</t>
  </si>
  <si>
    <t>978-1-4744-6893-0</t>
  </si>
  <si>
    <t>The Geoffrey Hartman Reader</t>
  </si>
  <si>
    <t>The Geoffrey Hartman Reader E-BOOK</t>
  </si>
  <si>
    <t>Hartman, Geoffrey / O'Hara, Daniel T.</t>
  </si>
  <si>
    <t>20th and 21st Century Philosophy</t>
  </si>
  <si>
    <t>PHI027000 PHILOSOPHY / Movements / Deconstruction</t>
  </si>
  <si>
    <t>978-0-7486-8282-9</t>
  </si>
  <si>
    <t>Translation as Collaboration</t>
  </si>
  <si>
    <t>Virginia Woolf, Katherine Mansfield and S.S. Koteliansky</t>
  </si>
  <si>
    <t>Translation as Collaboration E-BOOK</t>
  </si>
  <si>
    <t>Davison, Claire</t>
  </si>
  <si>
    <t>978-1-4744-7139-8</t>
  </si>
  <si>
    <t>Essays on Women, Medicine &amp; Health</t>
  </si>
  <si>
    <t>Essays on Women, Medicine &amp; Health E-BOOK</t>
  </si>
  <si>
    <t>Oakley, Ann</t>
  </si>
  <si>
    <t>POL032000 POLITICAL SCIENCE / Essays</t>
  </si>
  <si>
    <t>978-0-7486-8286-7</t>
  </si>
  <si>
    <t>Crisis and the US Avant-Garde</t>
  </si>
  <si>
    <t>Poetry and Real Politics</t>
  </si>
  <si>
    <t>Crisis and the US Avant-Garde E-BOOK</t>
  </si>
  <si>
    <t>Hickman, Ben</t>
  </si>
  <si>
    <t>LIT004050 LITERARY CRITICISM / American / Hispanic American</t>
  </si>
  <si>
    <t>978-1-4744-5058-4</t>
  </si>
  <si>
    <t>New Rhetorics for Contemporary Legal Discourse</t>
  </si>
  <si>
    <t>New Rhetorics for Contemporary Legal Discourse E-BOOK</t>
  </si>
  <si>
    <t>Condello, Angela</t>
  </si>
  <si>
    <t>Applied Linguistics</t>
  </si>
  <si>
    <t>Applied Linguistics, other</t>
  </si>
  <si>
    <t>LAN015000 LANGUAGE ARTS &amp; DISCIPLINES / Rhetoric</t>
  </si>
  <si>
    <t>978-0-7486-7612-5</t>
  </si>
  <si>
    <t>Cinematicity in Media History</t>
  </si>
  <si>
    <t>Cinematicity in Media History E-BOOK</t>
  </si>
  <si>
    <t>Geiger, Jeffrey / Littau, Karin</t>
  </si>
  <si>
    <t>978-0-7486-7058-1</t>
  </si>
  <si>
    <t>The European Court of Human Rights</t>
  </si>
  <si>
    <t>Implementing Strasbourg’s Judgments on Domestic Policy</t>
  </si>
  <si>
    <t>The European Court of Human Rights E-BOOK</t>
  </si>
  <si>
    <t>Anagnostou, Dia</t>
  </si>
  <si>
    <t xml:space="preserve">Law </t>
  </si>
  <si>
    <t>Law, other</t>
  </si>
  <si>
    <t>LAW016000 LAW / Comparative</t>
  </si>
  <si>
    <t>Edinburgh University Press Backlist eBook-Package 2013-2000 | Pick and Choose Law eBook Package BU 2022 | Pick and Choose Law eBook WUSTL 2022 Part 1 | Pick and Choose eBook Package Cornell Eng Law 2000-2021 | UCB LAW SCHOOL Pick &amp; Choose 2022 | UNIVERSIDAD NACIONAL AUTÓNOMA DE MÉXICO Pick and Choose 2023 | Yale P&amp;C Law Package 2023</t>
  </si>
  <si>
    <t>EBA_BACKALL; EBA_CL_LAEC; EBA_EBACKALL; EBA_EBKALL; EBA_ECL_LAEC; EBA_EEBKALL; EBA_ESSHALL; EBA_ESTMALL; EBA_PPALL; EBA_SSHALL; EBA_STMALL</t>
  </si>
  <si>
    <t>978-1-4744-4423-1</t>
  </si>
  <si>
    <t>Force Short of War in Modern Conflict</t>
  </si>
  <si>
    <t>Jus Ad Vim</t>
  </si>
  <si>
    <t>Force Short of War in Modern Conflict E-BOOK</t>
  </si>
  <si>
    <t>Galliott, Jai</t>
  </si>
  <si>
    <t>International Relations</t>
  </si>
  <si>
    <t>POL001000 POLITICAL SCIENCE / International Relations / Arms Control</t>
  </si>
  <si>
    <t>Edinburgh University Press Complete eBook-Package 2019</t>
  </si>
  <si>
    <t>978-1-4744-5433-9</t>
  </si>
  <si>
    <t>Narrative Humanism</t>
  </si>
  <si>
    <t>Kindness and Complexity in Fiction and Film</t>
  </si>
  <si>
    <t>Narrative Humanism E-BOOK</t>
  </si>
  <si>
    <t>Moss-Wellington, Wyatt</t>
  </si>
  <si>
    <t>978-0-7486-4156-7</t>
  </si>
  <si>
    <t>Virginia Woolf, Fashion and Literary Modernity</t>
  </si>
  <si>
    <t>Virginia Woolf, Fashion and Literary Modernity E-BOOK</t>
  </si>
  <si>
    <t>Koppen, R. S.</t>
  </si>
  <si>
    <t>Literary Theory</t>
  </si>
  <si>
    <t>LIT004290 LITERARY CRITICISM / Women Authors</t>
  </si>
  <si>
    <t>978-0-7486-4371-4</t>
  </si>
  <si>
    <t>The Transformation of Muslim Mystical Thought in the Ottoman Empire</t>
  </si>
  <si>
    <t>The Rise of the Halveti Order, 1350-1650</t>
  </si>
  <si>
    <t>The Transformation of Muslim Mystical Thought in the  E-BOOK</t>
  </si>
  <si>
    <t>Curry, John J.</t>
  </si>
  <si>
    <t>Islamic and Middle Eastern Studies</t>
  </si>
  <si>
    <t>Religious Groups and Minorities</t>
  </si>
  <si>
    <t>REL090000 RELIGION / Islam / Sufi</t>
  </si>
  <si>
    <t>978-0-7486-3084-4</t>
  </si>
  <si>
    <t>David Wilkie</t>
  </si>
  <si>
    <t>The People's Painter</t>
  </si>
  <si>
    <t>David Wilkie E-BOOK</t>
  </si>
  <si>
    <t>Tromans, Nicholas</t>
  </si>
  <si>
    <t>Arts</t>
  </si>
  <si>
    <t>Arts, general</t>
  </si>
  <si>
    <t>ART015030 ART / European</t>
  </si>
  <si>
    <t>EBA_BACKALL; EBA_CL_MUAR; EBA_EBACKALL; EBA_EBKALL; EBA_ECL_MUAR; EBA_EEBKALL; EBA_ESSHALL; EBA_PPALL; EBA_SSHALL</t>
  </si>
  <si>
    <t>978-1-4744-6546-5</t>
  </si>
  <si>
    <t>Sectarianism in Scotland</t>
  </si>
  <si>
    <t>Sectarianism in Scotland E-BOOK</t>
  </si>
  <si>
    <t>Bruce, Steve / Glendinning, Tony / Rosie, Michael</t>
  </si>
  <si>
    <t>978-0-7486-4092-8</t>
  </si>
  <si>
    <t>Grounding Cosmopolitanism</t>
  </si>
  <si>
    <t>From Kant to the Idea of a Cosmopolitan Constitution</t>
  </si>
  <si>
    <t>Grounding Cosmopolitanism E-BOOK</t>
  </si>
  <si>
    <t>Brown, Garrett Wallace</t>
  </si>
  <si>
    <t>978-0-7486-9763-2</t>
  </si>
  <si>
    <t>On the Edge</t>
  </si>
  <si>
    <t>Coastlines of Britain</t>
  </si>
  <si>
    <t>On the Edge E-BOOK</t>
  </si>
  <si>
    <t>Duck, Robert</t>
  </si>
  <si>
    <t>Edinburgh University Press Complete eBook-Package 2014-2015 | UC San Diego Pick and Choose eBook Package 2024</t>
  </si>
  <si>
    <t>978-1-4744-7274-6</t>
  </si>
  <si>
    <t>The Dark Age of Greece</t>
  </si>
  <si>
    <t>An Archaeological Survey of the Eleventh to the Eighth Centuries BC</t>
  </si>
  <si>
    <t>The Dark Age of Greece E-BOOK</t>
  </si>
  <si>
    <t>Snodgrass, Anthony</t>
  </si>
  <si>
    <t>Classical and Ancient Near Eastern Studies</t>
  </si>
  <si>
    <t>Classical Studies</t>
  </si>
  <si>
    <t>Ancient History</t>
  </si>
  <si>
    <t>HIS002010 HISTORY / Ancient / Greece</t>
  </si>
  <si>
    <t>EBA_BACKALL; EBA_CL_CL; EBA_EBACKALL; EBA_EBKALL; EBA_ECL_CL; EBA_EEBKALL; EBA_ESSHALL; EBA_PPALL; EBA_SSHALL</t>
  </si>
  <si>
    <t>978-1-4744-6279-2</t>
  </si>
  <si>
    <t>The Cinema of Disorientation</t>
  </si>
  <si>
    <t>Inviting Confusions</t>
  </si>
  <si>
    <t>The Cinema of Disorientation E-BOOK</t>
  </si>
  <si>
    <t>Lash, Dominic</t>
  </si>
  <si>
    <t>978-1-4744-1738-9</t>
  </si>
  <si>
    <t>Tales of the Troubled Dead</t>
  </si>
  <si>
    <t>Ghost Stories in Cultural History</t>
  </si>
  <si>
    <t>Tales of the Troubled Dead E-BOOK</t>
  </si>
  <si>
    <t>Belsey, Catherine</t>
  </si>
  <si>
    <t>978-1-4744-4427-9</t>
  </si>
  <si>
    <t>Frederick Douglass and Scotland, 1846</t>
  </si>
  <si>
    <t>Living an Antislavery Life</t>
  </si>
  <si>
    <t>Frederick Douglass and Scotland, 1846 E-BOOK</t>
  </si>
  <si>
    <t>Pettinger, Alasdair</t>
  </si>
  <si>
    <t>BIO032000 BIOGRAPHY &amp; AUTOBIOGRAPHY / Social Activists</t>
  </si>
  <si>
    <t>CSCU DEI P&amp;C 2023 | Edinburgh University Press Complete eBook-Package 2018</t>
  </si>
  <si>
    <t>978-0-7486-3180-3</t>
  </si>
  <si>
    <t>Death and Desire in Hegel, Heidegger and Deleuze</t>
  </si>
  <si>
    <t>Death and Desire in Hegel, Heidegger and Deleuze E-BOOK</t>
  </si>
  <si>
    <t>Adkins, Brent</t>
  </si>
  <si>
    <t>PHI026000 PHILOSOPHY / Criticism</t>
  </si>
  <si>
    <t>978-1-4744-0077-0</t>
  </si>
  <si>
    <t>Levinas, Ethics and Law</t>
  </si>
  <si>
    <t>Levinas, Ethics and Law E-BOOK</t>
  </si>
  <si>
    <t>Stone, Matthew</t>
  </si>
  <si>
    <t>LAW052000 LAW / Jurisprudence</t>
  </si>
  <si>
    <t>Edinburgh University Press Complete eBook-Package 2016 | Pick and Choose Law eBook Package BU 2022 | Pick and Choose Law eBook WUSTL 2022 Part 1 | Pick and Choose eBook Package Cornell Eng Law 2000-2021 | UCB LAW SCHOOL Pick &amp; Choose 2022 | Yale P&amp;C Law Package 2023</t>
  </si>
  <si>
    <t>978-1-4744-3408-9</t>
  </si>
  <si>
    <t>The Sociopragmatics of Attitude Datives in Levantine Arabic</t>
  </si>
  <si>
    <t>The Sociopragmatics of Attitude Datives in Levantine  E-BOOK</t>
  </si>
  <si>
    <t>Haddad, Youssef A.</t>
  </si>
  <si>
    <t>Other Languages of Europe</t>
  </si>
  <si>
    <t>European Languages, other</t>
  </si>
  <si>
    <t>FOR002000 FOREIGN LANGUAGE STUDY / Arabic</t>
  </si>
  <si>
    <t>978-1-4744-5499-5</t>
  </si>
  <si>
    <t>Constituent Power</t>
  </si>
  <si>
    <t>Law, Popular Rule and Politics</t>
  </si>
  <si>
    <t>Constituent Power E-BOOK</t>
  </si>
  <si>
    <t>Arvidsson, Matilda / Brännström, Leila / Minkkinen, Panu</t>
  </si>
  <si>
    <t>LAW018000 LAW / Constitutional</t>
  </si>
  <si>
    <t>Edinburgh University Press Complete eBook-Package 2020 | Pick and Choose Law eBook Package BU 2022 | Pick and Choose eBook Package Cornell Eng Law 2000-2021 | UCB LAW SCHOOL Pick &amp; Choose 2022 | Yale P&amp;C Law Package 2023</t>
  </si>
  <si>
    <t>978-1-4744-7254-8</t>
  </si>
  <si>
    <t>Thomas Hardy</t>
  </si>
  <si>
    <t>Moments of Vision</t>
  </si>
  <si>
    <t>Thomas Hardy E-BOOK</t>
  </si>
  <si>
    <t>Shelston, Alan</t>
  </si>
  <si>
    <t>978-1-4744-3801-8</t>
  </si>
  <si>
    <t>The History of the Present English Subjunctive</t>
  </si>
  <si>
    <t>A Corpus-based Study of Mood and Modality</t>
  </si>
  <si>
    <t>The History of the Present English Subjunctive E-BOOK</t>
  </si>
  <si>
    <t>Moessner, Lilo</t>
  </si>
  <si>
    <t>Philosophy of Language</t>
  </si>
  <si>
    <t>LAN009000 LANGUAGE ARTS &amp; DISCIPLINES / Linguistics / General</t>
  </si>
  <si>
    <t>978-1-4744-2052-5</t>
  </si>
  <si>
    <t>Modern Arabic Literature</t>
  </si>
  <si>
    <t>A Theoretical Framework</t>
  </si>
  <si>
    <t>Modern Arabic Literature E-BOOK</t>
  </si>
  <si>
    <t>Snir, Reuven</t>
  </si>
  <si>
    <t>LIT004220 LITERARY CRITICISM / Middle Eastern</t>
  </si>
  <si>
    <t>978-0-585-11001-1</t>
  </si>
  <si>
    <t>A Diverse Assembly</t>
  </si>
  <si>
    <t>The Debate on a Scottish Parliament</t>
  </si>
  <si>
    <t>A Diverse Assembly E-BOOK</t>
  </si>
  <si>
    <t>Paterson, Lindsay</t>
  </si>
  <si>
    <t>POL030000 POLITICAL SCIENCE / American Government / National</t>
  </si>
  <si>
    <t>978-0-7486-6955-4</t>
  </si>
  <si>
    <t>Constitutional Violence</t>
  </si>
  <si>
    <t>Legitimacy, Democracy and Human Rights</t>
  </si>
  <si>
    <t>Constitutional Violence E-BOOK</t>
  </si>
  <si>
    <t>Ninet, Antoni Abat i</t>
  </si>
  <si>
    <t>Edinburgh University Press Backlist eBook-Package 2013-2000 | Pick and Choose Law eBook Package BU 2022 | Pick and Choose eBook Package Cornell Eng Law 2000-2021 | UCB LAW SCHOOL Pick &amp; Choose 2022 | UNIVERSIDAD NACIONAL AUTÓNOMA DE MÉXICO Pick and Choose 2023 | WUSTL 2022 Part 2 Law P&amp;C eBook Package | Yale P&amp;C Law Package 2023</t>
  </si>
  <si>
    <t>978-0-7486-9940-7</t>
  </si>
  <si>
    <t>The Scottish Mental Health Tribunal</t>
  </si>
  <si>
    <t>Practice and Procedure</t>
  </si>
  <si>
    <t>The Scottish Mental Health Tribunal E-BOOK</t>
  </si>
  <si>
    <t>Carmichael, Ailsa / Auchie, Derek</t>
  </si>
  <si>
    <t>LAW098000 LAW / Practical Guides</t>
  </si>
  <si>
    <t>Edinburgh University Press Backlist eBook-Package 2013-2000 | Pick and Choose Law eBook Package BU 2022 | Pick and Choose Law eBook WUSTL 2022 Part 1 | Pick and Choose eBook Package Cornell Eng Law 2000-2021 | UCB LAW SCHOOL Pick &amp; Choose 2022 | Yale P&amp;C Law Package 2023</t>
  </si>
  <si>
    <t>978-1-4744-7176-3</t>
  </si>
  <si>
    <t>The Republic Besieged</t>
  </si>
  <si>
    <t>Civil War in Spain 1936-1939</t>
  </si>
  <si>
    <t>The Republic Besieged E-BOOK</t>
  </si>
  <si>
    <t>Preston, Paul / MacKenzie, Ann</t>
  </si>
  <si>
    <t>Southern Europe</t>
  </si>
  <si>
    <t>HIS045000 HISTORY / Europe / Spain &amp; Portugal</t>
  </si>
  <si>
    <t>978-1-4744-7292-0</t>
  </si>
  <si>
    <t>The Arabic Grammatical Tradition</t>
  </si>
  <si>
    <t>A Study inTaclìl</t>
  </si>
  <si>
    <t>The Arabic Grammatical Tradition E-BOOK</t>
  </si>
  <si>
    <t>Suleiman, Yasir</t>
  </si>
  <si>
    <t>978-0-7486-2695-3</t>
  </si>
  <si>
    <t>Reading Virginia Woolf</t>
  </si>
  <si>
    <t>Reading Virginia Woolf E-BOOK</t>
  </si>
  <si>
    <t>Briggs, Julia</t>
  </si>
  <si>
    <t>978-1-4744-7360-6</t>
  </si>
  <si>
    <t>The Erotic Thriller in Contemporary Cinema</t>
  </si>
  <si>
    <t>The Erotic Thriller in Contemporary Cinema E-BOOK</t>
  </si>
  <si>
    <t>Williams, Linda Ruth</t>
  </si>
  <si>
    <t>978-0-7486-3133-9</t>
  </si>
  <si>
    <t>Film Sequels</t>
  </si>
  <si>
    <t>Theory and Practice from Hollywood to Bollywood</t>
  </si>
  <si>
    <t>Film Sequels E-BOOK</t>
  </si>
  <si>
    <t>Jess-Cooke, Carolyn</t>
  </si>
  <si>
    <t>978-0-7486-4602-9</t>
  </si>
  <si>
    <t>Contemporary Ijtihad</t>
  </si>
  <si>
    <t>Limits and Controversies</t>
  </si>
  <si>
    <t>Contemporary Ijtihad E-BOOK</t>
  </si>
  <si>
    <t>Khan, L. Ali / Ramadan, Hisham</t>
  </si>
  <si>
    <t>LAW017000 LAW / Conflict of Laws</t>
  </si>
  <si>
    <t>Edinburgh University Press Backlist eBook-Package 2013-2000 | Pick and Choose Law eBook Package BU 2022 | Pick and Choose eBook Package Cornell Eng Law 2000-2021 | UCB LAW SCHOOL Pick &amp; Choose 2022 | Yale P&amp;C Law Package 2023</t>
  </si>
  <si>
    <t>978-0-7486-2638-0</t>
  </si>
  <si>
    <t>Music and Youth Culture</t>
  </si>
  <si>
    <t>Music and Youth Culture E-BOOK</t>
  </si>
  <si>
    <t>Laughey, Daniel</t>
  </si>
  <si>
    <t>Music</t>
  </si>
  <si>
    <t>Music, general</t>
  </si>
  <si>
    <t>MUS000000 MUSIC / General</t>
  </si>
  <si>
    <t>Edinburgh University Press Backlist eBook-Package 2013-2000 | Montana State Music Collection P&amp;C Titles</t>
  </si>
  <si>
    <t>978-1-4744-1952-9</t>
  </si>
  <si>
    <t>Hezbollah</t>
  </si>
  <si>
    <t>Socialisation and its Tragic Ironies</t>
  </si>
  <si>
    <t>Hezbollah E-BOOK</t>
  </si>
  <si>
    <t>Saouli, Adham</t>
  </si>
  <si>
    <t>Arab World</t>
  </si>
  <si>
    <t>HIS026000 HISTORY / Middle East / General</t>
  </si>
  <si>
    <t>978-1-4744-6774-2</t>
  </si>
  <si>
    <t>Salt and Olives</t>
  </si>
  <si>
    <t>Morality and Custom in Ancient Greece</t>
  </si>
  <si>
    <t>Salt and Olives E-BOOK</t>
  </si>
  <si>
    <t>Dillon, John M</t>
  </si>
  <si>
    <t>978-1-4744-7938-7</t>
  </si>
  <si>
    <t>Ottoman Historical Documents</t>
  </si>
  <si>
    <t>The Institutions of an Empire</t>
  </si>
  <si>
    <t>Ottoman Historical Documents E-BOOK</t>
  </si>
  <si>
    <t>Ménage, V.L. / Imber, Colin</t>
  </si>
  <si>
    <t>Historical Periods</t>
  </si>
  <si>
    <t>Medieval History</t>
  </si>
  <si>
    <t>HIS037010 HISTORY / Medieval</t>
  </si>
  <si>
    <t>EBOOK PACKAGE COMPLETE 2021 | EBOOK PACKAGE COMPLETE 2021 English | EBOOK PACKAGE History 2021 | EBOOK PACKAGE History 2021 English | Edinburgh University Press Complete eBook-Package 2021</t>
  </si>
  <si>
    <t>978-1-4744-8170-0</t>
  </si>
  <si>
    <t>Hans Kelsen's Political Realism</t>
  </si>
  <si>
    <t>Hans Kelsen's Political Realism E-BOOK</t>
  </si>
  <si>
    <t>Schuett, Robert</t>
  </si>
  <si>
    <t>EBOOK PACKAGE COMPLETE 2022 | EBOOK PACKAGE COMPLETE 2022 English | EBOOK PACKAGE Political Science 2022 | EBOOK PACKAGE Political Science 2022 English | Edinburgh University Press Complete eBook-Package 2021</t>
  </si>
  <si>
    <t>978-0-7486-6889-2</t>
  </si>
  <si>
    <t>The American Left</t>
  </si>
  <si>
    <t>Its Impact on Politics and Society since 1900</t>
  </si>
  <si>
    <t>The American Left E-BOOK</t>
  </si>
  <si>
    <t>Jeffreys-Jones, Rhodri</t>
  </si>
  <si>
    <t>978-0-7486-8290-4</t>
  </si>
  <si>
    <t>Scottish Gods</t>
  </si>
  <si>
    <t>Religion in Modern Scotland 1900-2012</t>
  </si>
  <si>
    <t>Scottish Gods E-BOOK</t>
  </si>
  <si>
    <t>Bruce, Steve</t>
  </si>
  <si>
    <t>HIS010020 HISTORY / Europe / Western</t>
  </si>
  <si>
    <t>978-1-4744-0058-9</t>
  </si>
  <si>
    <t>American Space/American Place</t>
  </si>
  <si>
    <t>Geographies of the Contemporary United States</t>
  </si>
  <si>
    <t>American Space/American Place E-BOOK</t>
  </si>
  <si>
    <t>Smith, Jonathan M. / Agnew, John</t>
  </si>
  <si>
    <t>Geosciences</t>
  </si>
  <si>
    <t>Geography</t>
  </si>
  <si>
    <t>SOC015000 SOCIAL SCIENCE / Human Geography</t>
  </si>
  <si>
    <t>EBA_BACKALL; EBA_CL_CHCOMSGSEN; EBA_EBACKALL; EBA_EBKALL; EBA_ECL_CHCOMSGSEN; EBA_EEBKALL; EBA_ESTMALL; EBA_PPALL; EBA_STMALL</t>
  </si>
  <si>
    <t>978-0-7486-2863-6</t>
  </si>
  <si>
    <t>American Ethnic History</t>
  </si>
  <si>
    <t>Themes and Perspectives</t>
  </si>
  <si>
    <t>American Ethnic History E-BOOK</t>
  </si>
  <si>
    <t>McDonald, Jason J.</t>
  </si>
  <si>
    <t>Social Structures, Social Interaction, Population, Social Anthropology</t>
  </si>
  <si>
    <t>SOC002010 SOCIAL SCIENCE / Anthropology / Cultural &amp; Social</t>
  </si>
  <si>
    <t>978-0-7486-4606-7</t>
  </si>
  <si>
    <t>Julia Kristeva and Feminist Thought</t>
  </si>
  <si>
    <t>Julia Kristeva and Feminist Thought E-BOOK</t>
  </si>
  <si>
    <t>Schippers, Birgit</t>
  </si>
  <si>
    <t>PHI000000 PHILOSOPHY / General</t>
  </si>
  <si>
    <t>978-1-4744-1564-4</t>
  </si>
  <si>
    <t>Virginia Woolf and Christian Culture</t>
  </si>
  <si>
    <t>Virginia Woolf and Christian Culture E-BOOK</t>
  </si>
  <si>
    <t>de Gay, Jane</t>
  </si>
  <si>
    <t>LIT003000 LITERARY CRITICISM / Feminist</t>
  </si>
  <si>
    <t>978-0-7486-6470-2</t>
  </si>
  <si>
    <t>Hong Kong Documentary Film</t>
  </si>
  <si>
    <t>Hong Kong Documentary Film E-BOOK</t>
  </si>
  <si>
    <t>Aitken, Ian / Ingham, Michael</t>
  </si>
  <si>
    <t>EBA_BACKALL; EBA_CL_LT; EBA_EBACKALL; EBA_EBKALL; EBA_ECL_LT; EBA_EEBKALL; EBA_ESSHALL; EBA_EXCL; EBA_PPALL; EBA_SSHALL</t>
  </si>
  <si>
    <t>978-0-7486-3412-5</t>
  </si>
  <si>
    <t>Modern Arab Journalism</t>
  </si>
  <si>
    <t>Problems and Prospects</t>
  </si>
  <si>
    <t>Modern Arab Journalism E-BOOK</t>
  </si>
  <si>
    <t>Mellor, Noha</t>
  </si>
  <si>
    <t>Library and Information Science, Book Studies</t>
  </si>
  <si>
    <t>Media and Press</t>
  </si>
  <si>
    <t>LAN008000 LANGUAGE ARTS &amp; DISCIPLINES / Journalism</t>
  </si>
  <si>
    <t>Edinburgh University Press Backlist eBook-Package 2013-2000 | Wayne State PC ebooks 2023</t>
  </si>
  <si>
    <t>EBA_BACKALL; EBA_CL_LB; EBA_EBACKALL; EBA_EBKALL; EBA_ECL_LB; EBA_EEBKALL; EBA_ESSHALL; EBA_PPALL; EBA_SSHALL</t>
  </si>
  <si>
    <t>978-1-4744-2332-8</t>
  </si>
  <si>
    <t>Queer Communism and the Ministry of Love</t>
  </si>
  <si>
    <t>Sexual Revolution in British Writing of the 1930s</t>
  </si>
  <si>
    <t>Queer Communism and the Ministry of Love E-BOOK</t>
  </si>
  <si>
    <t>Salton-Cox, Glyn</t>
  </si>
  <si>
    <t>LIT004160 LITERARY CRITICISM / LGBT</t>
  </si>
  <si>
    <t>978-0-585-44176-4</t>
  </si>
  <si>
    <t>In Search of Scotland</t>
  </si>
  <si>
    <t>In Search of Scotland E-BOOK</t>
  </si>
  <si>
    <t>Menzies, Gordon</t>
  </si>
  <si>
    <t>978-0-7486-4241-0</t>
  </si>
  <si>
    <t>The End of Modernity</t>
  </si>
  <si>
    <t>What the Financial and Environmental Crisis is Really Telling Us</t>
  </si>
  <si>
    <t>The End of Modernity E-BOOK</t>
  </si>
  <si>
    <t>Sim, Stuart</t>
  </si>
  <si>
    <t>SOC000000 SOCIAL SCIENCE / General</t>
  </si>
  <si>
    <t>978-1-4744-2071-6</t>
  </si>
  <si>
    <t>Poetry in the Mind</t>
  </si>
  <si>
    <t>The Cognition of Contemporary Poetic Style</t>
  </si>
  <si>
    <t>Poetry in the Mind E-BOOK</t>
  </si>
  <si>
    <t>Gavins, Joanna</t>
  </si>
  <si>
    <t>978-1-4744-8775-7</t>
  </si>
  <si>
    <t>African American Studies</t>
  </si>
  <si>
    <t>African American Studies E-BOOK</t>
  </si>
  <si>
    <t>Davidson, Jeanette R.</t>
  </si>
  <si>
    <t>Topics in History</t>
  </si>
  <si>
    <t>Migration History</t>
  </si>
  <si>
    <t xml:space="preserve">HIS056000 HISTORY / African American </t>
  </si>
  <si>
    <t>EBOOK PACKAGE COMPLETE 2022 | EBOOK PACKAGE COMPLETE 2022 English | EBOOK PACKAGE History 2022 | EBOOK PACKAGE History 2022 English | Edinburgh University Press Complete eBook-Package 2021</t>
  </si>
  <si>
    <t>978-1-4744-5739-2</t>
  </si>
  <si>
    <t>How to Write in Arabic</t>
  </si>
  <si>
    <t>Developing Your Academic Writing Style</t>
  </si>
  <si>
    <t>How to Write in Arabic E-BOOK</t>
  </si>
  <si>
    <t>Lahlali, El Mustapha</t>
  </si>
  <si>
    <t>EBOOK PACKAGE COMPLETE 2022 | EBOOK PACKAGE COMPLETE 2022 English | EBOOK PACKAGE Linguistics 2022 | EBOOK PACKAGE Linguistics 2022 English | Edinburgh University Press Complete eBook-Package 2021</t>
  </si>
  <si>
    <t>978-0-7486-3744-7</t>
  </si>
  <si>
    <t>An Introduction to Element Theory</t>
  </si>
  <si>
    <t>An Introduction to Element Theory E-BOOK</t>
  </si>
  <si>
    <t>Backley, Phillip</t>
  </si>
  <si>
    <t>978-0-7486-3755-3</t>
  </si>
  <si>
    <t>The Courts, the Church and the Constitution</t>
  </si>
  <si>
    <t>Aspects of the Disruption of 1843</t>
  </si>
  <si>
    <t>The Courts, the Church and the Constitution E-BOOK</t>
  </si>
  <si>
    <t>Rodger, Alan / Clark Foundation for Legal Edu, Jean</t>
  </si>
  <si>
    <t>General European History</t>
  </si>
  <si>
    <t>HIS010000 HISTORY / Europe / General</t>
  </si>
  <si>
    <t>978-0-7486-4649-4</t>
  </si>
  <si>
    <t>Virginia Woolf's Essayism</t>
  </si>
  <si>
    <t>Virginia Woolf's Essayism E-BOOK</t>
  </si>
  <si>
    <t>Saloman, Randi</t>
  </si>
  <si>
    <t>978-1-4744-1539-2</t>
  </si>
  <si>
    <t>Walking with James Hogg</t>
  </si>
  <si>
    <t>The Ettrick Shepherd’s Journeys through Scotland</t>
  </si>
  <si>
    <t>Walking with James Hogg E-BOOK</t>
  </si>
  <si>
    <t>Gilkison, Bruce</t>
  </si>
  <si>
    <t>BIO007000 BIOGRAPHY &amp; AUTOBIOGRAPHY / Literary</t>
  </si>
  <si>
    <t>978-1-4744-6958-6</t>
  </si>
  <si>
    <t>The Centennial History of the Independent Labour Party</t>
  </si>
  <si>
    <t>The Centennial History of the Independent Labour Part E-BOOK</t>
  </si>
  <si>
    <t>Jowitt, T / Laybourn, Keith / James, David</t>
  </si>
  <si>
    <t>978-0-7486-2631-1</t>
  </si>
  <si>
    <t>Media Talk</t>
  </si>
  <si>
    <t>Spoken Discourse on TV and Radio</t>
  </si>
  <si>
    <t>Media Talk E-BOOK</t>
  </si>
  <si>
    <t>Tolson, Andrew</t>
  </si>
  <si>
    <t>Other Genres and Media</t>
  </si>
  <si>
    <t>PER008000 PERFORMING ARTS / Radio / General</t>
  </si>
  <si>
    <t>978-1-4744-5949-5</t>
  </si>
  <si>
    <t>Scots and the Spanish Civil War</t>
  </si>
  <si>
    <t>Solidarity, Activism and Humanitarianism</t>
  </si>
  <si>
    <t>Scots and the Spanish Civil War E-BOOK</t>
  </si>
  <si>
    <t>Raeburn, Fraser</t>
  </si>
  <si>
    <t>978-1-4744-6377-5</t>
  </si>
  <si>
    <t>Elements of General Phonetics</t>
  </si>
  <si>
    <t>Elements of General Phonetics E-BOOK</t>
  </si>
  <si>
    <t>Abercrombie, David</t>
  </si>
  <si>
    <t>978-1-4744-6828-2</t>
  </si>
  <si>
    <t>Music and Copyright</t>
  </si>
  <si>
    <t>Music and Copyright E-BOOK</t>
  </si>
  <si>
    <t>Frith, Simon / Marshall, Lee</t>
  </si>
  <si>
    <t>978-1-4744-6783-4</t>
  </si>
  <si>
    <t>An Introduction to Global Citizenship</t>
  </si>
  <si>
    <t>An Introduction to Global Citizenship E-BOOK</t>
  </si>
  <si>
    <t>Dower, Nigel</t>
  </si>
  <si>
    <t>POL033000 POLITICAL SCIENCE / Globalization</t>
  </si>
  <si>
    <t>978-1-4744-7268-5</t>
  </si>
  <si>
    <t>Moral Geographies</t>
  </si>
  <si>
    <t>Ethics in a World of Difference</t>
  </si>
  <si>
    <t>Moral Geographies E-BOOK</t>
  </si>
  <si>
    <t>Smith, David M.</t>
  </si>
  <si>
    <t>SCI030000 SCIENCE / Earth Sciences / Geography</t>
  </si>
  <si>
    <t>978-1-4744-1779-2</t>
  </si>
  <si>
    <t>Jean Baudrillard</t>
  </si>
  <si>
    <t>The Disappearance of Culture: Uncollected Interviews</t>
  </si>
  <si>
    <t>Jean Baudrillard E-BOOK</t>
  </si>
  <si>
    <t>Clarke, David B. / Smith, Richard G.</t>
  </si>
  <si>
    <t>978-0-7486-8018-4</t>
  </si>
  <si>
    <t>Happy Endings in Hollywood Cinema</t>
  </si>
  <si>
    <t>Cliché, Convention and the Final Couple</t>
  </si>
  <si>
    <t>Happy Endings in Hollywood Cinema E-BOOK</t>
  </si>
  <si>
    <t>MacDowell, James</t>
  </si>
  <si>
    <t>978-0-7486-3848-2</t>
  </si>
  <si>
    <t>The 'Alids</t>
  </si>
  <si>
    <t>The First Family of Islam, 750-1200</t>
  </si>
  <si>
    <t>The 'Alids E-BOOK</t>
  </si>
  <si>
    <t>Bernheimer, Teresa</t>
  </si>
  <si>
    <t>Edinburgh University Press eBook Placeholder 2022</t>
  </si>
  <si>
    <t>EBA_EMB; EBA_EXCL</t>
  </si>
  <si>
    <t>Edinburgh University Press eBook Placeholder 2020</t>
  </si>
  <si>
    <t>978-0-7486-8564-6</t>
  </si>
  <si>
    <t>William Wallace</t>
  </si>
  <si>
    <t>A National Tale</t>
  </si>
  <si>
    <t>William Wallace E-BOOK</t>
  </si>
  <si>
    <t>Morton, Graeme</t>
  </si>
  <si>
    <t>978-1-4744-2936-8</t>
  </si>
  <si>
    <t>Practising with Deleuze</t>
  </si>
  <si>
    <t>Design, Dance, Art, Writing, Philosophy</t>
  </si>
  <si>
    <t>Practising with Deleuze E-BOOK</t>
  </si>
  <si>
    <t>Pont, Antonia / Roffe, Jon</t>
  </si>
  <si>
    <t>Art Theory</t>
  </si>
  <si>
    <t>ART009000 ART / Criticism</t>
  </si>
  <si>
    <t>Edinburgh University Press Backlist Placeholder 2013-2000</t>
  </si>
  <si>
    <t>978-0-7486-2651-9</t>
  </si>
  <si>
    <t>A Cinema of Contradiction</t>
  </si>
  <si>
    <t>Spanish Film in the 1960s</t>
  </si>
  <si>
    <t>A Cinema of Contradiction E-BOOK</t>
  </si>
  <si>
    <t>Faulkner, Sally</t>
  </si>
  <si>
    <t>978-0-7486-9530-0</t>
  </si>
  <si>
    <t>Introducing Criticism in the 21st Century</t>
  </si>
  <si>
    <t>Introducing Criticism in the 21st Century E-BOOK</t>
  </si>
  <si>
    <t>Wolfreys, Julian</t>
  </si>
  <si>
    <t>978-0-7486-8619-3</t>
  </si>
  <si>
    <t>Medicine and Empathy in Contemporary British Fiction</t>
  </si>
  <si>
    <t>An Intervention in Medical Humanities</t>
  </si>
  <si>
    <t>Medicine and Empathy in Contemporary British Fiction E-BOOK</t>
  </si>
  <si>
    <t>Whitehead, Anne</t>
  </si>
  <si>
    <t>978-0-7486-8028-3</t>
  </si>
  <si>
    <t>The Scots and the Union</t>
  </si>
  <si>
    <t>Then and Now</t>
  </si>
  <si>
    <t>The Scots and the Union E-BOOK</t>
  </si>
  <si>
    <t>Whatley, Christopher</t>
  </si>
  <si>
    <t>978-1-4744-6779-7</t>
  </si>
  <si>
    <t>Poststructuralist Geographies</t>
  </si>
  <si>
    <t>The Diabolical Art of Spatial Science</t>
  </si>
  <si>
    <t>Poststructuralist Geographies E-BOOK</t>
  </si>
  <si>
    <t>Doel, Marcus</t>
  </si>
  <si>
    <t>978-0-7486-4900-6</t>
  </si>
  <si>
    <t>The Place of Breath in Cinema</t>
  </si>
  <si>
    <t>The Place of Breath in Cinema E-BOOK</t>
  </si>
  <si>
    <t>Quinlivan, Davina</t>
  </si>
  <si>
    <t>978-0-7486-9495-2</t>
  </si>
  <si>
    <t>Shakespeare and Continental Philosophy</t>
  </si>
  <si>
    <t>Shakespeare and Continental Philosophy E-BOOK</t>
  </si>
  <si>
    <t>Bates, Jennifer / Wilson, Richard</t>
  </si>
  <si>
    <t>978-1-4744-7324-8</t>
  </si>
  <si>
    <t>Wittgenstein on Language and Thought</t>
  </si>
  <si>
    <t>The Philosophy of Content</t>
  </si>
  <si>
    <t>Wittgenstein on Language and Thought E-BOOK</t>
  </si>
  <si>
    <t>Thornton, Tim</t>
  </si>
  <si>
    <t>978-1-4744-7530-3</t>
  </si>
  <si>
    <t>Deliberative Theory and Deconstruction</t>
  </si>
  <si>
    <t>A Democratic Venture</t>
  </si>
  <si>
    <t>Deliberative Theory and Deconstruction E-BOOK</t>
  </si>
  <si>
    <t>Gormley, Steven</t>
  </si>
  <si>
    <t>978-0-7486-9770-0</t>
  </si>
  <si>
    <t>Between Foucault and Derrida</t>
  </si>
  <si>
    <t>Between Foucault and Derrida E-BOOK</t>
  </si>
  <si>
    <t>Penfield, Christopher</t>
  </si>
  <si>
    <t>PHI016000 PHILOSOPHY / History &amp; Surveys / Modern</t>
  </si>
  <si>
    <t>978-0-7486-8418-2</t>
  </si>
  <si>
    <t>Private Law and Human Rights</t>
  </si>
  <si>
    <t>Bringing Rights Home in Scotland and South Africa</t>
  </si>
  <si>
    <t>Private Law and Human Rights E-BOOK</t>
  </si>
  <si>
    <t>Reid, Elspeth / Visser, Daniel</t>
  </si>
  <si>
    <t>German Civil Code</t>
  </si>
  <si>
    <t>German Civil Code, other</t>
  </si>
  <si>
    <t>LAW011000 LAW / Civil Law</t>
  </si>
  <si>
    <t>978-0-7486-3427-9</t>
  </si>
  <si>
    <t>The Blasphemies of Thomas Aikenhead</t>
  </si>
  <si>
    <t>Boundaries of Belief on the Eve of the Enlightenment</t>
  </si>
  <si>
    <t>The Blasphemies of Thomas Aikenhead E-BOOK</t>
  </si>
  <si>
    <t>Graham, Michael F.</t>
  </si>
  <si>
    <t>978-1-4744-0179-1</t>
  </si>
  <si>
    <t>Who is Allah?</t>
  </si>
  <si>
    <t>Who is Allah? E-BOOK</t>
  </si>
  <si>
    <t>Lawrence, Bruce B.</t>
  </si>
  <si>
    <t>REL037000 RELIGION / Islam / General</t>
  </si>
  <si>
    <t>EBA_BACKALL; EBA_CL_PLTLJSIS; EBA_EBACKALL; EBA_EBKALL; EBA_ECL_PLTLJSIS; EBA_EEBKALL; EBA_ESSHALL; EBA_EXCL; EBA_PPALL; EBA_SSHALL</t>
  </si>
  <si>
    <t>978-1-4744-0418-1</t>
  </si>
  <si>
    <t>Diagrammatic Immanence</t>
  </si>
  <si>
    <t>Category Theory and Philosophy</t>
  </si>
  <si>
    <t>Diagrammatic Immanence E-BOOK</t>
  </si>
  <si>
    <t>Gangle, Rocco</t>
  </si>
  <si>
    <t>PHI011000 PHILOSOPHY / Logic</t>
  </si>
  <si>
    <t>978-0-7486-3674-7</t>
  </si>
  <si>
    <t>Modern Literature and the Tragic</t>
  </si>
  <si>
    <t>Modern Literature and the Tragic E-BOOK</t>
  </si>
  <si>
    <t>Newton, K. M.</t>
  </si>
  <si>
    <t>978-1-4744-0415-0</t>
  </si>
  <si>
    <t>Whitehead's Metaphysics of Power</t>
  </si>
  <si>
    <t>Reconstructing Modern Philosophy</t>
  </si>
  <si>
    <t>Whitehead's Metaphysics of Power E-BOOK</t>
  </si>
  <si>
    <t>Basile, Pierfrancesco</t>
  </si>
  <si>
    <t>Metaphysics, Ontology</t>
  </si>
  <si>
    <t>PHI013000 PHILOSOPHY / Metaphysics</t>
  </si>
  <si>
    <t>978-1-4744-6594-6</t>
  </si>
  <si>
    <t>Liz Lochhead's Voices</t>
  </si>
  <si>
    <t>Liz Lochhead's Voices E-BOOK</t>
  </si>
  <si>
    <t>Crawford, Robert</t>
  </si>
  <si>
    <t>Topics in Literary Studies</t>
  </si>
  <si>
    <t xml:space="preserve">Poetics </t>
  </si>
  <si>
    <t>LIT014000 LITERARY CRITICISM / Poetry</t>
  </si>
  <si>
    <t>978-1-4744-4040-0</t>
  </si>
  <si>
    <t>Reading Experimental Writing</t>
  </si>
  <si>
    <t>Reading Experimental Writing E-BOOK</t>
  </si>
  <si>
    <t>Colby, Georgina</t>
  </si>
  <si>
    <t>978-1-4744-4189-6</t>
  </si>
  <si>
    <t>Cross-Channel Modernisms</t>
  </si>
  <si>
    <t>Cross-Channel Modernisms E-BOOK</t>
  </si>
  <si>
    <t>Goldman, Jane A. / Davison, Claire / Ryan, Derek</t>
  </si>
  <si>
    <t>978-1-4744-1496-8</t>
  </si>
  <si>
    <t>The Audience Effect</t>
  </si>
  <si>
    <t>On the Collective Cinema Experience</t>
  </si>
  <si>
    <t>The Audience Effect E-BOOK</t>
  </si>
  <si>
    <t>Hanich, Julian</t>
  </si>
  <si>
    <t>Colorado State University 2023 EBA Selections | Colorado State University EBA Selections 2023 | Edinburgh University Press Complete eBook-Package 2017</t>
  </si>
  <si>
    <t>978-0-7486-3440-8</t>
  </si>
  <si>
    <t>Deleuze's Hume</t>
  </si>
  <si>
    <t>Philosophy, Culture and the Scottish Enlightenment</t>
  </si>
  <si>
    <t>Deleuze's Hume E-BOOK</t>
  </si>
  <si>
    <t>Bell, Jeffrey</t>
  </si>
  <si>
    <t>Epistemology</t>
  </si>
  <si>
    <t>PHI004000 PHILOSOPHY / Epistemology</t>
  </si>
  <si>
    <t>978-1-4744-5233-5</t>
  </si>
  <si>
    <t>Scottish Coal Miners in the Twentieth Century</t>
  </si>
  <si>
    <t>Scottish Coal Miners in the Twentieth Century E-BOOK</t>
  </si>
  <si>
    <t>Phillips, Jim</t>
  </si>
  <si>
    <t>978-0-7486-3232-9</t>
  </si>
  <si>
    <t>Critique of Security</t>
  </si>
  <si>
    <t>Critique of Security E-BOOK</t>
  </si>
  <si>
    <t>Neocleous, Mark</t>
  </si>
  <si>
    <t>POL004000 POLITICAL SCIENCE / Civil Rights</t>
  </si>
  <si>
    <t>978-0-7486-7347-6</t>
  </si>
  <si>
    <t>Iona</t>
  </si>
  <si>
    <t>The Living Memory of a Crofting Community</t>
  </si>
  <si>
    <t>Iona E-BOOK</t>
  </si>
  <si>
    <t>MacArthur, Mairi</t>
  </si>
  <si>
    <t>978-1-4744-1335-0</t>
  </si>
  <si>
    <t>The Perfectionist Turn</t>
  </si>
  <si>
    <t>From Metanorms to Metaethics</t>
  </si>
  <si>
    <t>The Perfectionist Turn E-BOOK</t>
  </si>
  <si>
    <t>Den Uyl, Douglas / Rasmussen, Douglas</t>
  </si>
  <si>
    <t>Ethics</t>
  </si>
  <si>
    <t>PHI005000 PHILOSOPHY / Ethics &amp; Moral Philosophy</t>
  </si>
  <si>
    <t>978-0-7486-9485-3</t>
  </si>
  <si>
    <t>Straight Girls and Queer Guys</t>
  </si>
  <si>
    <t>The Hetero Media Gaze in Film and Television</t>
  </si>
  <si>
    <t>Straight Girls and Queer Guys E-BOOK</t>
  </si>
  <si>
    <t>Pullen, Christopher</t>
  </si>
  <si>
    <t>978-0-7486-7581-4</t>
  </si>
  <si>
    <t>State Ideology and Language in Tanzania</t>
  </si>
  <si>
    <t>Second and revised edition</t>
  </si>
  <si>
    <t>State Ideology and Language in Tanzania E-BOOK</t>
  </si>
  <si>
    <t>Blommaert, Jan</t>
  </si>
  <si>
    <t>978-0-585-44169-6</t>
  </si>
  <si>
    <t>Peoples, Cultures and Nations in Political Philosophy</t>
  </si>
  <si>
    <t>Peoples, Cultures and Nations in Political Philosophy E-BOOK</t>
  </si>
  <si>
    <t>Gilbert, Paul</t>
  </si>
  <si>
    <t>978-1-4744-3087-6</t>
  </si>
  <si>
    <t>The Birth of the American Horror Film</t>
  </si>
  <si>
    <t>The Birth of the American Horror Film E-BOOK</t>
  </si>
  <si>
    <t>Rhodes, Gary D.</t>
  </si>
  <si>
    <t>978-1-4744-7161-9</t>
  </si>
  <si>
    <t>Speaking With the Dead</t>
  </si>
  <si>
    <t>Explorations in Literature and History</t>
  </si>
  <si>
    <t>Speaking With the Dead E-BOOK</t>
  </si>
  <si>
    <t>Pieters, Jürgen</t>
  </si>
  <si>
    <t>Communication Science</t>
  </si>
  <si>
    <t>Public and Political Communication</t>
  </si>
  <si>
    <t>LIT007000 LITERARY CRITICISM / Books &amp; Reading</t>
  </si>
  <si>
    <t>978-1-4744-2035-8</t>
  </si>
  <si>
    <t>Early Cinema in Scotland</t>
  </si>
  <si>
    <t>Early Cinema in Scotland E-BOOK</t>
  </si>
  <si>
    <t>Griffiths, Trevor / A. Vélez-Serna, María / Caughie, John</t>
  </si>
  <si>
    <t>978-1-4744-6812-1</t>
  </si>
  <si>
    <t>Success in Law Studies</t>
  </si>
  <si>
    <t>Success in Law Studies E-BOOK</t>
  </si>
  <si>
    <t>Ezeani, Elimma</t>
  </si>
  <si>
    <t>LAW059000 LAW / Legal Education</t>
  </si>
  <si>
    <t>978-1-4744-7184-8</t>
  </si>
  <si>
    <t>Scotland in Revolution, 1685–1690</t>
  </si>
  <si>
    <t>Scotland in Revolution, 1685–1690 E-BOOK</t>
  </si>
  <si>
    <t>Raffe, Alasdair</t>
  </si>
  <si>
    <t>978-0-7486-8102-0</t>
  </si>
  <si>
    <t>Reading Literature Historically</t>
  </si>
  <si>
    <t>Drama and Poetry from Chaucer to the Reformation</t>
  </si>
  <si>
    <t>Reading Literature Historically E-BOOK</t>
  </si>
  <si>
    <t>Walker, Greg</t>
  </si>
  <si>
    <t>978-1-4744-0013-8</t>
  </si>
  <si>
    <t>A History of Drinking</t>
  </si>
  <si>
    <t>The Scottish Pub since 1700</t>
  </si>
  <si>
    <t>A History of Drinking E-BOOK</t>
  </si>
  <si>
    <t>Cooke, Anthony</t>
  </si>
  <si>
    <t>978-1-4744-6620-2</t>
  </si>
  <si>
    <t>Iran and Saudi Arabia</t>
  </si>
  <si>
    <t>Taming a Chaotic Conflict</t>
  </si>
  <si>
    <t>Iran and Saudi Arabia E-BOOK</t>
  </si>
  <si>
    <t>Fraihat, Ibrahim</t>
  </si>
  <si>
    <t>Asia-Pacific</t>
  </si>
  <si>
    <t>HIS026020 HISTORY / Middle East / Iran</t>
  </si>
  <si>
    <t>978-1-4744-8303-2</t>
  </si>
  <si>
    <t>Ecologies of Architecture</t>
  </si>
  <si>
    <t>Essays on Territorialisation</t>
  </si>
  <si>
    <t>Ecologies of Architecture E-BOOK</t>
  </si>
  <si>
    <t>Effective Open Access 24.04.2024</t>
  </si>
  <si>
    <t>Radman, Andrej</t>
  </si>
  <si>
    <t>Architecture and Design</t>
  </si>
  <si>
    <t xml:space="preserve">Architecture </t>
  </si>
  <si>
    <t>Studies</t>
  </si>
  <si>
    <t>ARC001000 ARCHITECTURE / Criticism</t>
  </si>
  <si>
    <t>EBOOK PACKAGE Architecture and Design 2022 | EBOOK PACKAGE Arts, Architecture and Design 2022 English | EBOOK PACKAGE COMPLETE 2022 | EBOOK PACKAGE COMPLETE 2022 English | Edinburgh University Press Complete eBook-Package 2021 | Universidad Santiago Chile P&amp;C 2024</t>
  </si>
  <si>
    <t>978-1-4744-2562-9</t>
  </si>
  <si>
    <t>Popular Politics and Political Culture</t>
  </si>
  <si>
    <t>Urban Scotland, 1918-1939</t>
  </si>
  <si>
    <t>Popular Politics and Political Culture E-BOOK</t>
  </si>
  <si>
    <t>Petrie, Malcolm</t>
  </si>
  <si>
    <t>978-0-7486-4220-5</t>
  </si>
  <si>
    <t>Memory and the Moving Image</t>
  </si>
  <si>
    <t>French Film in the Digital Era</t>
  </si>
  <si>
    <t>Memory and the Moving Image E-BOOK</t>
  </si>
  <si>
    <t>McNeill, Isabelle</t>
  </si>
  <si>
    <t>978-1-4744-0390-0</t>
  </si>
  <si>
    <t>Nine Centuries of Man</t>
  </si>
  <si>
    <t>Manhood and Masculinities in Scottish History</t>
  </si>
  <si>
    <t>Nine Centuries of Man E-BOOK</t>
  </si>
  <si>
    <t>Abrams, Lynn / Ewan, Elizabeth L.</t>
  </si>
  <si>
    <t>978-1-4744-7113-8</t>
  </si>
  <si>
    <t>The 'Magnificent Castle' of Culzean and the Kennedy Family</t>
  </si>
  <si>
    <t>The 'Magnificent Castle' of Culzean and the Kennedy F E-BOOK</t>
  </si>
  <si>
    <t>Moss, Michael</t>
  </si>
  <si>
    <t>978-1-4744-1576-7</t>
  </si>
  <si>
    <t>May Sinclair</t>
  </si>
  <si>
    <t>Re-Thinking Bodies and Minds</t>
  </si>
  <si>
    <t>May Sinclair E-BOOK</t>
  </si>
  <si>
    <t>Bowler, Rebecca / Drewery, Claire</t>
  </si>
  <si>
    <t>978-0-7486-5455-0</t>
  </si>
  <si>
    <t>Masculinity and Italian Cinema</t>
  </si>
  <si>
    <t>Sexual Politics, Social Conflict and Male Crisis in the 1970s</t>
  </si>
  <si>
    <t>Masculinity and Italian Cinema E-BOOK</t>
  </si>
  <si>
    <t>Rigoletto, Sergio</t>
  </si>
  <si>
    <t>978-0-585-07025-4</t>
  </si>
  <si>
    <t>An Age of Transition</t>
  </si>
  <si>
    <t>British Politics 1880-1914: Parliamentary History Vol.16.1</t>
  </si>
  <si>
    <t>An Age of Transition E-BOOK</t>
  </si>
  <si>
    <t>Green, E H H</t>
  </si>
  <si>
    <t>978-1-4744-4136-0</t>
  </si>
  <si>
    <t>Cinematic Realism</t>
  </si>
  <si>
    <t>Lukács, Kracauer and Theories of the Filmic Real</t>
  </si>
  <si>
    <t>Cinematic Realism E-BOOK</t>
  </si>
  <si>
    <t>Aitken, Ian</t>
  </si>
  <si>
    <t>978-0-7486-6562-4</t>
  </si>
  <si>
    <t>The Political Archive of Paul de Man</t>
  </si>
  <si>
    <t>Property, Sovereignty and the Theotropic</t>
  </si>
  <si>
    <t>The Political Archive of Paul de Man E-BOOK</t>
  </si>
  <si>
    <t>McQuillan, Martin</t>
  </si>
  <si>
    <t>LIT004130 LITERARY CRITICISM / European / General</t>
  </si>
  <si>
    <t>978-1-4744-4382-1</t>
  </si>
  <si>
    <t>Hydrofictions</t>
  </si>
  <si>
    <t>Water, Power and Politics in Israeli and Palestinian Literature</t>
  </si>
  <si>
    <t>Hydrofictions E-BOOK</t>
  </si>
  <si>
    <t>Boast, Hannah</t>
  </si>
  <si>
    <t>Israel and Palestine</t>
  </si>
  <si>
    <t>HIS019000 HISTORY / Middle East / Israel &amp; Palestine</t>
  </si>
  <si>
    <t>978-1-4744-5191-8</t>
  </si>
  <si>
    <t>Slum Imaginaries and Spatial Justice in Philippine Cinema</t>
  </si>
  <si>
    <t>Slum Imaginaries and Spatial Justice in Philippine Ci E-BOOK</t>
  </si>
  <si>
    <t>Macapagal, Katrina</t>
  </si>
  <si>
    <t>EBOOK PACKAGE Arts 2021 | EBOOK PACKAGE Arts, Architecture and Design 2021 English | EBOOK PACKAGE COMPLETE 2021 | EBOOK PACKAGE COMPLETE 2021 English | Edinburgh University Press Complete eBook-Package 2021</t>
  </si>
  <si>
    <t>978-1-4744-7858-8</t>
  </si>
  <si>
    <t>The Ordering of Time</t>
  </si>
  <si>
    <t>Meditations on the History of Philosophy</t>
  </si>
  <si>
    <t>The Ordering of Time E-BOOK</t>
  </si>
  <si>
    <t>Lucas, George</t>
  </si>
  <si>
    <t>978-1-4744-3992-3</t>
  </si>
  <si>
    <t>Last Lectures</t>
  </si>
  <si>
    <t>Collège de France 1968 and 1969</t>
  </si>
  <si>
    <t>Last Lectures E-BOOK</t>
  </si>
  <si>
    <t>Joseph, John E.</t>
  </si>
  <si>
    <t>978-1-4744-2666-4</t>
  </si>
  <si>
    <t>The Foreign Policy of Islamist Political Parties</t>
  </si>
  <si>
    <t>Ideology in Practice</t>
  </si>
  <si>
    <t>The Foreign Policy of Islamist Political Parties E-BOOK</t>
  </si>
  <si>
    <t>Effective Open Access 21.09.2023</t>
  </si>
  <si>
    <t>Adraoui, Mohamed-Ali</t>
  </si>
  <si>
    <t>978-0-7486-4576-3</t>
  </si>
  <si>
    <t>The Ethics of Armed Conflict</t>
  </si>
  <si>
    <t>A Cosmopolitan Just War Theory</t>
  </si>
  <si>
    <t>The Ethics of Armed Conflict E-BOOK</t>
  </si>
  <si>
    <t>Effective Open Access 31.03.2022</t>
  </si>
  <si>
    <t>Lango, John W.</t>
  </si>
  <si>
    <t>Foreign Policy</t>
  </si>
  <si>
    <t>POL011000 POLITICAL SCIENCE / International Relations / General</t>
  </si>
  <si>
    <t>978-0-7486-9178-4</t>
  </si>
  <si>
    <t>Lexical Variation and Attrition in the Scottish Fishing Communities</t>
  </si>
  <si>
    <t>Lexical Variation and Attrition in the Scottish Fishi E-BOOK</t>
  </si>
  <si>
    <t>Bonnici, Lisa / Millar, Robert McColl / Barras, William</t>
  </si>
  <si>
    <t>LAN000000 LANGUAGE ARTS &amp; DISCIPLINES / General</t>
  </si>
  <si>
    <t>978-0-7486-9282-8</t>
  </si>
  <si>
    <t>The Rise of Democracy</t>
  </si>
  <si>
    <t>Revolution, War and Transformations in International Politics since 1776</t>
  </si>
  <si>
    <t>The Rise of Democracy E-BOOK</t>
  </si>
  <si>
    <t>Hobson, Christopher</t>
  </si>
  <si>
    <t>978-1-4744-3067-8</t>
  </si>
  <si>
    <t>The Gulf in World History</t>
  </si>
  <si>
    <t>Arabia at the Global Crossroads</t>
  </si>
  <si>
    <t>The Gulf in World History E-BOOK</t>
  </si>
  <si>
    <t>Fromherz, Allen James</t>
  </si>
  <si>
    <t>978-0-7486-4266-3</t>
  </si>
  <si>
    <t>Selected Poems by Robert Burns in Chinese Translation</t>
  </si>
  <si>
    <t>Selected Poems by Robert Burns in Chinese Translation E-BOOK</t>
  </si>
  <si>
    <t>Gentz, Natascha</t>
  </si>
  <si>
    <t>LCO009000 LITERARY COLLECTIONS / English, Irish, Scottish, Welsh</t>
  </si>
  <si>
    <t>978-0-7486-9442-6</t>
  </si>
  <si>
    <t>Katherine Mansfield and Literary Influence</t>
  </si>
  <si>
    <t>Katherine Mansfield and Literary Influence E-BOOK</t>
  </si>
  <si>
    <t>Ailwood, Sarah / Harvey, Melinda</t>
  </si>
  <si>
    <t>LIT004070 LITERARY CRITICISM / Australian &amp; Oceanian</t>
  </si>
  <si>
    <t>978-1-4744-1477-7</t>
  </si>
  <si>
    <t>Scottish Criminal Evidence Law</t>
  </si>
  <si>
    <t>Current Developments and Future Trends</t>
  </si>
  <si>
    <t>Scottish Criminal Evidence Law E-BOOK</t>
  </si>
  <si>
    <t>Duff, Peter / Ferguson, Pamela R.</t>
  </si>
  <si>
    <t>Criminal Law</t>
  </si>
  <si>
    <t>Criminal Law, other</t>
  </si>
  <si>
    <t>LAW026000 LAW / Criminal Law / General</t>
  </si>
  <si>
    <t>Edinburgh University Press Complete eBook-Package 2017 | Pick and Choose Law eBook Package BU 2022 | Pick and Choose Law eBook WUSTL 2022 Part 1 | Pick and Choose eBook Package Cornell Eng Law 2000-2021 | UCB LAW SCHOOL Pick &amp; Choose 2022 | Yale P&amp;C Law Package 2023</t>
  </si>
  <si>
    <t>978-0-7486-3570-2</t>
  </si>
  <si>
    <t>People, Places, Things – Essays by Elizabeth Bowen</t>
  </si>
  <si>
    <t>People, Places, Things – Essays by Elizabeth Bowen E-BOOK</t>
  </si>
  <si>
    <t>Bowen, Elizabeth / Hepburn, Allan</t>
  </si>
  <si>
    <t>LCO010000 LITERARY COLLECTIONS / Essays</t>
  </si>
  <si>
    <t>978-0-7486-9408-2</t>
  </si>
  <si>
    <t>Contemporary American Trauma Narratives</t>
  </si>
  <si>
    <t>Contemporary American Trauma Narratives E-BOOK</t>
  </si>
  <si>
    <t>Gibbs, Alan</t>
  </si>
  <si>
    <t>978-0-585-44178-8</t>
  </si>
  <si>
    <t>New Scotland, New Politics?</t>
  </si>
  <si>
    <t>New Scotland, New Politics? E-BOOK</t>
  </si>
  <si>
    <t>Hinds, Kerstin</t>
  </si>
  <si>
    <t>978-1-4744-5195-6</t>
  </si>
  <si>
    <t>Working Title Films</t>
  </si>
  <si>
    <t>A Creative and Commercial History</t>
  </si>
  <si>
    <t>Working Title Films E-BOOK</t>
  </si>
  <si>
    <t>Townsend, Nathan</t>
  </si>
  <si>
    <t>978-0-7486-5487-1</t>
  </si>
  <si>
    <t>Xenophobia and Islamophobia in Europe</t>
  </si>
  <si>
    <t>Xenophobia and Islamophobia in Europe E-BOOK</t>
  </si>
  <si>
    <t>Taras, Raymond</t>
  </si>
  <si>
    <t>978-1-4744-5135-2</t>
  </si>
  <si>
    <t>Critical Affect</t>
  </si>
  <si>
    <t>The Politics of Method</t>
  </si>
  <si>
    <t>Critical Affect E-BOOK</t>
  </si>
  <si>
    <t>Barnwell, Ashley</t>
  </si>
  <si>
    <t>978-0-7486-9996-4</t>
  </si>
  <si>
    <t>The Voice of the People</t>
  </si>
  <si>
    <t>Hamish Henderson and Scottish Cultural Politics</t>
  </si>
  <si>
    <t>The Voice of the People E-BOOK</t>
  </si>
  <si>
    <t>Gibson, Corey</t>
  </si>
  <si>
    <t>978-0-7486-9935-3</t>
  </si>
  <si>
    <t>Freedom of Information in Scotland in Practice</t>
  </si>
  <si>
    <t>Freedom of Information in Scotland in Practice E-BOOK</t>
  </si>
  <si>
    <t>Dunion, Kevin</t>
  </si>
  <si>
    <t>Edinburgh University Press Backlist eBook-Package 2013-2000 | Pick and Choose Law eBook Package BU 2022 | Pick and Choose eBook Package Cornell Eng Law 2000-2021 | UCB LAW SCHOOL Pick &amp; Choose 2022 | WUSTL 2022 Part 2 Law P&amp;C eBook Package | Yale P&amp;C Law Package 2023</t>
  </si>
  <si>
    <t>978-1-4744-4298-5</t>
  </si>
  <si>
    <t>Collective Action and Political Transformations</t>
  </si>
  <si>
    <t>The Entangled Experiences in Brazil, South Africa and Europe</t>
  </si>
  <si>
    <t>Collective Action and Political Transformations E-BOOK</t>
  </si>
  <si>
    <t>Mota, Aurea / Wagner, Peter</t>
  </si>
  <si>
    <t>978-1-4744-7049-0</t>
  </si>
  <si>
    <t>Contaminations</t>
  </si>
  <si>
    <t>Beyond Dialectics in Modern Literature, Science and Film</t>
  </si>
  <si>
    <t>Contaminations E-BOOK</t>
  </si>
  <si>
    <t>Mack, Michael</t>
  </si>
  <si>
    <t>978-0-7486-5366-9</t>
  </si>
  <si>
    <t>The Edinburgh Companion to the History of Democracy</t>
  </si>
  <si>
    <t>The Edinburgh Companion to the History of Democracy E-BOOK</t>
  </si>
  <si>
    <t>Isakhan, Benjamin / Stockwell, Stephen</t>
  </si>
  <si>
    <t>Miscellaneous</t>
  </si>
  <si>
    <t>HIS030000 HISTORY / Reference</t>
  </si>
  <si>
    <t>978-0-585-06982-1</t>
  </si>
  <si>
    <t>Wittgenstein's Philosophical Investigations</t>
  </si>
  <si>
    <t>Wittgenstein's Philosophical Investigations E-BOOK</t>
  </si>
  <si>
    <t>Wilson, Brendan</t>
  </si>
  <si>
    <t>978-1-4744-5426-1</t>
  </si>
  <si>
    <t>The Arab Lefts</t>
  </si>
  <si>
    <t>Histories and Legacies, 1950s–1970s</t>
  </si>
  <si>
    <t>The Arab Lefts E-BOOK</t>
  </si>
  <si>
    <t>Guirguis, Laure</t>
  </si>
  <si>
    <t>POL005000 POLITICAL SCIENCE / Political Ideologies / Communism, Post-Communism &amp; Socialism</t>
  </si>
  <si>
    <t>978-0-7486-2900-8</t>
  </si>
  <si>
    <t>Julius Caesar</t>
  </si>
  <si>
    <t>The People's Dictator</t>
  </si>
  <si>
    <t>Julius Caesar E-BOOK</t>
  </si>
  <si>
    <t>Canfora, Luciano</t>
  </si>
  <si>
    <t>HIS002020 HISTORY / Ancient / Rome</t>
  </si>
  <si>
    <t>978-1-4744-2926-9</t>
  </si>
  <si>
    <t>World Cinema and the Essay Film</t>
  </si>
  <si>
    <t>Transnational Perspectives on a Global Practice</t>
  </si>
  <si>
    <t>World Cinema and the Essay Film E-BOOK</t>
  </si>
  <si>
    <t>Hollweg, Brenda / Krstić, Igor</t>
  </si>
  <si>
    <t>978-1-4744-8270-7</t>
  </si>
  <si>
    <t>Evictions in Scotland</t>
  </si>
  <si>
    <t>Evictions in Scotland E-BOOK</t>
  </si>
  <si>
    <t>Stalker, Adrian</t>
  </si>
  <si>
    <t>LAW021000 LAW / Contracts</t>
  </si>
  <si>
    <t>EBOOK PACKAGE COMPLETE 2022 | EBOOK PACKAGE COMPLETE 2022 English | EBOOK PACKAGE Law 2022 | EBOOK PACKAGE Law 2022 English | Edinburgh University Press Complete eBook-Package 2021 | Pick and Choose Law eBook Package BU 2022 | Pick and Choose eBook Package Cornell Eng Law 2000-2021 | UCB LAW SCHOOL Pick &amp; Choose 2022 | WUSTL 2022 Part 2 Law P&amp;C eBook Package | Yale P&amp;C Law Package 2023</t>
  </si>
  <si>
    <t>978-0-7486-3113-1</t>
  </si>
  <si>
    <t>Islam and Literalism</t>
  </si>
  <si>
    <t>Literal Meaning and Interpretation in Islamic Legal Theory</t>
  </si>
  <si>
    <t>Islam and Literalism E-BOOK</t>
  </si>
  <si>
    <t>Gleave, Robert</t>
  </si>
  <si>
    <t>978-1-4744-7013-1</t>
  </si>
  <si>
    <t>Film Genre</t>
  </si>
  <si>
    <t>Hollywood and Beyond</t>
  </si>
  <si>
    <t>Film Genre E-BOOK</t>
  </si>
  <si>
    <t>Langford, Barry</t>
  </si>
  <si>
    <t>978-1-4744-3629-8</t>
  </si>
  <si>
    <t>The New Biographical Dictionary of Scottish Women</t>
  </si>
  <si>
    <t>The New Biographical Dictionary of Scottish Women E-BOOK</t>
  </si>
  <si>
    <t>Reynolds, Siân</t>
  </si>
  <si>
    <t>Biography and Autobiography</t>
  </si>
  <si>
    <t>BIO022000 BIOGRAPHY &amp; AUTOBIOGRAPHY / Women</t>
  </si>
  <si>
    <t>978-1-4744-1279-7</t>
  </si>
  <si>
    <t>Persian Historic Urban Landscapes</t>
  </si>
  <si>
    <t>Interpreting and Managing Maibud over 6000 Years</t>
  </si>
  <si>
    <t>Persian Historic Urban Landscapes E-BOOK</t>
  </si>
  <si>
    <t xml:space="preserve">Esfanjary, Eisa </t>
  </si>
  <si>
    <t>Urbanism</t>
  </si>
  <si>
    <t>ARC010000 ARCHITECTURE / Urban &amp; Land Use Planning</t>
  </si>
  <si>
    <t>EBA_BACKALL; EBA_CL_AD; EBA_EBACKALL; EBA_EBKALL; EBA_ECL_AD; EBA_EEBKALL; EBA_ESSHALL; EBA_ESTMALL; EBA_PPALL; EBA_SSHALL; EBA_STMALL</t>
  </si>
  <si>
    <t>978-1-4744-1441-8</t>
  </si>
  <si>
    <t>Beckett Matters</t>
  </si>
  <si>
    <t>Essays on Beckett's Late Modernism</t>
  </si>
  <si>
    <t>Beckett Matters E-BOOK</t>
  </si>
  <si>
    <t>Gontarski, S.E.</t>
  </si>
  <si>
    <t>978-0-7486-3148-3</t>
  </si>
  <si>
    <t>Towards a Deliberative and Associational Democracy</t>
  </si>
  <si>
    <t>Towards a Deliberative and Associational Democracy E-BOOK</t>
  </si>
  <si>
    <t>Elstub, Stephen</t>
  </si>
  <si>
    <t>978-0-7486-2819-3</t>
  </si>
  <si>
    <t>John Stuart Blackie</t>
  </si>
  <si>
    <t>Scottish Scholar and Patriot</t>
  </si>
  <si>
    <t>John Stuart Blackie E-BOOK</t>
  </si>
  <si>
    <t>Wallace, Stuart</t>
  </si>
  <si>
    <t>978-1-4744-7795-6</t>
  </si>
  <si>
    <t>Moroccan Cinema Uncut</t>
  </si>
  <si>
    <t>Decentred Voices, Transnational Perspectives</t>
  </si>
  <si>
    <t>Moroccan Cinema Uncut E-BOOK</t>
  </si>
  <si>
    <t>Bahmad, Jamal / Higbee, Will / Martin, Flo</t>
  </si>
  <si>
    <t>978-0-7486-4578-7</t>
  </si>
  <si>
    <t>The Community of the College of Justice</t>
  </si>
  <si>
    <t>Edinburgh and the Court of Session, 1687-1808</t>
  </si>
  <si>
    <t>The Community of the College of Justice E-BOOK</t>
  </si>
  <si>
    <t>Finlay, John</t>
  </si>
  <si>
    <t>LAW025000 LAW / Courts</t>
  </si>
  <si>
    <t>978-1-4744-1461-6</t>
  </si>
  <si>
    <t>Sentencing Orlando</t>
  </si>
  <si>
    <t>Virginia Woolf and the Morphology of the Modernist Sentence</t>
  </si>
  <si>
    <t>Sentencing Orlando E-BOOK</t>
  </si>
  <si>
    <t>Högberg, Elsa / Bromley, Amy</t>
  </si>
  <si>
    <t>978-0-7486-2852-0</t>
  </si>
  <si>
    <t>Literary Criticism</t>
  </si>
  <si>
    <t>A New History</t>
  </si>
  <si>
    <t>Literary Criticism E-BOOK</t>
  </si>
  <si>
    <t>Day, Gary</t>
  </si>
  <si>
    <t>978-1-4744-3012-8</t>
  </si>
  <si>
    <t>The Concept of Conversation</t>
  </si>
  <si>
    <t>From Cicero's Sermo to the Grand Siècle's Conversation</t>
  </si>
  <si>
    <t>The Concept of Conversation E-BOOK</t>
  </si>
  <si>
    <t>Randall, David</t>
  </si>
  <si>
    <t>978-1-4744-4936-6</t>
  </si>
  <si>
    <t>Democratic Biopolitics</t>
  </si>
  <si>
    <t>Popular Sovereignty and the Power of Life</t>
  </si>
  <si>
    <t>Democratic Biopolitics E-BOOK</t>
  </si>
  <si>
    <t>Prozorov, Sergei</t>
  </si>
  <si>
    <t>978-1-4744-7079-7</t>
  </si>
  <si>
    <t>Glasgow</t>
  </si>
  <si>
    <t>Glasgow E-BOOK</t>
  </si>
  <si>
    <t>Maver, Irene</t>
  </si>
  <si>
    <t>978-1-4744-0020-6</t>
  </si>
  <si>
    <t>Imagining Surveillance</t>
  </si>
  <si>
    <t>Eutopian and Dystopian Literature and Film</t>
  </si>
  <si>
    <t>Imagining Surveillance E-BOOK</t>
  </si>
  <si>
    <t>Marks, Peter</t>
  </si>
  <si>
    <t>978-1-4744-0016-9</t>
  </si>
  <si>
    <t>The Urewera Notebook by Katherine Mansfield</t>
  </si>
  <si>
    <t>The Urewera Notebook by Katherine Mansfield E-BOOK</t>
  </si>
  <si>
    <t>Mansfield, Katherine / Plumridge, Anna</t>
  </si>
  <si>
    <t>LCO000000 LITERARY COLLECTIONS / General</t>
  </si>
  <si>
    <t>978-1-4744-0459-4</t>
  </si>
  <si>
    <t>Higher Education in Scotland and the UK</t>
  </si>
  <si>
    <t>Diverging or Converging Systems?</t>
  </si>
  <si>
    <t>Higher Education in Scotland and the UK E-BOOK</t>
  </si>
  <si>
    <t>Minty, Sarah / Riddell, Sheila / Weedon, Elisabet</t>
  </si>
  <si>
    <t>Education</t>
  </si>
  <si>
    <t>Education, other</t>
  </si>
  <si>
    <t>EDU000000 EDUCATION / General</t>
  </si>
  <si>
    <t>978-0-7486-9689-5</t>
  </si>
  <si>
    <t>Muslims in Ireland</t>
  </si>
  <si>
    <t>Past and Present</t>
  </si>
  <si>
    <t>Muslims in Ireland E-BOOK</t>
  </si>
  <si>
    <t>Shanneik, Yafa / Ibrahim, Vivian</t>
  </si>
  <si>
    <t>HIS018000 HISTORY / Europe / Ireland</t>
  </si>
  <si>
    <t>978-1-4744-7067-4</t>
  </si>
  <si>
    <t>Transatlantic Literary Studies</t>
  </si>
  <si>
    <t>A Reader</t>
  </si>
  <si>
    <t>Transatlantic Literary Studies E-BOOK</t>
  </si>
  <si>
    <t>Manning, Susan / Taylor, Andrew</t>
  </si>
  <si>
    <t>Edinburgh University Press Backlist eBook-Package 2013-2000 | U Chicago P&amp;C UPL Single Titles 2024</t>
  </si>
  <si>
    <t>978-1-4744-2790-6</t>
  </si>
  <si>
    <t>The Computer-Animated Film</t>
  </si>
  <si>
    <t>Industry, Style and Genre</t>
  </si>
  <si>
    <t>The Computer-Animated Film E-BOOK</t>
  </si>
  <si>
    <t>Holliday, Christopher</t>
  </si>
  <si>
    <t>Computer Sciences</t>
  </si>
  <si>
    <t>Graphics/Sound/Video</t>
  </si>
  <si>
    <t>COM071000 COMPUTERS / Digital Media / Video &amp; Animation</t>
  </si>
  <si>
    <t>978-1-4744-7015-5</t>
  </si>
  <si>
    <t>My Quest for the Middle Ages</t>
  </si>
  <si>
    <t>My Quest for the Middle Ages E-BOOK</t>
  </si>
  <si>
    <t>Le Goff, Jacques</t>
  </si>
  <si>
    <t>978-0-7486-2709-7</t>
  </si>
  <si>
    <t>The Idea of Continental Philosophy</t>
  </si>
  <si>
    <t>The Idea of Continental Philosophy E-BOOK</t>
  </si>
  <si>
    <t>Glendinning, Simon</t>
  </si>
  <si>
    <t>978-1-4744-6714-8</t>
  </si>
  <si>
    <t>Bullets to Ballots</t>
  </si>
  <si>
    <t>Collective De-Radicalisation of Armed Movements</t>
  </si>
  <si>
    <t>Bullets to Ballots E-BOOK</t>
  </si>
  <si>
    <t>Ashour, Omar</t>
  </si>
  <si>
    <t>POL012000 POLITICAL SCIENCE / Security (National &amp; International)</t>
  </si>
  <si>
    <t>978-1-4744-9712-1</t>
  </si>
  <si>
    <t>Transatlantic Modernism</t>
  </si>
  <si>
    <t>Moral Dilemmas in Modernist Fiction</t>
  </si>
  <si>
    <t>Transatlantic Modernism E-BOOK</t>
  </si>
  <si>
    <t>Halliwell, Martin</t>
  </si>
  <si>
    <t>978-1-4744-6419-2</t>
  </si>
  <si>
    <t>Culture and Democracy</t>
  </si>
  <si>
    <t>Media, Space and Representation</t>
  </si>
  <si>
    <t>Culture and Democracy E-BOOK</t>
  </si>
  <si>
    <t>Barnett, Clive</t>
  </si>
  <si>
    <t>978-0-7486-3197-1</t>
  </si>
  <si>
    <t>A Dictionary of Philosophical Logic</t>
  </si>
  <si>
    <t>A Dictionary of Philosophical Logic E-BOOK</t>
  </si>
  <si>
    <t>Cook, Roy T.</t>
  </si>
  <si>
    <t>978-0-7486-4709-5</t>
  </si>
  <si>
    <t>The New Extremism in Cinema</t>
  </si>
  <si>
    <t>From France to Europe</t>
  </si>
  <si>
    <t>The New Extremism in Cinema E-BOOK</t>
  </si>
  <si>
    <t>Horeck, Tanya / Kendall, Tina</t>
  </si>
  <si>
    <t>978-1-4744-7051-3</t>
  </si>
  <si>
    <t>Early Scottish Gardens</t>
  </si>
  <si>
    <t>A Writer's Odyssey</t>
  </si>
  <si>
    <t>Early Scottish Gardens E-BOOK</t>
  </si>
  <si>
    <t>Mackay, Sheila</t>
  </si>
  <si>
    <t>978-0-7486-3334-0</t>
  </si>
  <si>
    <t>Bannockburn</t>
  </si>
  <si>
    <t>The Scottish War and the British Isles 1307-1323</t>
  </si>
  <si>
    <t>Bannockburn E-BOOK</t>
  </si>
  <si>
    <t>Brown, Michael</t>
  </si>
  <si>
    <t>978-1-4744-3468-3</t>
  </si>
  <si>
    <t>Lucretius I</t>
  </si>
  <si>
    <t>An Ontology of Motion</t>
  </si>
  <si>
    <t>Lucretius I E-BOOK</t>
  </si>
  <si>
    <t>Nail, Thomas</t>
  </si>
  <si>
    <t>978-0-7486-3216-9</t>
  </si>
  <si>
    <t>Atlas of Global Christianity</t>
  </si>
  <si>
    <t>Atlas of Global Christianity E-BOOK</t>
  </si>
  <si>
    <t>Johnson, Todd / Ross, Kenneth</t>
  </si>
  <si>
    <t>Christianity</t>
  </si>
  <si>
    <t>REL070000 RELIGION / Christianity / General</t>
  </si>
  <si>
    <t>978-0-7486-2870-4</t>
  </si>
  <si>
    <t>Science Fiction Cinema</t>
  </si>
  <si>
    <t>Between Fantasy and Reality</t>
  </si>
  <si>
    <t>Science Fiction Cinema E-BOOK</t>
  </si>
  <si>
    <t>Cornea, Christine</t>
  </si>
  <si>
    <t>978-1-4744-8047-5</t>
  </si>
  <si>
    <t>Keats's Anatomy of Melancholy</t>
  </si>
  <si>
    <t>Lamia, Isabella, The Eve of St Agnes and Other Poems (1820)</t>
  </si>
  <si>
    <t>Keats's Anatomy of Melancholy E-BOOK</t>
  </si>
  <si>
    <t>White, Robert</t>
  </si>
  <si>
    <t>Colorado State University 2023 EBA Selections | Edinburgh University Press Complete eBook-Package 2020</t>
  </si>
  <si>
    <t>978-1-4744-5813-9</t>
  </si>
  <si>
    <t>Vampires in Italian Cinema, 1956-1975</t>
  </si>
  <si>
    <t>Vampires in Italian Cinema, 1956-1975 E-BOOK</t>
  </si>
  <si>
    <t>Guarneri, Michael</t>
  </si>
  <si>
    <t>978-1-4744-1173-8</t>
  </si>
  <si>
    <t>Blood in the Streets</t>
  </si>
  <si>
    <t>Histories of Violence in Italian Crime Cinema</t>
  </si>
  <si>
    <t>Blood in the Streets E-BOOK</t>
  </si>
  <si>
    <t>Fisher, Austin</t>
  </si>
  <si>
    <t>HIS020000 HISTORY / Europe / Italy</t>
  </si>
  <si>
    <t>978-0-7486-8603-2</t>
  </si>
  <si>
    <t>Reforging a Forgotten History</t>
  </si>
  <si>
    <t>Iraq and the Assyrians in the Twentieth Century</t>
  </si>
  <si>
    <t>Reforging a Forgotten History E-BOOK</t>
  </si>
  <si>
    <t>Donabed, Sargon</t>
  </si>
  <si>
    <t>978-1-4744-7052-0</t>
  </si>
  <si>
    <t>Political Concepts</t>
  </si>
  <si>
    <t>A Reader and Guide</t>
  </si>
  <si>
    <t>Political Concepts E-BOOK</t>
  </si>
  <si>
    <t>MacKenzie, Iain</t>
  </si>
  <si>
    <t>978-0-7486-9455-6</t>
  </si>
  <si>
    <t>Advances and Innovations in University Assessment and Feedback</t>
  </si>
  <si>
    <t>Advances and Innovations in University Assessment and E-BOOK</t>
  </si>
  <si>
    <t>McArthur, Jan</t>
  </si>
  <si>
    <t>Edinburgh University Press Complete eBook-Package 2014-2015 | bitte nicht fakturieren, nur zum Test</t>
  </si>
  <si>
    <t>978-1-4744-2755-5</t>
  </si>
  <si>
    <t>Scotland, Darien and the Atlantic World, 1698-1700</t>
  </si>
  <si>
    <t>Scotland, Darien and the Atlantic World, 1698-1700 E-BOOK</t>
  </si>
  <si>
    <t>Orr, Julie</t>
  </si>
  <si>
    <t>Latin America</t>
  </si>
  <si>
    <t>HIS007000 HISTORY / Latin America / Central America</t>
  </si>
  <si>
    <t>978-0-7486-6448-1</t>
  </si>
  <si>
    <t>Mel Brooks in the Cultural Industries</t>
  </si>
  <si>
    <t>Survival and Prolonged Adaptation</t>
  </si>
  <si>
    <t>Mel Brooks in the Cultural Industries E-BOOK</t>
  </si>
  <si>
    <t>Symons, Alex</t>
  </si>
  <si>
    <t>978-1-4744-6576-2</t>
  </si>
  <si>
    <t>Evaluating Shelley</t>
  </si>
  <si>
    <t>Evaluating Shelley E-BOOK</t>
  </si>
  <si>
    <t>Clark, T / Hogle, J</t>
  </si>
  <si>
    <t>POE005020 POETRY / European / English, Irish, Scottish, Welsh</t>
  </si>
  <si>
    <t>978-1-4744-3973-2</t>
  </si>
  <si>
    <t>If I Survive</t>
  </si>
  <si>
    <t>Frederick Douglass and Family in the Walter O. Evans Collection</t>
  </si>
  <si>
    <t>If I Survive E-BOOK</t>
  </si>
  <si>
    <t>Bernier, Celeste-Marie / Taylor, Andrew</t>
  </si>
  <si>
    <t xml:space="preserve">Modern History </t>
  </si>
  <si>
    <t>HIS037060 HISTORY / Modern / 19th Century</t>
  </si>
  <si>
    <t>978-0-7486-9993-3</t>
  </si>
  <si>
    <t>Hollywood and the Great Depression</t>
  </si>
  <si>
    <t>American Film, Politics and Society in the 1930s</t>
  </si>
  <si>
    <t>Hollywood and the Great Depression E-BOOK</t>
  </si>
  <si>
    <t>Morgan, Iwan / Davies, Philip John</t>
  </si>
  <si>
    <t>978-1-4744-3447-8</t>
  </si>
  <si>
    <t>Wrongful Damage to Property in Roman Law</t>
  </si>
  <si>
    <t>British Perspectives</t>
  </si>
  <si>
    <t>Wrongful Damage to Property in Roman Law E-BOOK</t>
  </si>
  <si>
    <t>du Plessis, Paul J.</t>
  </si>
  <si>
    <t>978-0-7486-6605-8</t>
  </si>
  <si>
    <t>Tragedy, Modernity and Mourning</t>
  </si>
  <si>
    <t>Tragedy, Modernity and Mourning E-BOOK</t>
  </si>
  <si>
    <t>Taxidou, Olga</t>
  </si>
  <si>
    <t>978-0-7486-4345-5</t>
  </si>
  <si>
    <t>We Have Never Been Postmodern</t>
  </si>
  <si>
    <t>Theory at the Speed of Light</t>
  </si>
  <si>
    <t>We Have Never Been Postmodern E-BOOK</t>
  </si>
  <si>
    <t>Redhead, Steve</t>
  </si>
  <si>
    <t>Culture</t>
  </si>
  <si>
    <t>SOC022000 SOCIAL SCIENCE / Popular Culture</t>
  </si>
  <si>
    <t>978-1-4744-1499-9</t>
  </si>
  <si>
    <t>Cinema-monde</t>
  </si>
  <si>
    <t>Decentred Perspectives on Global Filmmaking in French</t>
  </si>
  <si>
    <t>Cinema-monde E-BOOK</t>
  </si>
  <si>
    <t>Gott, Michael / Schilt, Thibaut</t>
  </si>
  <si>
    <t>978-1-4744-1005-2</t>
  </si>
  <si>
    <t>Global Migrations</t>
  </si>
  <si>
    <t>The Scottish Diaspora since 1600</t>
  </si>
  <si>
    <t>Global Migrations E-BOOK</t>
  </si>
  <si>
    <t>MacKenzie, John  / McCarthy, Angela</t>
  </si>
  <si>
    <t>978-0-7486-4476-6</t>
  </si>
  <si>
    <t>John Ashbery and English Poetry</t>
  </si>
  <si>
    <t>John Ashbery and English Poetry E-BOOK</t>
  </si>
  <si>
    <t>978-0-7486-5462-8</t>
  </si>
  <si>
    <t>The Photography of Victorian Scotland</t>
  </si>
  <si>
    <t>The Photography of Victorian Scotland E-BOOK</t>
  </si>
  <si>
    <t>Simpson, Roddy</t>
  </si>
  <si>
    <t>978-1-4744-1032-8</t>
  </si>
  <si>
    <t>On Good and Evil and the Grey Zone</t>
  </si>
  <si>
    <t>On Good and Evil and the Grey Zone E-BOOK</t>
  </si>
  <si>
    <t>Danchev, Alex</t>
  </si>
  <si>
    <t>ART015000 ART / History / General</t>
  </si>
  <si>
    <t>978-1-4744-7029-2</t>
  </si>
  <si>
    <t>The Politics of Community</t>
  </si>
  <si>
    <t>Theory and Practice</t>
  </si>
  <si>
    <t>The Politics of Community E-BOOK</t>
  </si>
  <si>
    <t>Little, Adrian</t>
  </si>
  <si>
    <t>POL029000 POLITICAL SCIENCE / Public Policy / Social Policy</t>
  </si>
  <si>
    <t>978-1-4744-6771-1</t>
  </si>
  <si>
    <t>The Changing Flora of Glasgow</t>
  </si>
  <si>
    <t>Urban and Rural Plants through the Centuries</t>
  </si>
  <si>
    <t>The Changing Flora of Glasgow E-BOOK</t>
  </si>
  <si>
    <t>Dickson, J.H. / MacPherson, P.</t>
  </si>
  <si>
    <t>Life Sciences</t>
  </si>
  <si>
    <t>Plant Science</t>
  </si>
  <si>
    <t>NAT013000 NATURE / Plants / Flowers</t>
  </si>
  <si>
    <t>EBA_BACKALL; EBA_EBACKALL; EBA_EBKALL; EBA_EEBKALL; EBA_ESTMALL; EBA_PPALL; EBA_STMALL</t>
  </si>
  <si>
    <t>978-0-7486-9607-9</t>
  </si>
  <si>
    <t>Negotiating Dissidence</t>
  </si>
  <si>
    <t>The Pioneering Women of Arab Documentary</t>
  </si>
  <si>
    <t>Negotiating Dissidence E-BOOK</t>
  </si>
  <si>
    <t>Peer, Stefanie Van de</t>
  </si>
  <si>
    <t>978-0-7486-4185-7</t>
  </si>
  <si>
    <t>Gandhi's Interpreter</t>
  </si>
  <si>
    <t>A Life of Horace Alexander</t>
  </si>
  <si>
    <t>Gandhi's Interpreter E-BOOK</t>
  </si>
  <si>
    <t>Carnall, Geoffrey / Gregory, Philippa</t>
  </si>
  <si>
    <t>BIO006000 BIOGRAPHY &amp; AUTOBIOGRAPHY / Historical</t>
  </si>
  <si>
    <t>978-1-4744-4944-1</t>
  </si>
  <si>
    <t>Screening Youth</t>
  </si>
  <si>
    <t>Contemporary French and Francophone Cinema</t>
  </si>
  <si>
    <t>Screening Youth E-BOOK</t>
  </si>
  <si>
    <t>Chareyron, Romain / Viennot, Gilles</t>
  </si>
  <si>
    <t>HIS013000 HISTORY / Europe / France</t>
  </si>
  <si>
    <t>EBA_BACKALL; EBA_CL_HICS; EBA_EBACKALL; EBA_EBKALL; EBA_ECL_HICS; EBA_EEBKALL; EBA_ESSHALL; EBA_EXCL; EBA_PPALL; EBA_SSHALL</t>
  </si>
  <si>
    <t>978-1-4744-4787-4</t>
  </si>
  <si>
    <t>Diversity and Integration in Private International Law</t>
  </si>
  <si>
    <t>Diversity and Integration in Private International La E-BOOK</t>
  </si>
  <si>
    <t>Ruiz Abou-Nigm, Verónica / Blanca Noodt Taquela, Maria</t>
  </si>
  <si>
    <t>Edinburgh University Press Complete eBook-Package 2019 | Pick and Choose Law eBook Package BU 2022 | Pick and Choose Law eBook Package U Tennessee 2022 | Pick and Choose eBook Package Cornell Eng Law 2000-2021 | UCB LAW SCHOOL Pick &amp; Choose 2022 | Yale P&amp;C Law Package 2023</t>
  </si>
  <si>
    <t>978-0-7486-8555-4</t>
  </si>
  <si>
    <t>The Edinburgh Companion to the Arab Novel in English</t>
  </si>
  <si>
    <t>The Politics of Anglo Arab and Arab American Literature and Culture</t>
  </si>
  <si>
    <t>The Edinburgh Companion to the Arab Novel in English E-BOOK</t>
  </si>
  <si>
    <t>Gana, Nouri</t>
  </si>
  <si>
    <t>978-1-4744-1310-7</t>
  </si>
  <si>
    <t>Rethinking the Hollywood Teen Movie</t>
  </si>
  <si>
    <t>Gender, Genre and Identity</t>
  </si>
  <si>
    <t>Rethinking the Hollywood Teen Movie E-BOOK</t>
  </si>
  <si>
    <t>Smith, Frances</t>
  </si>
  <si>
    <t>Colorado State University 2023 EBA Selections | Edinburgh University Press Complete eBook-Package 2017</t>
  </si>
  <si>
    <t>978-1-4744-7150-3</t>
  </si>
  <si>
    <t>Nature Religion Today</t>
  </si>
  <si>
    <t>Paganism in the Modern World</t>
  </si>
  <si>
    <t>Nature Religion Today E-BOOK</t>
  </si>
  <si>
    <t>Overend, Joanne</t>
  </si>
  <si>
    <t>Other Religions</t>
  </si>
  <si>
    <t>REL020000 RELIGION / Cults</t>
  </si>
  <si>
    <t>978-0-7486-9623-9</t>
  </si>
  <si>
    <t>Deleuze and Derrida</t>
  </si>
  <si>
    <t>Difference and the Power of the Negative</t>
  </si>
  <si>
    <t>Deleuze and Derrida E-BOOK</t>
  </si>
  <si>
    <t>Cisney, Vernon W.</t>
  </si>
  <si>
    <t>978-0-7486-8037-5</t>
  </si>
  <si>
    <t>The Derrida Wordbook</t>
  </si>
  <si>
    <t>The Derrida Wordbook E-BOOK</t>
  </si>
  <si>
    <t>Dick, Maria-Daniella / Wolfreys, Julian</t>
  </si>
  <si>
    <t>Romance Literature</t>
  </si>
  <si>
    <t>Romance Literature, general</t>
  </si>
  <si>
    <t>LIT004150 LITERARY CRITICISM / European / French</t>
  </si>
  <si>
    <t>978-0-7486-9934-6</t>
  </si>
  <si>
    <t>Gertrude Stein, Modernism, and the Problem of 'Genius'</t>
  </si>
  <si>
    <t>Gertrude Stein, Modernism, and the Problem of 'Genius E-BOOK</t>
  </si>
  <si>
    <t>Will, Barbara</t>
  </si>
  <si>
    <t>978-0-7486-8933-0</t>
  </si>
  <si>
    <t>The Ethics of Deconstruction</t>
  </si>
  <si>
    <t>Derrida and Levinas</t>
  </si>
  <si>
    <t>The Ethics of Deconstruction E-BOOK</t>
  </si>
  <si>
    <t>Critchley, Simon</t>
  </si>
  <si>
    <t>978-0-7486-4672-2</t>
  </si>
  <si>
    <t>Addicted to Profit</t>
  </si>
  <si>
    <t>Reclaiming Our Lives from the Free Market</t>
  </si>
  <si>
    <t>Addicted to Profit E-BOOK</t>
  </si>
  <si>
    <t>978-0-7486-8166-2</t>
  </si>
  <si>
    <t>Ethical Subjects in Contemporary Culture</t>
  </si>
  <si>
    <t>Ethical Subjects in Contemporary Culture E-BOOK</t>
  </si>
  <si>
    <t>Boothroyd, Dave</t>
  </si>
  <si>
    <t>978-1-4744-2353-3</t>
  </si>
  <si>
    <t>Jane Austen, Virginia Woolf and Worldly Realism</t>
  </si>
  <si>
    <t>Jane Austen, Virginia Woolf and Worldly Realism E-BOOK</t>
  </si>
  <si>
    <t>Morris, Pam</t>
  </si>
  <si>
    <t>978-0-7486-9760-1</t>
  </si>
  <si>
    <t>Constituting Scotland</t>
  </si>
  <si>
    <t>The Scottish National Movement and the Westminster Model</t>
  </si>
  <si>
    <t>Constituting Scotland E-BOOK</t>
  </si>
  <si>
    <t>Bulmer, W. Elliot</t>
  </si>
  <si>
    <t>Public Law</t>
  </si>
  <si>
    <t>Constitutional Law</t>
  </si>
  <si>
    <t>LAW013000 LAW / Civil Rights</t>
  </si>
  <si>
    <t>Edinburgh University Press Complete eBook-Package 2016 | Pick and Choose Law eBook Package BU 2022 | Pick and Choose eBook Package Cornell Eng Law 2000-2021 | UCB LAW SCHOOL Pick &amp; Choose 2022 | Yale P&amp;C Law Package 2023</t>
  </si>
  <si>
    <t>978-1-4744-7221-0</t>
  </si>
  <si>
    <t>Holocaust Poetry</t>
  </si>
  <si>
    <t>Awkward Poetics in the Work of Sylvia Plath, Geoffrey Hill, Tony Harrison and Ted Hughes</t>
  </si>
  <si>
    <t>Holocaust Poetry E-BOOK</t>
  </si>
  <si>
    <t>Rowland, Antony</t>
  </si>
  <si>
    <t>978-1-4744-6443-7</t>
  </si>
  <si>
    <t>Feminism and the Biological Body</t>
  </si>
  <si>
    <t>Feminism and the Biological Body E-BOOK</t>
  </si>
  <si>
    <t>Birke, Lynda</t>
  </si>
  <si>
    <t>978-0-7486-4373-8</t>
  </si>
  <si>
    <t>Young British Muslims</t>
  </si>
  <si>
    <t>Identity, Culture, Politics and the Media</t>
  </si>
  <si>
    <t>Young British Muslims E-BOOK</t>
  </si>
  <si>
    <t>Kabir, Nahid Afrose</t>
  </si>
  <si>
    <t>978-1-4744-6884-8</t>
  </si>
  <si>
    <t>Saussure and his Interpreters</t>
  </si>
  <si>
    <t>Saussure and his Interpreters E-BOOK</t>
  </si>
  <si>
    <t>Harris, Roy</t>
  </si>
  <si>
    <t>978-0-7486-8189-1</t>
  </si>
  <si>
    <t>Democracy Against Itself</t>
  </si>
  <si>
    <t>Sustaining an Unsustainable Idea</t>
  </si>
  <si>
    <t>Democracy Against Itself E-BOOK</t>
  </si>
  <si>
    <t>Chou, Mark</t>
  </si>
  <si>
    <t>978-1-4744-7084-1</t>
  </si>
  <si>
    <t>American History and Contemporary Hollywood Film</t>
  </si>
  <si>
    <t>American History and Contemporary Hollywood Film E-BOOK</t>
  </si>
  <si>
    <t>McCrisken, Trevor / Pepper, Andrew</t>
  </si>
  <si>
    <t>978-0-7486-9542-3</t>
  </si>
  <si>
    <t>Muhammad Iqbal</t>
  </si>
  <si>
    <t>Essays on the Reconstruction of Modern Muslim Thought</t>
  </si>
  <si>
    <t>Muhammad Iqbal E-BOOK</t>
  </si>
  <si>
    <t>Hillier, Chad / Koshul, Basit</t>
  </si>
  <si>
    <t>978-0-7486-3240-4</t>
  </si>
  <si>
    <t>Deleuze, Altered States and Film</t>
  </si>
  <si>
    <t>Deleuze, Altered States and Film E-BOOK</t>
  </si>
  <si>
    <t>Powell, Anna</t>
  </si>
  <si>
    <t>978-1-4744-7091-9</t>
  </si>
  <si>
    <t>Deconstruction</t>
  </si>
  <si>
    <t>Deconstruction E-BOOK</t>
  </si>
  <si>
    <t>Edinburgh University Press Backlist eBook-Package 2013-2000 | U Chicago P&amp;C UPL Single Titles 2024 | University of South Florida 2024 EBA Selections</t>
  </si>
  <si>
    <t>978-0-7486-4368-4</t>
  </si>
  <si>
    <t>Leonard and Virginia Woolf, The Hogarth Press and the Networks of Modernism</t>
  </si>
  <si>
    <t>Leonard and Virginia Woolf, The Hogarth Press and the E-BOOK</t>
  </si>
  <si>
    <t>Southworth, Helen</t>
  </si>
  <si>
    <t>978-0-7486-3228-2</t>
  </si>
  <si>
    <t>In Memory of Jacques Derrida</t>
  </si>
  <si>
    <t>In Memory of Jacques Derrida E-BOOK</t>
  </si>
  <si>
    <t>Royle, Nicholas</t>
  </si>
  <si>
    <t>978-0-7486-3214-5</t>
  </si>
  <si>
    <t>The Short Story</t>
  </si>
  <si>
    <t>The Short Story E-BOOK</t>
  </si>
  <si>
    <t>March-Russell, Paul</t>
  </si>
  <si>
    <t>Colorado State University 2023 EBA Selections | Colorado State University EBA Selections 2023 | Edinburgh University Press Backlist eBook-Package 2013-2000 | MUN EBA Selections 2023</t>
  </si>
  <si>
    <t>978-1-4744-6550-2</t>
  </si>
  <si>
    <t>Deleuzism</t>
  </si>
  <si>
    <t>A Metacommentary</t>
  </si>
  <si>
    <t>Deleuzism E-BOOK</t>
  </si>
  <si>
    <t>Buchanan, Ian</t>
  </si>
  <si>
    <t>978-0-7486-9766-3</t>
  </si>
  <si>
    <t>Imperial Muslims</t>
  </si>
  <si>
    <t>Islam, Community and Authority in the Indian Ocean, 1839-1937</t>
  </si>
  <si>
    <t>Imperial Muslims E-BOOK</t>
  </si>
  <si>
    <t>Reese, Scott S.</t>
  </si>
  <si>
    <t>HIS017000 HISTORY / Asia / India &amp; South Asia</t>
  </si>
  <si>
    <t>978-1-4744-1410-4</t>
  </si>
  <si>
    <t>Revenge and Gender in Classical, Medieval and Renaissance Literature</t>
  </si>
  <si>
    <t>Revenge and Gender in Classical, Medieval and Renaiss E-BOOK</t>
  </si>
  <si>
    <t>Dawson, Lesel / McHardy, Fiona</t>
  </si>
  <si>
    <t>978-0-7486-3514-6</t>
  </si>
  <si>
    <t>Exploring Environmental History</t>
  </si>
  <si>
    <t>Selected Essays</t>
  </si>
  <si>
    <t>Exploring Environmental History E-BOOK</t>
  </si>
  <si>
    <t>Smout, T. C.</t>
  </si>
  <si>
    <t>Life Sciences, other</t>
  </si>
  <si>
    <t>SCI026000 SCIENCE / Environmental Science (see also Chemistry / Environmental)</t>
  </si>
  <si>
    <t>978-1-4744-6841-1</t>
  </si>
  <si>
    <t>Discourse Analysis</t>
  </si>
  <si>
    <t>Discourse Analysis E-BOOK</t>
  </si>
  <si>
    <t>Georgakopoulou, Alexandra / Goutsos, Dionysis</t>
  </si>
  <si>
    <t>978-0-7486-7038-3</t>
  </si>
  <si>
    <t>Bigotry, Football and Scotland</t>
  </si>
  <si>
    <t>Bigotry, Football and Scotland E-BOOK</t>
  </si>
  <si>
    <t>Flint, John / Kelly, John</t>
  </si>
  <si>
    <t>978-0-7486-2930-5</t>
  </si>
  <si>
    <t>Minds and Computers</t>
  </si>
  <si>
    <t>An Introduction to the Philosophy of Artificial Intelligence</t>
  </si>
  <si>
    <t>Minds and Computers E-BOOK</t>
  </si>
  <si>
    <t>Carter, Matt</t>
  </si>
  <si>
    <t>978-0-585-44365-2</t>
  </si>
  <si>
    <t>After the Terror</t>
  </si>
  <si>
    <t>After the Terror E-BOOK</t>
  </si>
  <si>
    <t>Honderich, Ted</t>
  </si>
  <si>
    <t>978-1-4744-0670-3</t>
  </si>
  <si>
    <t>Writing the Field Recording</t>
  </si>
  <si>
    <t>Sound, Word, Environment</t>
  </si>
  <si>
    <t>Writing the Field Recording E-BOOK</t>
  </si>
  <si>
    <t>Benson, Stephen / Montgomery, Will</t>
  </si>
  <si>
    <t>978-0-585-44204-4</t>
  </si>
  <si>
    <t>Readings</t>
  </si>
  <si>
    <t>Acts of Close Reading in Literary Theory</t>
  </si>
  <si>
    <t>Readings E-BOOK</t>
  </si>
  <si>
    <t>Semiotics</t>
  </si>
  <si>
    <t>Semiotics, other</t>
  </si>
  <si>
    <t>LIT006000 LITERARY CRITICISM / Semiotics &amp; Theory</t>
  </si>
  <si>
    <t>978-1-4744-7181-7</t>
  </si>
  <si>
    <t>Postcolonial Imaginings</t>
  </si>
  <si>
    <t>Fictions of a New World Order</t>
  </si>
  <si>
    <t>Postcolonial Imaginings E-BOOK</t>
  </si>
  <si>
    <t>Punter, David</t>
  </si>
  <si>
    <t>978-0-7486-7150-2</t>
  </si>
  <si>
    <t>Modern Diachronic Corpus-Assisted Discourse Studies</t>
  </si>
  <si>
    <t>Corpora Volume 5, Issue 2</t>
  </si>
  <si>
    <t>Modern Diachronic Corpus-Assisted Discourse Studies E-BOOK</t>
  </si>
  <si>
    <t>Partington, Alan</t>
  </si>
  <si>
    <t>978-1-4744-0721-2</t>
  </si>
  <si>
    <t>The Colonial Documentary Film in South and South-East Asia</t>
  </si>
  <si>
    <t>The Colonial Documentary Film in South and South-East E-BOOK</t>
  </si>
  <si>
    <t>Aitken, Ian / Deprez, Camille</t>
  </si>
  <si>
    <t>978-1-4744-4566-5</t>
  </si>
  <si>
    <t>Classical Caledonia</t>
  </si>
  <si>
    <t>Roman History and Myth in Eighteenth-Century Scotland</t>
  </si>
  <si>
    <t>Classical Caledonia E-BOOK</t>
  </si>
  <si>
    <t>Montgomery, Alan</t>
  </si>
  <si>
    <t>978-1-4744-6865-7</t>
  </si>
  <si>
    <t>Ecology and Empire</t>
  </si>
  <si>
    <t>Environmental History of Settler Societies</t>
  </si>
  <si>
    <t>Ecology and Empire E-BOOK</t>
  </si>
  <si>
    <t>Griffiths, Tom / Robin, Libby</t>
  </si>
  <si>
    <t>Global History</t>
  </si>
  <si>
    <t>HIS037000 HISTORY / World</t>
  </si>
  <si>
    <t>978-1-4744-2460-8</t>
  </si>
  <si>
    <t>Hong Kong Horror Cinema</t>
  </si>
  <si>
    <t>Hong Kong Horror Cinema E-BOOK</t>
  </si>
  <si>
    <t>Bettinson, Gary / Martin, Daniel</t>
  </si>
  <si>
    <t>978-1-4744-6287-7</t>
  </si>
  <si>
    <t>Exploring the Ecology of World Englishes in the Twenty-first Century</t>
  </si>
  <si>
    <t>Language, Society and Culture</t>
  </si>
  <si>
    <t>Exploring the Ecology of World Englishes in the Twent E-BOOK</t>
  </si>
  <si>
    <t>Peters, Pam / Burridge, Kate</t>
  </si>
  <si>
    <t>978-0-7486-4208-3</t>
  </si>
  <si>
    <t>Muslims of Europe</t>
  </si>
  <si>
    <t>The 'Other' Europeans</t>
  </si>
  <si>
    <t>Muslims of Europe E-BOOK</t>
  </si>
  <si>
    <t>Hellyer, H. A.</t>
  </si>
  <si>
    <t>SOC007000 SOCIAL SCIENCE / Emigration &amp; Immigration</t>
  </si>
  <si>
    <t>978-1-4744-4185-8</t>
  </si>
  <si>
    <t>Modernist Intimacies</t>
  </si>
  <si>
    <t>Modernist Intimacies E-BOOK</t>
  </si>
  <si>
    <t>Högberg, Elsa</t>
  </si>
  <si>
    <t>EBOOK PACKAGE COMPLETE 2022 | EBOOK PACKAGE COMPLETE 2022 English | EBOOK PACKAGE Literary, Cultural, Area Studies 2022 | EBOOK PACKAGE Literary, Cultural, Area Studies 2022 English | Edinburgh University Press Complete eBook-Package 2021</t>
  </si>
  <si>
    <t>978-0-585-12333-2</t>
  </si>
  <si>
    <t>Roland Barthes, Phenomenon and Myth</t>
  </si>
  <si>
    <t>An Intellectual Biography</t>
  </si>
  <si>
    <t>Roland Barthes, Phenomenon and Myth E-BOOK</t>
  </si>
  <si>
    <t>Stafford, Andrew</t>
  </si>
  <si>
    <t>978-1-4744-5273-1</t>
  </si>
  <si>
    <t>Cosmetics in Shakespearean and Renaissance Drama</t>
  </si>
  <si>
    <t>Cosmetics in Shakespearean and Renaissance Drama E-BOOK</t>
  </si>
  <si>
    <t>Karim-Cooper, Farah</t>
  </si>
  <si>
    <t>978-0-7486-7261-5</t>
  </si>
  <si>
    <t>Essays on Politics and Literature</t>
  </si>
  <si>
    <t>Essays on Politics and Literature E-BOOK</t>
  </si>
  <si>
    <t>Crick, Bernard</t>
  </si>
  <si>
    <t>978-1-4744-6559-5</t>
  </si>
  <si>
    <t>American Youth Cultures</t>
  </si>
  <si>
    <t>American Youth Cultures E-BOOK</t>
  </si>
  <si>
    <t>Campbell, Neil</t>
  </si>
  <si>
    <t>978-0-585-06085-9</t>
  </si>
  <si>
    <t>Scotland in the Age of Improvement</t>
  </si>
  <si>
    <t>Scotland in the Age of Improvement E-BOOK</t>
  </si>
  <si>
    <t>Phillipson, Nicholas / Mitchison, Rosalind</t>
  </si>
  <si>
    <t>978-1-4744-0298-9</t>
  </si>
  <si>
    <t>Harriet Beecher Stowe</t>
  </si>
  <si>
    <t>Dred: A Tale of the Great Dismal Swamp</t>
  </si>
  <si>
    <t>Harriet Beecher Stowe E-BOOK</t>
  </si>
  <si>
    <t>Newman, Judie</t>
  </si>
  <si>
    <t>978-1-4744-0167-8</t>
  </si>
  <si>
    <t>Seamus Heaney</t>
  </si>
  <si>
    <t>Seamus Heaney E-BOOK</t>
  </si>
  <si>
    <t>Russell, Richard Rankin</t>
  </si>
  <si>
    <t>978-1-4744-0001-5</t>
  </si>
  <si>
    <t>Sex for Sale in Scotland</t>
  </si>
  <si>
    <t>Prostitution in Edinburgh and Glasgow, 1900-1939</t>
  </si>
  <si>
    <t>Sex for Sale in Scotland E-BOOK</t>
  </si>
  <si>
    <t>Settle, Louise</t>
  </si>
  <si>
    <t>978-1-4744-3000-5</t>
  </si>
  <si>
    <t>Twentieth-Century Crime Fiction</t>
  </si>
  <si>
    <t>Gender, Sexuality and the Body</t>
  </si>
  <si>
    <t>Twentieth-Century Crime Fiction E-BOOK</t>
  </si>
  <si>
    <t>Plain, Gill</t>
  </si>
  <si>
    <t>LIT004230 LITERARY CRITICISM / Mystery &amp; Detective</t>
  </si>
  <si>
    <t>978-1-4744-4406-4</t>
  </si>
  <si>
    <t>Antonioni and the Aesthetics of Impurity</t>
  </si>
  <si>
    <t>Remaking the Image in the 1960s</t>
  </si>
  <si>
    <t>Antonioni and the Aesthetics of Impurity E-BOOK</t>
  </si>
  <si>
    <t>Nardelli, Matilde</t>
  </si>
  <si>
    <t>978-1-4744-1640-5</t>
  </si>
  <si>
    <t>Contemporary Cinema and the Philosophy of Iris Murdoch</t>
  </si>
  <si>
    <t>Contemporary Cinema and the Philosophy of Iris Murdoc E-BOOK</t>
  </si>
  <si>
    <t>Bolton, Lucy</t>
  </si>
  <si>
    <t>978-0-7486-9323-8</t>
  </si>
  <si>
    <t>Leibniz's Monadology</t>
  </si>
  <si>
    <t>A New Translation And Guide</t>
  </si>
  <si>
    <t>Leibniz's Monadology E-BOOK</t>
  </si>
  <si>
    <t>Strickland, Lloyd</t>
  </si>
  <si>
    <t>978-1-4744-4988-5</t>
  </si>
  <si>
    <t>Hardy, Conrad and the Senses</t>
  </si>
  <si>
    <t>Hardy, Conrad and the Senses E-BOOK</t>
  </si>
  <si>
    <t>Epstein, Hugh</t>
  </si>
  <si>
    <t>978-0-7486-2929-9</t>
  </si>
  <si>
    <t>The Edinburgh Companion to Twentieth-Century Philosophies</t>
  </si>
  <si>
    <t>The Edinburgh Companion to Twentieth-Century Philosop E-BOOK</t>
  </si>
  <si>
    <t>Boundas, Constantin</t>
  </si>
  <si>
    <t>978-1-4744-3601-4</t>
  </si>
  <si>
    <t>The Edinburgh Companion to Shari'ah Governance in Islamic Finance</t>
  </si>
  <si>
    <t>The Edinburgh Companion to Shari'ah Governance in Isl E-BOOK</t>
  </si>
  <si>
    <t>Al Quradaghi, Bahnaz / Ali, Syed Nazim / Tariq, Wijdan</t>
  </si>
  <si>
    <t>Business Management</t>
  </si>
  <si>
    <t>Banks, Financial Service Provider, Insurers</t>
  </si>
  <si>
    <t>BUS004000 BUSINESS &amp; ECONOMICS / Banks &amp; Banking</t>
  </si>
  <si>
    <t>978-1-4744-7261-6</t>
  </si>
  <si>
    <t>The Moorlands of England and Wales</t>
  </si>
  <si>
    <t>An Environmental History, 8000 BC - AD 2000</t>
  </si>
  <si>
    <t>The Moorlands of England and Wales E-BOOK</t>
  </si>
  <si>
    <t>Simmons, Ian G</t>
  </si>
  <si>
    <t>978-1-4744-7095-7</t>
  </si>
  <si>
    <t>Emergence of Modern Humans</t>
  </si>
  <si>
    <t>An Archaeological Perspective</t>
  </si>
  <si>
    <t>Emergence of Modern Humans E-BOOK</t>
  </si>
  <si>
    <t>Mellars, Paul</t>
  </si>
  <si>
    <t>978-0-7486-4756-9</t>
  </si>
  <si>
    <t>The History of Islamic Political Thought</t>
  </si>
  <si>
    <t>From the Prophet to the Present</t>
  </si>
  <si>
    <t>The History of Islamic Political Thought E-BOOK</t>
  </si>
  <si>
    <t>Black, Antony</t>
  </si>
  <si>
    <t>978-1-4744-6938-8</t>
  </si>
  <si>
    <t>Feminism and Film</t>
  </si>
  <si>
    <t>Feminism and Film E-BOOK</t>
  </si>
  <si>
    <t>Humm, Maggie</t>
  </si>
  <si>
    <t>978-1-4744-0533-1</t>
  </si>
  <si>
    <t>Seeing with the Hands</t>
  </si>
  <si>
    <t>Blindness, Vision and Touch After Descartes</t>
  </si>
  <si>
    <t>Seeing with the Hands E-BOOK</t>
  </si>
  <si>
    <t>Paterson, Mark</t>
  </si>
  <si>
    <t>978-0-7486-3063-9</t>
  </si>
  <si>
    <t>Managing Scotland's Environment</t>
  </si>
  <si>
    <t>Managing Scotland's Environment E-BOOK</t>
  </si>
  <si>
    <t>Warren, Charles</t>
  </si>
  <si>
    <t>NAT000000 NATURE / General</t>
  </si>
  <si>
    <t>Edinburgh University Press Backlist eBook-Package 2013-2000 | MUN EBA Selections 2023</t>
  </si>
  <si>
    <t>978-0-7486-9430-3</t>
  </si>
  <si>
    <t>From Hyperreality to Disappearance: Uncollected Interviews</t>
  </si>
  <si>
    <t>Smith, Richard G. / Clarke, David B.</t>
  </si>
  <si>
    <t>978-0-7486-4708-8</t>
  </si>
  <si>
    <t>The Nation and Nationalism in Europe</t>
  </si>
  <si>
    <t>The Nation and Nationalism in Europe E-BOOK</t>
  </si>
  <si>
    <t>Karolewski, Ireneusz Pawel / Suszycki, Andrzej Marcin</t>
  </si>
  <si>
    <t>POL031000 POLITICAL SCIENCE / Political Ideologies / Nationalism &amp; Patriotism</t>
  </si>
  <si>
    <t>978-0-7486-7297-4</t>
  </si>
  <si>
    <t>The Documentary Film Movement</t>
  </si>
  <si>
    <t>An Anthology</t>
  </si>
  <si>
    <t>The Documentary Film Movement E-BOOK</t>
  </si>
  <si>
    <t>978-0-7486-4350-9</t>
  </si>
  <si>
    <t>Deliberative Democracy</t>
  </si>
  <si>
    <t>Issues and Cases</t>
  </si>
  <si>
    <t>Deliberative Democracy E-BOOK</t>
  </si>
  <si>
    <t>Elstub, Stephen / McLaverty, Peter</t>
  </si>
  <si>
    <t>978-0-7486-7747-4</t>
  </si>
  <si>
    <t>The Hollywood Meme</t>
  </si>
  <si>
    <t>Transnational Adaptations in World Cinema</t>
  </si>
  <si>
    <t>The Hollywood Meme E-BOOK</t>
  </si>
  <si>
    <t>Smith, Iain Robert</t>
  </si>
  <si>
    <t>978-1-4744-2486-8</t>
  </si>
  <si>
    <t>Replication in the Long Nineteenth Century</t>
  </si>
  <si>
    <t>Re-makings and Reproductions</t>
  </si>
  <si>
    <t>Replication in the Long Nineteenth Century E-BOOK</t>
  </si>
  <si>
    <t>Codell, Julie / Hughes, Linda</t>
  </si>
  <si>
    <t>ART015100 ART / History / Modern (late 19th Century to 1945)</t>
  </si>
  <si>
    <t>978-1-4744-5118-5</t>
  </si>
  <si>
    <t>Matzpen</t>
  </si>
  <si>
    <t>A History of Israeli Dissidence</t>
  </si>
  <si>
    <t>Matzpen E-BOOK</t>
  </si>
  <si>
    <t>Fiedler, Lutz / Schneider, Jake</t>
  </si>
  <si>
    <t>978-1-4744-7129-9</t>
  </si>
  <si>
    <t>Virtue, Reason and Toleration</t>
  </si>
  <si>
    <t>The Place of Toleration in Ethical &amp; Political Philosophy</t>
  </si>
  <si>
    <t>Virtue, Reason and Toleration E-BOOK</t>
  </si>
  <si>
    <t>Newey, Glen</t>
  </si>
  <si>
    <t>978-0-7486-3235-0</t>
  </si>
  <si>
    <t>Neo-Liberal Ideology</t>
  </si>
  <si>
    <t>History, Concepts and Policies</t>
  </si>
  <si>
    <t>Neo-Liberal Ideology E-BOOK</t>
  </si>
  <si>
    <t>Turner, Rachel S.</t>
  </si>
  <si>
    <t>HIS037070 HISTORY / Modern / 20th Century</t>
  </si>
  <si>
    <t>978-1-4744-1041-0</t>
  </si>
  <si>
    <t>Kropotkin</t>
  </si>
  <si>
    <t>Reviewing the Classical Anarchist Tradition</t>
  </si>
  <si>
    <t>Kropotkin E-BOOK</t>
  </si>
  <si>
    <t>Kinna, Ruth</t>
  </si>
  <si>
    <t>978-0-7486-2907-7</t>
  </si>
  <si>
    <t>The Lacanian Left</t>
  </si>
  <si>
    <t>Psychoanalysis, Theory, Politics</t>
  </si>
  <si>
    <t>The Lacanian Left E-BOOK</t>
  </si>
  <si>
    <t>Stavrakakis, Yannis</t>
  </si>
  <si>
    <t>978-0-7486-9820-2</t>
  </si>
  <si>
    <t>Improving Passions</t>
  </si>
  <si>
    <t>Sentimental Aesthetics and American Film</t>
  </si>
  <si>
    <t>Improving Passions E-BOOK</t>
  </si>
  <si>
    <t>Burnetts, Charles</t>
  </si>
  <si>
    <t>978-1-4744-5938-9</t>
  </si>
  <si>
    <t>Poststructuralist Agency</t>
  </si>
  <si>
    <t>The Subject in Twentieth-Century Theory</t>
  </si>
  <si>
    <t>Poststructuralist Agency E-BOOK</t>
  </si>
  <si>
    <t>Rae, Gavin</t>
  </si>
  <si>
    <t>978-1-4744-6916-6</t>
  </si>
  <si>
    <t>The Crusades</t>
  </si>
  <si>
    <t>Islamic Perspectives</t>
  </si>
  <si>
    <t>The Crusades E-BOOK</t>
  </si>
  <si>
    <t>Hillenbrand, Carole</t>
  </si>
  <si>
    <t>Military History</t>
  </si>
  <si>
    <t>HIS027130 HISTORY / Military / Wars &amp; Conflicts (Other)</t>
  </si>
  <si>
    <t>Edinburgh University Press Archive eBook-Package Pre-2000 | Western U EBA 2023 eBooks Package</t>
  </si>
  <si>
    <t>978-0-7486-7756-6</t>
  </si>
  <si>
    <t>Intelligence Studies in Britain and the US</t>
  </si>
  <si>
    <t>Historiography since 1945</t>
  </si>
  <si>
    <t>Intelligence Studies in Britain and the US E-BOOK</t>
  </si>
  <si>
    <t>Moran, Christopher R. / Murphy, Christopher J.</t>
  </si>
  <si>
    <t>Topics in History, other</t>
  </si>
  <si>
    <t>HIS016000 HISTORY / Historiography</t>
  </si>
  <si>
    <t>978-1-4744-8850-1</t>
  </si>
  <si>
    <t>Shakespeare and Latinidad</t>
  </si>
  <si>
    <t>Shakespeare and Latinidad E-BOOK</t>
  </si>
  <si>
    <t>Boffone, Trevor / Della Gatta, Carla</t>
  </si>
  <si>
    <t>LIT013000 LITERARY CRITICISM / Drama</t>
  </si>
  <si>
    <t>978-1-4744-1898-0</t>
  </si>
  <si>
    <t>The Shakespearean Inside</t>
  </si>
  <si>
    <t>A Study of the Complete Soliloquies and Solo Asides</t>
  </si>
  <si>
    <t>The Shakespearean Inside E-BOOK</t>
  </si>
  <si>
    <t>Nordlund, Marcus</t>
  </si>
  <si>
    <t>978-1-4744-5028-7</t>
  </si>
  <si>
    <t>Turkey's Necropolitical Laboratory</t>
  </si>
  <si>
    <t>Democracy, Violence and Resistance</t>
  </si>
  <si>
    <t>Turkey's Necropolitical Laboratory E-BOOK</t>
  </si>
  <si>
    <t>Bargu, Banu</t>
  </si>
  <si>
    <t>978-0-7486-4450-6</t>
  </si>
  <si>
    <t>Derrida and Hospitality</t>
  </si>
  <si>
    <t>Derrida and Hospitality E-BOOK</t>
  </si>
  <si>
    <t>Still, Judith</t>
  </si>
  <si>
    <t>978-1-4744-7372-9</t>
  </si>
  <si>
    <t>The Religion of White Rage</t>
  </si>
  <si>
    <t>White Workers, Religious Fervor, and the Myth of Black Racial Progress</t>
  </si>
  <si>
    <t>The Religion of White Rage E-BOOK</t>
  </si>
  <si>
    <t>C. Finley, Stephen / Biko, Mandela Gray / Martin, Lori Latrice</t>
  </si>
  <si>
    <t>SOC031000 SOCIAL SCIENCE / Discrimination &amp; Race Relations</t>
  </si>
  <si>
    <t>978-1-4744-6915-9</t>
  </si>
  <si>
    <t>Islamic Architecture</t>
  </si>
  <si>
    <t>Form, Function and Meaning</t>
  </si>
  <si>
    <t>Islamic Architecture E-BOOK</t>
  </si>
  <si>
    <t>Hillenbrand, Robert</t>
  </si>
  <si>
    <t>Types, Functions</t>
  </si>
  <si>
    <t>ARC016000 ARCHITECTURE / Buildings / Religious</t>
  </si>
  <si>
    <t>EBA_BACKALL; EBA_CL_AD; EBA_EBACKALL; EBA_EBKALL; EBA_ECL_AD; EBA_EEBKALL; EBA_ESSHALL; EBA_ESTMALL; EBA_EXCL; EBA_PPALL; EBA_SSHALL; EBA_STMALL</t>
  </si>
  <si>
    <t>978-0-7486-4604-3</t>
  </si>
  <si>
    <t>Inside the IRA</t>
  </si>
  <si>
    <t>Dissident Republicans and the War for Legitimacy</t>
  </si>
  <si>
    <t>Inside the IRA E-BOOK</t>
  </si>
  <si>
    <t>Sanders, Andrew</t>
  </si>
  <si>
    <t>978-1-4744-6599-1</t>
  </si>
  <si>
    <t>New Scotland, New Society?</t>
  </si>
  <si>
    <t>Are Social and Political Ties Fragmenting?</t>
  </si>
  <si>
    <t>New Scotland, New Society? E-BOOK</t>
  </si>
  <si>
    <t>978-0-7486-5570-0</t>
  </si>
  <si>
    <t>Politics of Nostalgia in the Arabic Novel</t>
  </si>
  <si>
    <t>Nation-State, Modernity and Tradition</t>
  </si>
  <si>
    <t>Politics of Nostalgia in the Arabic Novel E-BOOK</t>
  </si>
  <si>
    <t>Ouyang, Wen-chin</t>
  </si>
  <si>
    <t>978-1-4744-0156-2</t>
  </si>
  <si>
    <t>Reading the Times</t>
  </si>
  <si>
    <t>Temporality and History in Twentieth-Century Fiction</t>
  </si>
  <si>
    <t>Reading the Times E-BOOK</t>
  </si>
  <si>
    <t>Stevenson, Randall</t>
  </si>
  <si>
    <t>978-0-7486-6861-8</t>
  </si>
  <si>
    <t>The European Union and South Korea</t>
  </si>
  <si>
    <t>The Legal Framework for Strengthening Trade, Economic and Political Relations</t>
  </si>
  <si>
    <t>The European Union and South Korea E-BOOK</t>
  </si>
  <si>
    <t>Harrison, James</t>
  </si>
  <si>
    <t>LAW044000 LAW / General Practice</t>
  </si>
  <si>
    <t>978-1-4744-6603-5</t>
  </si>
  <si>
    <t>Representing and Imagining America</t>
  </si>
  <si>
    <t>Representing and Imagining America E-BOOK</t>
  </si>
  <si>
    <t>Davies, Philip John</t>
  </si>
  <si>
    <t>978-0-7486-4022-5</t>
  </si>
  <si>
    <t>Humboldt, Worldview and Language</t>
  </si>
  <si>
    <t>Humboldt, Worldview and Language E-BOOK</t>
  </si>
  <si>
    <t>Underhill, James</t>
  </si>
  <si>
    <t>978-0-7486-7404-6</t>
  </si>
  <si>
    <t>An Introduction to Contemporary American Fiction</t>
  </si>
  <si>
    <t>An Introduction to Contemporary American Fiction E-BOOK</t>
  </si>
  <si>
    <t>Bilton, Alan</t>
  </si>
  <si>
    <t>LIT004040 LITERARY CRITICISM / American / African-American</t>
  </si>
  <si>
    <t>978-1-4744-0320-7</t>
  </si>
  <si>
    <t>The Egyptian Dream</t>
  </si>
  <si>
    <t>Egyptian National Identity and Uprisings</t>
  </si>
  <si>
    <t>The Egyptian Dream E-BOOK</t>
  </si>
  <si>
    <t>HIS009000 HISTORY / Middle East / Egypt (see also Ancient / Egypt)</t>
  </si>
  <si>
    <t>978-0-7486-6587-7</t>
  </si>
  <si>
    <t>Spanish Queer Cinema</t>
  </si>
  <si>
    <t>Spanish Queer Cinema E-BOOK</t>
  </si>
  <si>
    <t>Perriam, Chris</t>
  </si>
  <si>
    <t>SOC012000 SOCIAL SCIENCE / LGBT Studies / Gay Studies</t>
  </si>
  <si>
    <t>978-1-4744-7255-5</t>
  </si>
  <si>
    <t>Quantifying Archaeology</t>
  </si>
  <si>
    <t>Quantifying Archaeology E-BOOK</t>
  </si>
  <si>
    <t>Shennan, Stephen</t>
  </si>
  <si>
    <t>SOC003000 SOCIAL SCIENCE / Archaeology</t>
  </si>
  <si>
    <t>978-1-4744-2735-7</t>
  </si>
  <si>
    <t>Juvenile Justice in Victorian Scotland</t>
  </si>
  <si>
    <t>Juvenile Justice in Victorian Scotland E-BOOK</t>
  </si>
  <si>
    <t>Kelly, Christine</t>
  </si>
  <si>
    <t>978-1-4744-1322-0</t>
  </si>
  <si>
    <t>Corpus Stylistics</t>
  </si>
  <si>
    <t>Corpus Stylistics E-BOOK</t>
  </si>
  <si>
    <t>McIntyre, Dan / Walker, Brian</t>
  </si>
  <si>
    <t>978-0-585-06082-8</t>
  </si>
  <si>
    <t>Lost Kingdoms</t>
  </si>
  <si>
    <t>Celtic Scotland and the Middle Ages</t>
  </si>
  <si>
    <t>Lost Kingdoms E-BOOK</t>
  </si>
  <si>
    <t>Roberts, John L</t>
  </si>
  <si>
    <t>978-1-4744-8640-8</t>
  </si>
  <si>
    <t>Iranian Literature after the Islamic Revolution</t>
  </si>
  <si>
    <t>Production and Circulation in Iran and the World</t>
  </si>
  <si>
    <t>Iranian Literature after the Islamic Revolution E-BOOK</t>
  </si>
  <si>
    <t xml:space="preserve">Nanquette, Laetitia </t>
  </si>
  <si>
    <t>978-0-7486-4754-5</t>
  </si>
  <si>
    <t>Sovereignty After Empire</t>
  </si>
  <si>
    <t>Comparing the Middle East and Central Asia</t>
  </si>
  <si>
    <t>Sovereignty After Empire E-BOOK</t>
  </si>
  <si>
    <t>Cummings, Sally N. / Hinnebusch, Raymond</t>
  </si>
  <si>
    <t>HIS003000 HISTORY / Asia / General</t>
  </si>
  <si>
    <t>978-1-4744-7343-9</t>
  </si>
  <si>
    <t>The Poetry of Scotland</t>
  </si>
  <si>
    <t>Gaelic, Scots &amp; English 1380–1980</t>
  </si>
  <si>
    <t>The Poetry of Scotland E-BOOK</t>
  </si>
  <si>
    <t>Watson, Roderick</t>
  </si>
  <si>
    <t>POE001000 POETRY / Anthologies (multiple authors)</t>
  </si>
  <si>
    <t>978-1-4744-5311-0</t>
  </si>
  <si>
    <t>Restitution and the Politics of Repair</t>
  </si>
  <si>
    <t>Tropes, Imaginaries, Theory</t>
  </si>
  <si>
    <t>Restitution and the Politics of Repair E-BOOK</t>
  </si>
  <si>
    <t>Zolkos, Magdalena</t>
  </si>
  <si>
    <t>978-0-7486-4232-8</t>
  </si>
  <si>
    <t>The Correspondence Between Hugh MacDiarmid and Sorley MacLean</t>
  </si>
  <si>
    <t>An Annotated Edition</t>
  </si>
  <si>
    <t>The Correspondence Between Hugh MacDiarmid and Sorley E-BOOK</t>
  </si>
  <si>
    <t>Wilson, Susan</t>
  </si>
  <si>
    <t>978-0-7486-3551-1</t>
  </si>
  <si>
    <t>Understanding Pragmatic Markers</t>
  </si>
  <si>
    <t>A Variational Pragmatic Approach</t>
  </si>
  <si>
    <t>Understanding Pragmatic Markers E-BOOK</t>
  </si>
  <si>
    <t>Aijmer, Karin</t>
  </si>
  <si>
    <t>978-0-7486-4734-7</t>
  </si>
  <si>
    <t>Modernism, Internationalism and the Russian Revolution</t>
  </si>
  <si>
    <t>Modernism, Internationalism and the Russian Revolutio E-BOOK</t>
  </si>
  <si>
    <t>Ayers, David</t>
  </si>
  <si>
    <t>LIT004240 LITERARY CRITICISM / Russian &amp; Former Soviet Union</t>
  </si>
  <si>
    <t>978-0-7486-8754-1</t>
  </si>
  <si>
    <t>Early Modern English</t>
  </si>
  <si>
    <t>Early Modern English E-BOOK</t>
  </si>
  <si>
    <t>Barber, Charles</t>
  </si>
  <si>
    <t>978-1-4744-7134-3</t>
  </si>
  <si>
    <t>R L Stevenson on Fiction</t>
  </si>
  <si>
    <t>An Anthology of Literary and Critical Essays</t>
  </si>
  <si>
    <t>R L Stevenson on Fiction E-BOOK</t>
  </si>
  <si>
    <t>Norquay, Glenda</t>
  </si>
  <si>
    <t>978-1-4744-7950-9</t>
  </si>
  <si>
    <t>Arab Animation</t>
  </si>
  <si>
    <t>Images of Identity</t>
  </si>
  <si>
    <t>Arab Animation E-BOOK</t>
  </si>
  <si>
    <t>Sayfo, Omar</t>
  </si>
  <si>
    <t>978-0-7486-3543-6</t>
  </si>
  <si>
    <t>Scotland and the Union 1707-2007</t>
  </si>
  <si>
    <t>Scotland and the Union 1707-2007 E-BOOK</t>
  </si>
  <si>
    <t>Devine, Tom M.</t>
  </si>
  <si>
    <t>978-0-7486-2918-3</t>
  </si>
  <si>
    <t>Texts</t>
  </si>
  <si>
    <t>Contemporary Cultural Texts and Critical Approaches</t>
  </si>
  <si>
    <t>Texts E-BOOK</t>
  </si>
  <si>
    <t>Childs, Peter</t>
  </si>
  <si>
    <t>978-1-4744-4710-2</t>
  </si>
  <si>
    <t>Raymond Aron's Philosophy of Political Responsibility</t>
  </si>
  <si>
    <t>Freedom, Democracy and National Identity</t>
  </si>
  <si>
    <t>Raymond Aron's Philosophy of Political Responsibility E-BOOK</t>
  </si>
  <si>
    <t>Adair-Toteff, Christopher</t>
  </si>
  <si>
    <t>978-1-4744-4398-2</t>
  </si>
  <si>
    <t>Roman Law before the Twelve Tables</t>
  </si>
  <si>
    <t>An Interdisciplinary Approach</t>
  </si>
  <si>
    <t>Roman Law before the Twelve Tables E-BOOK</t>
  </si>
  <si>
    <t>Bell, Sinclair W. / du Plessis, Paul J.</t>
  </si>
  <si>
    <t>978-1-4744-7064-3</t>
  </si>
  <si>
    <t>The Rise of Colleges</t>
  </si>
  <si>
    <t>The Rise of Colleges E-BOOK</t>
  </si>
  <si>
    <t>Makdisi, George</t>
  </si>
  <si>
    <t>REL037010 RELIGION / Islam / History</t>
  </si>
  <si>
    <t>978-1-4744-5284-7</t>
  </si>
  <si>
    <t>Spinsters, Widows and Chars</t>
  </si>
  <si>
    <t>The Ageing Woman in British Film</t>
  </si>
  <si>
    <t>Spinsters, Widows and Chars E-BOOK</t>
  </si>
  <si>
    <t>Mortimer, Claire</t>
  </si>
  <si>
    <t>978-1-4744-6749-0</t>
  </si>
  <si>
    <t>Muslim Preaching in the Middle East and Beyond</t>
  </si>
  <si>
    <t>Historical and Contemporary Case Studies</t>
  </si>
  <si>
    <t>Muslim Preaching in the Middle East and Beyond E-BOOK</t>
  </si>
  <si>
    <t>Stjernholm, Simon / Özdalga, Elisabeth</t>
  </si>
  <si>
    <t>Religious Life</t>
  </si>
  <si>
    <t>REL037030 RELIGION / Islam / Rituals &amp; Practice</t>
  </si>
  <si>
    <t>978-0-7486-8098-6</t>
  </si>
  <si>
    <t>Derrida and Other Animals</t>
  </si>
  <si>
    <t>The Boundaries of the Human</t>
  </si>
  <si>
    <t>Derrida and Other Animals E-BOOK</t>
  </si>
  <si>
    <t>978-1-4744-8611-8</t>
  </si>
  <si>
    <t>Neo-Avant-Gardes</t>
  </si>
  <si>
    <t>Post-War Literary Experiments Across Borders</t>
  </si>
  <si>
    <t>Neo-Avant-Gardes E-BOOK</t>
  </si>
  <si>
    <t>Vervaeck, Bart</t>
  </si>
  <si>
    <t>EBOOK PACKAGE Architecture and Design 2021 | EBOOK PACKAGE Arts, Architecture and Design 2021 English | EBOOK PACKAGE COMPLETE 2021 | EBOOK PACKAGE COMPLETE 2021 English | Edinburgh University Press Complete eBook-Package 2021 | Universidad Santiago Chile P&amp;C 2024</t>
  </si>
  <si>
    <t>978-0-7486-8146-4</t>
  </si>
  <si>
    <t>Katherine Mansfield - The Early Years</t>
  </si>
  <si>
    <t>Katherine Mansfield - The Early Years E-BOOK</t>
  </si>
  <si>
    <t>Kimber, Gerri</t>
  </si>
  <si>
    <t>Edinburgh University Press Complete eBook-Package 2016 | U Chicago P&amp;C UPL Single Titles 2024</t>
  </si>
  <si>
    <t>978-0-7486-7600-2</t>
  </si>
  <si>
    <t>A History of Military Occupation from 1792 to 1914</t>
  </si>
  <si>
    <t>A History of Military Occupation from 1792 to 1914 E-BOOK</t>
  </si>
  <si>
    <t>Stirk, Peter M. R.</t>
  </si>
  <si>
    <t>HIS027000 HISTORY / Military / General</t>
  </si>
  <si>
    <t>978-1-4744-0429-7</t>
  </si>
  <si>
    <t>The Political Philosophy of Niccolò Machiavelli</t>
  </si>
  <si>
    <t>The Political Philosophy of Niccolò Machiavelli E-BOOK</t>
  </si>
  <si>
    <t>Del Lucchese, Filippo</t>
  </si>
  <si>
    <t>PHI009000 PHILOSOPHY / History &amp; Surveys / General</t>
  </si>
  <si>
    <t>978-0-7486-8133-4</t>
  </si>
  <si>
    <t>Letter Writing Among Poets</t>
  </si>
  <si>
    <t>From William Wordsworth to Elizabeth Bishop</t>
  </si>
  <si>
    <t>Letter Writing Among Poets E-BOOK</t>
  </si>
  <si>
    <t>Ellis, Jonathan</t>
  </si>
  <si>
    <t>978-1-4744-7146-6</t>
  </si>
  <si>
    <t>Contemporary Cinema</t>
  </si>
  <si>
    <t>Contemporary Cinema E-BOOK</t>
  </si>
  <si>
    <t>Orr, John</t>
  </si>
  <si>
    <t>978-1-4744-6697-4</t>
  </si>
  <si>
    <t>New Blood in Contemporary Cinema</t>
  </si>
  <si>
    <t>Women Directors and the Poetics of Horror</t>
  </si>
  <si>
    <t>New Blood in Contemporary Cinema E-BOOK</t>
  </si>
  <si>
    <t>Pisters, Patricia</t>
  </si>
  <si>
    <t>978-1-4744-8359-9</t>
  </si>
  <si>
    <t>Ethics of Drone Strikes</t>
  </si>
  <si>
    <t>Restraining Remote-Control Killing</t>
  </si>
  <si>
    <t>Ethics of Drone Strikes E-BOOK</t>
  </si>
  <si>
    <t>Enemark, Christian</t>
  </si>
  <si>
    <t>EBOOK PACKAGE COMPLETE 2022 | EBOOK PACKAGE COMPLETE 2022 English | EBOOK PACKAGE Law 2022 | EBOOK PACKAGE Law 2022 English | Edinburgh University Press Complete eBook-Package 2021 | Pick and Choose Law eBook Package BU 2022 | Pick and Choose eBook Package Cornell Eng Law 2000-2021 | UCB LAW SCHOOL Pick &amp; Choose 2022 | Yale P&amp;C Law Package 2023</t>
  </si>
  <si>
    <t>978-0-7486-3243-5</t>
  </si>
  <si>
    <t>Stalinist Cinema and the Production of History</t>
  </si>
  <si>
    <t>Museum of the Revolution</t>
  </si>
  <si>
    <t>Stalinist Cinema and the Production of History E-BOOK</t>
  </si>
  <si>
    <t>Dobrenko, Evgeny</t>
  </si>
  <si>
    <t>978-1-4744-1661-0</t>
  </si>
  <si>
    <t>Enlightenment in a Smart City</t>
  </si>
  <si>
    <t>Edinburgh's Civic Development, 1660-1750</t>
  </si>
  <si>
    <t>Enlightenment in a Smart City E-BOOK</t>
  </si>
  <si>
    <t>Pittock, Murray</t>
  </si>
  <si>
    <t>978-1-4744-2074-7</t>
  </si>
  <si>
    <t>British Women Amateur Filmmakers</t>
  </si>
  <si>
    <t>National Memories and Global Identities</t>
  </si>
  <si>
    <t>British Women Amateur Filmmakers E-BOOK</t>
  </si>
  <si>
    <t>Motrescu-Mayes, Annamaria / Norris Nicholson, Heather</t>
  </si>
  <si>
    <t>978-1-4744-3444-7</t>
  </si>
  <si>
    <t>Denying the Spoils of War</t>
  </si>
  <si>
    <t>The Politics of Invasion and Non-recognition</t>
  </si>
  <si>
    <t>Denying the Spoils of War E-BOOK</t>
  </si>
  <si>
    <t>O'Mahoney, Joseph</t>
  </si>
  <si>
    <t>Edinburgh University Press Complete eBook-Package 2018 | Pick and Choose Law eBook Package BU 2022 | Pick and Choose eBook Package Cornell Eng Law 2000-2021 | UCB LAW SCHOOL Pick &amp; Choose 2022 | WUSTL 2022 Part 2 Law P&amp;C eBook Package | Yale P&amp;C Law Package 2023</t>
  </si>
  <si>
    <t>978-0-7486-8351-2</t>
  </si>
  <si>
    <t>Kathy Acker</t>
  </si>
  <si>
    <t>Writing the Impossible</t>
  </si>
  <si>
    <t>Kathy Acker E-BOOK</t>
  </si>
  <si>
    <t>978-1-4744-7204-3</t>
  </si>
  <si>
    <t>Scotland</t>
  </si>
  <si>
    <t>Archaeology and Early History: A General Introduction</t>
  </si>
  <si>
    <t>Scotland E-BOOK</t>
  </si>
  <si>
    <t>Ritchie, Anna / Ritchie, J N Graham</t>
  </si>
  <si>
    <t>978-0-7486-3161-2</t>
  </si>
  <si>
    <t>Modernist Literature</t>
  </si>
  <si>
    <t>Modernist Literature E-BOOK</t>
  </si>
  <si>
    <t>Gillies, Mary Ann / Mahood, Aurelea</t>
  </si>
  <si>
    <t>978-1-4744-5736-1</t>
  </si>
  <si>
    <t>Arabic Sociolinguistics</t>
  </si>
  <si>
    <t>Arabic Sociolinguistics E-BOOK</t>
  </si>
  <si>
    <t>Bassiouney, Reem</t>
  </si>
  <si>
    <t>Sociolinguistics</t>
  </si>
  <si>
    <t>LAN009050 LANGUAGE ARTS &amp; DISCIPLINES / Linguistics / Sociolinguistics</t>
  </si>
  <si>
    <t>weltweit</t>
  </si>
  <si>
    <t>978-0-7486-7260-8</t>
  </si>
  <si>
    <t>Modernist Avant-Garde Aesthetics and Contemporary Military Technology</t>
  </si>
  <si>
    <t>Technicities of Perception</t>
  </si>
  <si>
    <t>Modernist Avant-Garde Aesthetics and Contemporary Mil E-BOOK</t>
  </si>
  <si>
    <t>Bishop, Ryan / Phillips, John</t>
  </si>
  <si>
    <t>978-0-7486-7891-4</t>
  </si>
  <si>
    <t>Reflections on the Astronomy of Glasgow</t>
  </si>
  <si>
    <t>A story of some 500 years</t>
  </si>
  <si>
    <t>Reflections on the Astronomy of Glasgow E-BOOK</t>
  </si>
  <si>
    <t>Clarke, David</t>
  </si>
  <si>
    <t>978-1-4744-3811-7</t>
  </si>
  <si>
    <t>Gertrude Stein's Transmasculinity</t>
  </si>
  <si>
    <t>Gertrude Stein's Transmasculinity E-BOOK</t>
  </si>
  <si>
    <t>Coffman, Chris</t>
  </si>
  <si>
    <t>978-0-7486-4226-7</t>
  </si>
  <si>
    <t>Ibn Khaldun</t>
  </si>
  <si>
    <t>Life and Times</t>
  </si>
  <si>
    <t>Ibn Khaldun E-BOOK</t>
  </si>
  <si>
    <t>978-1-4744-0255-2</t>
  </si>
  <si>
    <t>Artmachines</t>
  </si>
  <si>
    <t>Deleuze, Guattari, Simondon</t>
  </si>
  <si>
    <t>Artmachines E-BOOK</t>
  </si>
  <si>
    <t>Holland, Eugene W. / Sauvagnargues, Anne / Verderber, Suzanne</t>
  </si>
  <si>
    <t>978-1-4744-6942-5</t>
  </si>
  <si>
    <t>Cold War US Foreign Policy</t>
  </si>
  <si>
    <t>Key Perspectives</t>
  </si>
  <si>
    <t>Cold War US Foreign Policy E-BOOK</t>
  </si>
  <si>
    <t>Hurst, Steven</t>
  </si>
  <si>
    <t>978-1-4744-7259-3</t>
  </si>
  <si>
    <t>Post-Marxism</t>
  </si>
  <si>
    <t>Post-Marxism E-BOOK</t>
  </si>
  <si>
    <t>978-1-4744-7045-2</t>
  </si>
  <si>
    <t>Arabic Grammar</t>
  </si>
  <si>
    <t>A Reference Guide</t>
  </si>
  <si>
    <t>Arabic Grammar E-BOOK</t>
  </si>
  <si>
    <t>Mace, John</t>
  </si>
  <si>
    <t>978-0-7486-2685-4</t>
  </si>
  <si>
    <t>The Myth of Evil</t>
  </si>
  <si>
    <t>The Myth of Evil E-BOOK</t>
  </si>
  <si>
    <t>Cole, Phillip</t>
  </si>
  <si>
    <t>978-1-4744-0917-9</t>
  </si>
  <si>
    <t>Islamic Arts and Crafts</t>
  </si>
  <si>
    <t>Islamic Arts and Crafts E-BOOK</t>
  </si>
  <si>
    <t>Milwright, Marcus</t>
  </si>
  <si>
    <t>ART000000 ART / General</t>
  </si>
  <si>
    <t>978-1-4744-6803-9</t>
  </si>
  <si>
    <t>Asian Cinemas</t>
  </si>
  <si>
    <t>Asian Cinemas E-BOOK</t>
  </si>
  <si>
    <t>Eleftheriotis, Dimitris / Needham, Gary</t>
  </si>
  <si>
    <t>978-1-4744-3668-7</t>
  </si>
  <si>
    <t>Joe Brainard’s Art</t>
  </si>
  <si>
    <t>Joe Brainard’s Art E-BOOK</t>
  </si>
  <si>
    <t>Shamma, Yasmine</t>
  </si>
  <si>
    <t>ART015020 ART / American / General</t>
  </si>
  <si>
    <t>Edinburgh University Press Complete eBook-Package 2019 | Universidad Santiago Chile P&amp;C 2024</t>
  </si>
  <si>
    <t>978-1-4744-5461-2</t>
  </si>
  <si>
    <t>Scottish Literature and World War I</t>
  </si>
  <si>
    <t>Scottish Literature and World War I E-BOOK</t>
  </si>
  <si>
    <t>Rennie, David A.</t>
  </si>
  <si>
    <t>978-1-4744-7217-3</t>
  </si>
  <si>
    <t>The American Presidents</t>
  </si>
  <si>
    <t>Heroic Leadership from Kennedy to Clinton</t>
  </si>
  <si>
    <t>The American Presidents E-BOOK</t>
  </si>
  <si>
    <t>Roper, Jon</t>
  </si>
  <si>
    <t>978-0-7486-6927-1</t>
  </si>
  <si>
    <t>Reading the Absurd</t>
  </si>
  <si>
    <t>Reading the Absurd E-BOOK</t>
  </si>
  <si>
    <t>978-1-4744-7203-6</t>
  </si>
  <si>
    <t>The Philosophy of Music</t>
  </si>
  <si>
    <t>Theme and Variations</t>
  </si>
  <si>
    <t>The Philosophy of Music E-BOOK</t>
  </si>
  <si>
    <t>Ridley, Aaron</t>
  </si>
  <si>
    <t>978-0-585-19725-8</t>
  </si>
  <si>
    <t>Religion and Magic</t>
  </si>
  <si>
    <t>Religion and Magic E-BOOK</t>
  </si>
  <si>
    <t>Cunningham, Graham</t>
  </si>
  <si>
    <t>978-1-4744-5564-0</t>
  </si>
  <si>
    <t>Ruth Davidson's Conservatives</t>
  </si>
  <si>
    <t>The Scottish Tory Party, 2011-19</t>
  </si>
  <si>
    <t>Ruth Davidson's Conservatives E-BOOK</t>
  </si>
  <si>
    <t>POL008000 POLITICAL SCIENCE / Political Process / Campaigns &amp; Elections</t>
  </si>
  <si>
    <t>978-1-4744-4776-8</t>
  </si>
  <si>
    <t>The Ethics of Political Resistance</t>
  </si>
  <si>
    <t>Althusser, Badiou, Deleuze</t>
  </si>
  <si>
    <t>The Ethics of Political Resistance E-BOOK</t>
  </si>
  <si>
    <t>Henry, Chris</t>
  </si>
  <si>
    <t>978-0-7486-9921-6</t>
  </si>
  <si>
    <t>Religion and Society in Scotland since 1707</t>
  </si>
  <si>
    <t>Religion and Society in Scotland since 1707 E-BOOK</t>
  </si>
  <si>
    <t>Brown, Callum</t>
  </si>
  <si>
    <t>SOC039000 SOCIAL SCIENCE / Sociology of Religion</t>
  </si>
  <si>
    <t>978-1-4744-7250-0</t>
  </si>
  <si>
    <t>Comparative Criticism</t>
  </si>
  <si>
    <t>Lives of the Disciplines: comparative biography. Volume 25</t>
  </si>
  <si>
    <t>Comparative Criticism E-BOOK</t>
  </si>
  <si>
    <t>Shaffer, Elinor</t>
  </si>
  <si>
    <t>978-1-4744-6738-4</t>
  </si>
  <si>
    <t>Henrietta Liston's Travels</t>
  </si>
  <si>
    <t>The Turkish Journals, 1812-1820</t>
  </si>
  <si>
    <t>Henrietta Liston's Travels E-BOOK</t>
  </si>
  <si>
    <t xml:space="preserve">Mercan, F. Özden / Petherbridge, Dora </t>
  </si>
  <si>
    <t>Early Modern History</t>
  </si>
  <si>
    <t>HIS037050 HISTORY / Modern / 18th Century</t>
  </si>
  <si>
    <t>978-1-4744-5200-7</t>
  </si>
  <si>
    <t>Robert Louis Stevenson and the Art of Collaboration</t>
  </si>
  <si>
    <t>Robert Louis Stevenson and the Art of Collaboration E-BOOK</t>
  </si>
  <si>
    <t>Murfin, Audrey</t>
  </si>
  <si>
    <t>978-0-7486-2679-3</t>
  </si>
  <si>
    <t>Modern European Criticism and Theory</t>
  </si>
  <si>
    <t>A Critical Guide</t>
  </si>
  <si>
    <t>Modern European Criticism and Theory E-BOOK</t>
  </si>
  <si>
    <t>978-1-4744-7973-8</t>
  </si>
  <si>
    <t>Living with Shakespeare</t>
  </si>
  <si>
    <t>Saint Helen's Parish, London, 1593-1598</t>
  </si>
  <si>
    <t>Living with Shakespeare E-BOOK</t>
  </si>
  <si>
    <t>Marsh, Geoffrey</t>
  </si>
  <si>
    <t>Periods</t>
  </si>
  <si>
    <t>16th-17th Century</t>
  </si>
  <si>
    <t>ART015080 ART / History / Renaissance</t>
  </si>
  <si>
    <t>978-1-4744-7168-8</t>
  </si>
  <si>
    <t>The Myth of the Jacobite Clans</t>
  </si>
  <si>
    <t>The Jacobite Army in 1745</t>
  </si>
  <si>
    <t>The Myth of the Jacobite Clans E-BOOK</t>
  </si>
  <si>
    <t>978-0-7486-7386-5</t>
  </si>
  <si>
    <t>The Social Theory of the Scottish Enlightenment</t>
  </si>
  <si>
    <t>The Social Theory of the Scottish Enlightenment E-BOOK</t>
  </si>
  <si>
    <t>Berry, Christopher</t>
  </si>
  <si>
    <t>978-1-4744-0022-0</t>
  </si>
  <si>
    <t>The Edinburgh Critical Edition of the Selected Writings of Andrew Lang, Volume 1</t>
  </si>
  <si>
    <t>Anthropology, Fairy Tale, Folklore, The Origins of Religion, Psychical Research</t>
  </si>
  <si>
    <t>The Edinburgh Critical Edition of the Selected Writin E-BOOK</t>
  </si>
  <si>
    <t>Wilson, Leigh</t>
  </si>
  <si>
    <t>978-0-585-44188-7</t>
  </si>
  <si>
    <t>Postmodern Media Culture</t>
  </si>
  <si>
    <t>Postmodern Media Culture E-BOOK</t>
  </si>
  <si>
    <t>Bignell, Jonathan</t>
  </si>
  <si>
    <t>ART017000 ART / Mixed Media</t>
  </si>
  <si>
    <t>978-1-4744-0824-0</t>
  </si>
  <si>
    <t>Philosophising by Accident</t>
  </si>
  <si>
    <t>Interviews with Elie During</t>
  </si>
  <si>
    <t>Philosophising by Accident E-BOOK</t>
  </si>
  <si>
    <t>Stiegler, Bernard / Dillet, Benoît</t>
  </si>
  <si>
    <t>978-1-4744-6953-1</t>
  </si>
  <si>
    <t>Whaleback City</t>
  </si>
  <si>
    <t>Poems from Dundee and its Hinterlands</t>
  </si>
  <si>
    <t>Whaleback City E-BOOK</t>
  </si>
  <si>
    <t>Jackson, Andy / Herbert, Bill</t>
  </si>
  <si>
    <t>978-1-4744-2340-3</t>
  </si>
  <si>
    <t>Women in Mongol Iran</t>
  </si>
  <si>
    <t>The Khatuns, 1206-1335</t>
  </si>
  <si>
    <t>Women in Mongol Iran E-BOOK</t>
  </si>
  <si>
    <t>Nicola, Bruno de</t>
  </si>
  <si>
    <t>978-1-4744-6701-8</t>
  </si>
  <si>
    <t>The Corpus Phonology of English</t>
  </si>
  <si>
    <t>Multifocal Analyses of Variation</t>
  </si>
  <si>
    <t>The Corpus Phonology of English E-BOOK</t>
  </si>
  <si>
    <t xml:space="preserve">Navarro, Sylvain  / Przewozny, Anne / Viollain, Cécile </t>
  </si>
  <si>
    <t>978-1-4744-6807-7</t>
  </si>
  <si>
    <t>How to Read the Qur'an</t>
  </si>
  <si>
    <t>A New Guide, with Select Translations</t>
  </si>
  <si>
    <t>How to Read the Qur'an E-BOOK</t>
  </si>
  <si>
    <t>Ernst, Carl W.</t>
  </si>
  <si>
    <t>978-0-7486-4453-7</t>
  </si>
  <si>
    <t>European Multiculturalisms</t>
  </si>
  <si>
    <t>Cultural, Religious and Ethnic Challenges</t>
  </si>
  <si>
    <t>European Multiculturalisms E-BOOK</t>
  </si>
  <si>
    <t>Meer, Nasar / Triandafyllidou, Anna / Modood, Tariq</t>
  </si>
  <si>
    <t>978-0-7486-4095-9</t>
  </si>
  <si>
    <t>Race in Modern Irish Literature and Culture</t>
  </si>
  <si>
    <t>Race in Modern Irish Literature and Culture E-BOOK</t>
  </si>
  <si>
    <t>Brannigan, John</t>
  </si>
  <si>
    <t>978-0-7486-3352-4</t>
  </si>
  <si>
    <t>Language, Meaning and the Law</t>
  </si>
  <si>
    <t>Language, Meaning and the Law E-BOOK</t>
  </si>
  <si>
    <t>Hutton, Christopher</t>
  </si>
  <si>
    <t>978-1-4744-6965-4</t>
  </si>
  <si>
    <t>Social Theory</t>
  </si>
  <si>
    <t>Social Theory E-BOOK</t>
  </si>
  <si>
    <t>Joseph, Jonathan</t>
  </si>
  <si>
    <t>Edinburgh University Press Backlist eBook-Package 2013-2000 | MUN EBA Selections 2023 | U Chicago P&amp;C UPL Single Titles 2024</t>
  </si>
  <si>
    <t>978-0-7486-3134-6</t>
  </si>
  <si>
    <t>Sufism and Theology</t>
  </si>
  <si>
    <t>Sufism and Theology E-BOOK</t>
  </si>
  <si>
    <t>Shihadeh, Ayman</t>
  </si>
  <si>
    <t>978-0-7486-9942-1</t>
  </si>
  <si>
    <t>A Guide to the Adult Support and Protection (Scotland) Act 2007</t>
  </si>
  <si>
    <t>A Guide to the Adult Support and Protection (Scotland E-BOOK</t>
  </si>
  <si>
    <t>Calder, Bert</t>
  </si>
  <si>
    <t>978-1-4744-6862-6</t>
  </si>
  <si>
    <t>Vikings in Scotland</t>
  </si>
  <si>
    <t>An Archaeological Survey</t>
  </si>
  <si>
    <t>Vikings in Scotland E-BOOK</t>
  </si>
  <si>
    <t>Graham-Campbell, James</t>
  </si>
  <si>
    <t>978-1-4744-5094-2</t>
  </si>
  <si>
    <t>Security as Politics</t>
  </si>
  <si>
    <t>Beyond the State of Exception</t>
  </si>
  <si>
    <t>Security as Politics E-BOOK</t>
  </si>
  <si>
    <t>Neal, Andrew W.</t>
  </si>
  <si>
    <t>978-0-7486-3164-3</t>
  </si>
  <si>
    <t>The United States and Iraq since 1979</t>
  </si>
  <si>
    <t>Hegemony, Oil and War</t>
  </si>
  <si>
    <t>The United States and Iraq since 1979 E-BOOK</t>
  </si>
  <si>
    <t>HIS000000 HISTORY / General</t>
  </si>
  <si>
    <t>978-0-7486-3788-1</t>
  </si>
  <si>
    <t>Virginia Woolf and Classical Music</t>
  </si>
  <si>
    <t>Politics, Aesthetics, Form</t>
  </si>
  <si>
    <t>Virginia Woolf and Classical Music E-BOOK</t>
  </si>
  <si>
    <t>Sutton, Emma</t>
  </si>
  <si>
    <t>978-0-7486-9394-8</t>
  </si>
  <si>
    <t>Virginia Woolf</t>
  </si>
  <si>
    <t>Twenty-First-Century Approaches</t>
  </si>
  <si>
    <t>Virginia Woolf E-BOOK</t>
  </si>
  <si>
    <t>Simpson, Kathryn</t>
  </si>
  <si>
    <t>978-0-7486-9326-9</t>
  </si>
  <si>
    <t>Modernism and Affect</t>
  </si>
  <si>
    <t>Modernism and Affect E-BOOK</t>
  </si>
  <si>
    <t>Taylor, Julie</t>
  </si>
  <si>
    <t>978-0-7486-2994-7</t>
  </si>
  <si>
    <t>European Cinemas in the Television Age</t>
  </si>
  <si>
    <t>European Cinemas in the Television Age E-BOOK</t>
  </si>
  <si>
    <t>Ostrowska, Dorota / Roberts, Graham</t>
  </si>
  <si>
    <t>978-1-4744-7808-3</t>
  </si>
  <si>
    <t>US Intelligence and Al Qaeda</t>
  </si>
  <si>
    <t>Analysis by Contrasting Narratives</t>
  </si>
  <si>
    <t>US Intelligence and Al Qaeda E-BOOK</t>
  </si>
  <si>
    <t>de Werd, Peter</t>
  </si>
  <si>
    <t>978-1-4744-4810-9</t>
  </si>
  <si>
    <t>Renaissance Personhood</t>
  </si>
  <si>
    <t>Materiality, Taxonomy, Process</t>
  </si>
  <si>
    <t>Renaissance Personhood E-BOOK</t>
  </si>
  <si>
    <t>Curran, Kevin</t>
  </si>
  <si>
    <t>LIT015000 LITERARY CRITICISM / Shakespeare</t>
  </si>
  <si>
    <t>978-0-7486-7785-6</t>
  </si>
  <si>
    <t>Far-Flung Families in Film</t>
  </si>
  <si>
    <t>The Diasporic Family in Contemporary European Cinema</t>
  </si>
  <si>
    <t>Far-Flung Families in Film E-BOOK</t>
  </si>
  <si>
    <t>Berghahn, Daniela</t>
  </si>
  <si>
    <t>978-1-4744-5866-5</t>
  </si>
  <si>
    <t>Elizabeth Bowen</t>
  </si>
  <si>
    <t>Theory, Thought and Things</t>
  </si>
  <si>
    <t>Elizabeth Bowen E-BOOK</t>
  </si>
  <si>
    <t xml:space="preserve">Gildersleeve, Jessica / Smith, Patricia Juliana </t>
  </si>
  <si>
    <t>978-0-7486-4167-3</t>
  </si>
  <si>
    <t>Culture and Power in Cultural Studies</t>
  </si>
  <si>
    <t>The Politics of Signification</t>
  </si>
  <si>
    <t>Culture and Power in Cultural Studies E-BOOK</t>
  </si>
  <si>
    <t>Storey, John</t>
  </si>
  <si>
    <t>978-1-4744-1815-7</t>
  </si>
  <si>
    <t>The Literary Politics of Scottish Devolution</t>
  </si>
  <si>
    <t>Voice, Class, Nation</t>
  </si>
  <si>
    <t>The Literary Politics of Scottish Devolution E-BOOK</t>
  </si>
  <si>
    <t>Hames, Scott</t>
  </si>
  <si>
    <t>978-1-4744-0115-9</t>
  </si>
  <si>
    <t>The Politics of Slavery</t>
  </si>
  <si>
    <t>The Politics of Slavery E-BOOK</t>
  </si>
  <si>
    <t>978-1-4744-6075-0</t>
  </si>
  <si>
    <t>Bayana</t>
  </si>
  <si>
    <t>The Sources of Mughal Architecture</t>
  </si>
  <si>
    <t>Bayana E-BOOK</t>
  </si>
  <si>
    <t>Shokoohy, Natalie H. / Shokoohy, Mehrdad</t>
  </si>
  <si>
    <t>ARC005030 ARCHITECTURE / History / Medieval</t>
  </si>
  <si>
    <t>978-1-4744-0769-4</t>
  </si>
  <si>
    <t>Deleuze's Cinema Books</t>
  </si>
  <si>
    <t>Three Introductions to the Taxonomy of Images</t>
  </si>
  <si>
    <t>Deleuze's Cinema Books E-BOOK</t>
  </si>
  <si>
    <t>Deamer, David</t>
  </si>
  <si>
    <t>978-0-7486-3142-1</t>
  </si>
  <si>
    <t>Key Ideas in Linguistics and the Philosophy of Language</t>
  </si>
  <si>
    <t>Key Ideas in Linguistics and the Philosophy of Langua E-BOOK</t>
  </si>
  <si>
    <t>Chapman, Siobhan / Routledge, Christopher</t>
  </si>
  <si>
    <t>Levels of Linguistic Analysis</t>
  </si>
  <si>
    <t>Semantics</t>
  </si>
  <si>
    <t>LAN016000 LANGUAGE ARTS &amp; DISCIPLINES / Linguistics / Semantics</t>
  </si>
  <si>
    <t>978-1-4744-1435-7</t>
  </si>
  <si>
    <t>In the Archive of Longing</t>
  </si>
  <si>
    <t>Susan Sontag's Critical Modernism</t>
  </si>
  <si>
    <t>In the Archive of Longing E-BOOK</t>
  </si>
  <si>
    <t>Mitrano, Mena</t>
  </si>
  <si>
    <t>978-0-7486-8206-5</t>
  </si>
  <si>
    <t>Lacan Deleuze Badiou</t>
  </si>
  <si>
    <t>Lacan Deleuze Badiou E-BOOK</t>
  </si>
  <si>
    <t>Roffe, Jon / Bartlett, A. J. / Clemens, Justin</t>
  </si>
  <si>
    <t>978-1-4744-7598-3</t>
  </si>
  <si>
    <t>Muriel Spark's Early Fiction</t>
  </si>
  <si>
    <t>Literary Subversion and Experiments with Form</t>
  </si>
  <si>
    <t>Muriel Spark's Early Fiction E-BOOK</t>
  </si>
  <si>
    <t>Bailey, James</t>
  </si>
  <si>
    <t>978-0-7486-6873-1</t>
  </si>
  <si>
    <t>Gadda Goes to War</t>
  </si>
  <si>
    <t>Translational Provocations Around An Emergency</t>
  </si>
  <si>
    <t>Gadda Goes to War E-BOOK</t>
  </si>
  <si>
    <t>Pedriali, Federica</t>
  </si>
  <si>
    <t>LCO008000 LITERARY COLLECTIONS / European / General</t>
  </si>
  <si>
    <t>978-1-4744-6396-6</t>
  </si>
  <si>
    <t>The Dundee Whaling Fleet</t>
  </si>
  <si>
    <t>Ships, Masters and Men</t>
  </si>
  <si>
    <t>The Dundee Whaling Fleet E-BOOK</t>
  </si>
  <si>
    <t>Archibald, Malcolm</t>
  </si>
  <si>
    <t>978-1-4744-0687-1</t>
  </si>
  <si>
    <t>Slums on Screen</t>
  </si>
  <si>
    <t>World Cinema and the Planet of Slums</t>
  </si>
  <si>
    <t>Slums on Screen E-BOOK</t>
  </si>
  <si>
    <t>Krstić, Igor</t>
  </si>
  <si>
    <t>978-1-4744-6908-1</t>
  </si>
  <si>
    <t>The Politics of Islamic Finance</t>
  </si>
  <si>
    <t>The Politics of Islamic Finance E-BOOK</t>
  </si>
  <si>
    <t>Henry, Clement / Wilson, Rodney</t>
  </si>
  <si>
    <t>Finance</t>
  </si>
  <si>
    <t>BUS027000 BUSINESS &amp; ECONOMICS / Finance / General</t>
  </si>
  <si>
    <t>978-1-4744-6584-7</t>
  </si>
  <si>
    <t>Henry Raeburn</t>
  </si>
  <si>
    <t>Context, Reception and Reputation</t>
  </si>
  <si>
    <t>Henry Raeburn E-BOOK</t>
  </si>
  <si>
    <t>Coltman, Viccy / Lloyd, Stephen</t>
  </si>
  <si>
    <t>978-0-7486-3510-8</t>
  </si>
  <si>
    <t>Intermodernism</t>
  </si>
  <si>
    <t>Literary Culture in Mid-Twentieth-Century Britain</t>
  </si>
  <si>
    <t>Intermodernism E-BOOK</t>
  </si>
  <si>
    <t>Bluemel, Kristin</t>
  </si>
  <si>
    <t>978-1-4744-8202-8</t>
  </si>
  <si>
    <t>The Confederate Jurist</t>
  </si>
  <si>
    <t>The Legal Life of Judah P. Benjamin</t>
  </si>
  <si>
    <t>The Confederate Jurist E-BOOK</t>
  </si>
  <si>
    <t>Gilmore, William C.</t>
  </si>
  <si>
    <t>History, Philosophy and Sociology of Law</t>
  </si>
  <si>
    <t>LAW060000 LAW / Legal History</t>
  </si>
  <si>
    <t>EBOOK PACKAGE COMPLETE 2021 | EBOOK PACKAGE COMPLETE 2021 English | EBOOK PACKAGE Law 2021 | EBOOK PACKAGE Law 2021 English | Edinburgh University Press Complete eBook-Package 2021 | Pick and Choose Law eBook Package BU 2022 | Pick and Choose eBook Package Cornell Eng Law 2000-2021 | UCB LAW SCHOOL Pick &amp; Choose 2022 | Yale P&amp;C Law Package 2023</t>
  </si>
  <si>
    <t>978-0-7486-3475-0</t>
  </si>
  <si>
    <t>Scottish Modernism and its Contexts 1918-1959</t>
  </si>
  <si>
    <t>Literature, National Identity and Cultural Exchange</t>
  </si>
  <si>
    <t>Scottish Modernism and its Contexts 1918-1959 E-BOOK</t>
  </si>
  <si>
    <t>Palmer McCulloch, Margery</t>
  </si>
  <si>
    <t>978-0-7486-2956-5</t>
  </si>
  <si>
    <t>The Modern State</t>
  </si>
  <si>
    <t>Theories and Ideologies</t>
  </si>
  <si>
    <t>The Modern State E-BOOK</t>
  </si>
  <si>
    <t>McGovern, John / Cudworth, Erika / Hall, Timothy</t>
  </si>
  <si>
    <t>978-1-4744-6989-0</t>
  </si>
  <si>
    <t>Indian Philosophy</t>
  </si>
  <si>
    <t>An Introduction to Hindu and Buddhist Thought</t>
  </si>
  <si>
    <t>Indian Philosophy E-BOOK</t>
  </si>
  <si>
    <t>King, Richard</t>
  </si>
  <si>
    <t>Eastern Philosophy</t>
  </si>
  <si>
    <t>PHI003000 PHILOSOPHY / Eastern / General</t>
  </si>
  <si>
    <t>Edinburgh University Press Archive eBook-Package Pre-2000 | Western University EBA Selected eBooks 2023</t>
  </si>
  <si>
    <t>978-1-4744-1683-2</t>
  </si>
  <si>
    <t>American Independent Cinema</t>
  </si>
  <si>
    <t>Second Edition</t>
  </si>
  <si>
    <t>American Independent Cinema E-BOOK</t>
  </si>
  <si>
    <t>Tzioumakis, Yannis</t>
  </si>
  <si>
    <t>978-1-4744-7104-6</t>
  </si>
  <si>
    <t>Virginia Woolf and the Problem of the Subject</t>
  </si>
  <si>
    <t>Feminine Writing in the Major Novels</t>
  </si>
  <si>
    <t>Virginia Woolf and the Problem of the Subject E-BOOK</t>
  </si>
  <si>
    <t>Minow-Pinkney, Makiko</t>
  </si>
  <si>
    <t>978-1-4744-8149-6</t>
  </si>
  <si>
    <t>The Secret Architecture of Shakespeare's Sonnets</t>
  </si>
  <si>
    <t>The Secret Architecture of Shakespeare's Sonnets E-BOOK</t>
  </si>
  <si>
    <t>Monte, Steven</t>
  </si>
  <si>
    <t>978-1-4744-3633-5</t>
  </si>
  <si>
    <t>Greek Weird Wave</t>
  </si>
  <si>
    <t>A Cinema of Biopolitics</t>
  </si>
  <si>
    <t>Greek Weird Wave E-BOOK</t>
  </si>
  <si>
    <t>Papanikolaou, Dimitris</t>
  </si>
  <si>
    <t>978-1-4744-3241-2</t>
  </si>
  <si>
    <t>Fictioning</t>
  </si>
  <si>
    <t>The Myth-Functions of Contemporary Art and Philosophy</t>
  </si>
  <si>
    <t>Fictioning E-BOOK</t>
  </si>
  <si>
    <t>Burrows, David / O'Sullivan, Simon</t>
  </si>
  <si>
    <t>978-0-7486-4248-9</t>
  </si>
  <si>
    <t>Patterns in Child Phonology</t>
  </si>
  <si>
    <t>Patterns in Child Phonology E-BOOK</t>
  </si>
  <si>
    <t>Johnson, Wyn / Reimers, Paula</t>
  </si>
  <si>
    <t>978-1-4744-5069-0</t>
  </si>
  <si>
    <t>The Rise of Islamic Political Movements and Parties</t>
  </si>
  <si>
    <t>Morocco, Turkey and Jordan</t>
  </si>
  <si>
    <t>The Rise of Islamic Political Movements and Parties E-BOOK</t>
  </si>
  <si>
    <t>Kirdiş, Esen</t>
  </si>
  <si>
    <t>978-1-4744-7310-1</t>
  </si>
  <si>
    <t>The Parks and Gardens of Britain</t>
  </si>
  <si>
    <t>A Landscape History from the Air</t>
  </si>
  <si>
    <t>The Parks and Gardens of Britain E-BOOK</t>
  </si>
  <si>
    <t>Taylor, Christopher</t>
  </si>
  <si>
    <t>Landscape Architecture</t>
  </si>
  <si>
    <t>Gardens, Landscapes</t>
  </si>
  <si>
    <t>GAR024000 GARDENING / Trees</t>
  </si>
  <si>
    <t>978-0-7486-4959-4</t>
  </si>
  <si>
    <t>Hollywood's Indies</t>
  </si>
  <si>
    <t>Classics Divisions, Specialty Labels and American Independent Cinema</t>
  </si>
  <si>
    <t>Hollywood's Indies E-BOOK</t>
  </si>
  <si>
    <t>978-1-4744-7271-5</t>
  </si>
  <si>
    <t>Nature Contested</t>
  </si>
  <si>
    <t>Environmental History in Scotland and Northern England since 1600</t>
  </si>
  <si>
    <t>Nature Contested E-BOOK</t>
  </si>
  <si>
    <t>Ecology</t>
  </si>
  <si>
    <t>NAT010000 NATURE / Ecology</t>
  </si>
  <si>
    <t>978-1-4744-6979-1</t>
  </si>
  <si>
    <t>An Anthology of Scottish Women Poets</t>
  </si>
  <si>
    <t>An Anthology of Scottish Women Poets E-BOOK</t>
  </si>
  <si>
    <t>Kerrigan, Catherine</t>
  </si>
  <si>
    <t>978-1-4744-6560-1</t>
  </si>
  <si>
    <t>Journalism, Literature and Modernity</t>
  </si>
  <si>
    <t>From Hazlitt to Modernism</t>
  </si>
  <si>
    <t>Journalism, Literature and Modernity E-BOOK</t>
  </si>
  <si>
    <t>Campbell, Kate</t>
  </si>
  <si>
    <t>978-0-585-44185-6</t>
  </si>
  <si>
    <t>The Harvest of the Hills</t>
  </si>
  <si>
    <t>Rural Life in Northern England and the Scottish Borders</t>
  </si>
  <si>
    <t>The Harvest of the Hills E-BOOK</t>
  </si>
  <si>
    <t>Winchester, Angus J.L.</t>
  </si>
  <si>
    <t>978-1-4744-7115-2</t>
  </si>
  <si>
    <t>The Yorkshire Countryside</t>
  </si>
  <si>
    <t>A Landscape History</t>
  </si>
  <si>
    <t>The Yorkshire Countryside E-BOOK</t>
  </si>
  <si>
    <t>Muir, Richard</t>
  </si>
  <si>
    <t>978-0-7486-9355-9</t>
  </si>
  <si>
    <t>Michael Mann - Cinema and Television</t>
  </si>
  <si>
    <t>Interviews, 1980-2012</t>
  </si>
  <si>
    <t>Michael Mann - Cinema and Television E-BOOK</t>
  </si>
  <si>
    <t>Sanders, Steven / Palmer, R. Barton</t>
  </si>
  <si>
    <t>978-0-7486-4548-0</t>
  </si>
  <si>
    <t>Jet Li</t>
  </si>
  <si>
    <t>Chinese Masculinity and Transnational Film Stardom</t>
  </si>
  <si>
    <t>Jet Li E-BOOK</t>
  </si>
  <si>
    <t xml:space="preserve">Yu, Sabrina Qiong </t>
  </si>
  <si>
    <t>978-1-4744-0218-7</t>
  </si>
  <si>
    <t>Post-Liberal Peace Transitions</t>
  </si>
  <si>
    <t>Between Peace Formation and State Formation</t>
  </si>
  <si>
    <t>Post-Liberal Peace Transitions E-BOOK</t>
  </si>
  <si>
    <t>Richmond, Oliver P. / Pogodda, Sandra</t>
  </si>
  <si>
    <t>978-0-7486-8974-3</t>
  </si>
  <si>
    <t>Contemporary British Horror Cinema</t>
  </si>
  <si>
    <t>Industry, Genre and Society</t>
  </si>
  <si>
    <t>Contemporary British Horror Cinema E-BOOK</t>
  </si>
  <si>
    <t>Walker, Johnny</t>
  </si>
  <si>
    <t>978-1-4744-1357-2</t>
  </si>
  <si>
    <t>Filming the Children's Book</t>
  </si>
  <si>
    <t>Adapting Metafiction</t>
  </si>
  <si>
    <t>Filming the Children's Book E-BOOK</t>
  </si>
  <si>
    <t>Hermansson, Casie</t>
  </si>
  <si>
    <t>LIT009000 LITERARY CRITICISM / Children's &amp; Young Adult Literature</t>
  </si>
  <si>
    <t>978-0-7486-9894-3</t>
  </si>
  <si>
    <t>Reframing 1968</t>
  </si>
  <si>
    <t>American Politics, Protest and Identity</t>
  </si>
  <si>
    <t>Reframing 1968 E-BOOK</t>
  </si>
  <si>
    <t>Halliwell, Martin / Witham, Nick</t>
  </si>
  <si>
    <t>HIS029000 HISTORY / North America</t>
  </si>
  <si>
    <t>978-1-4744-2958-0</t>
  </si>
  <si>
    <t>Rethinking Whitehead’s Symbolism</t>
  </si>
  <si>
    <t>Thought, Language, Culture</t>
  </si>
  <si>
    <t>Rethinking Whitehead’s Symbolism E-BOOK</t>
  </si>
  <si>
    <t>Petek, Joseph / Faber, Roland / Bell, Jeffrey A.</t>
  </si>
  <si>
    <t>978-1-4744-9687-2</t>
  </si>
  <si>
    <t>British Government's China Policy, 1945-1950</t>
  </si>
  <si>
    <t>British Government's China Policy, 1945-1950 E-BOOK</t>
  </si>
  <si>
    <t>Feng, Zhong-ping</t>
  </si>
  <si>
    <t>HIS008000 HISTORY / Asia / China</t>
  </si>
  <si>
    <t>978-0-7486-4699-9</t>
  </si>
  <si>
    <t>Contemporary Arab Broadcast Media</t>
  </si>
  <si>
    <t>Contemporary Arab Broadcast Media E-BOOK</t>
  </si>
  <si>
    <t>PER010030 PERFORMING ARTS / Television / History &amp; Criticism</t>
  </si>
  <si>
    <t>978-1-4744-2876-7</t>
  </si>
  <si>
    <t>Popular Music Genres</t>
  </si>
  <si>
    <t>Popular Music Genres E-BOOK</t>
  </si>
  <si>
    <t>Borthwick, Stuart / Moy, Ron</t>
  </si>
  <si>
    <t>MUS029000 MUSIC / Genres &amp; Styles / Pop Vocal</t>
  </si>
  <si>
    <t>978-1-4744-7361-3</t>
  </si>
  <si>
    <t>Simply Philosophy</t>
  </si>
  <si>
    <t>Guided Readings</t>
  </si>
  <si>
    <t>Simply Philosophy E-BOOK</t>
  </si>
  <si>
    <t>978-1-4744-7144-2</t>
  </si>
  <si>
    <t>Keats</t>
  </si>
  <si>
    <t>Bicentenary Readings</t>
  </si>
  <si>
    <t>Keats E-BOOK</t>
  </si>
  <si>
    <t>O'Neill, M S C</t>
  </si>
  <si>
    <t>978-1-4744-4257-2</t>
  </si>
  <si>
    <t>Dialect Writing and the North of England</t>
  </si>
  <si>
    <t>Dialect Writing and the North of England E-BOOK</t>
  </si>
  <si>
    <t>Honeybone, Patrick / Maguire, Warren</t>
  </si>
  <si>
    <t>General Linguistics</t>
  </si>
  <si>
    <t>LAN009010 LANGUAGE ARTS &amp; DISCIPLINES / Linguistics / Historical &amp; Comparative</t>
  </si>
  <si>
    <t>978-1-4744-4896-3</t>
  </si>
  <si>
    <t>The Middle East from Empire to Sealed Identities</t>
  </si>
  <si>
    <t>The Middle East from Empire to Sealed Identities E-BOOK</t>
  </si>
  <si>
    <t>Kamel, Lorenzo</t>
  </si>
  <si>
    <t>Jewish Studies</t>
  </si>
  <si>
    <t>Jewish History</t>
  </si>
  <si>
    <t>General Jewish History</t>
  </si>
  <si>
    <t>HIS022000 HISTORY / Jewish</t>
  </si>
  <si>
    <t>978-0-7486-4695-1</t>
  </si>
  <si>
    <t>Muslim Political Participation in Europe</t>
  </si>
  <si>
    <t>Muslim Political Participation in Europe E-BOOK</t>
  </si>
  <si>
    <t>Nielsen, Jørgen S.</t>
  </si>
  <si>
    <t>978-0-7486-4676-0</t>
  </si>
  <si>
    <t>Djuna Barnes and Affective Modernism</t>
  </si>
  <si>
    <t>Djuna Barnes and Affective Modernism E-BOOK</t>
  </si>
  <si>
    <t>978-1-4744-3542-0</t>
  </si>
  <si>
    <t>Discourses of Disorder</t>
  </si>
  <si>
    <t>Riots, Strikes and Protests in the Media</t>
  </si>
  <si>
    <t>Discourses of Disorder E-BOOK</t>
  </si>
  <si>
    <t>Hart, Christopher / Kelsey, Darren</t>
  </si>
  <si>
    <t>EBA_BACKALL; EBA_CL_LS; EBA_EBACKALL; EBA_EBKALL; EBA_ECL_LS; EBA_EEBKALL; EBA_ESSHALL; EBA_EXCL; EBA_PPALL; EBA_SSHALL</t>
  </si>
  <si>
    <t>978-1-4744-7205-0</t>
  </si>
  <si>
    <t>Clan, King and Covenant</t>
  </si>
  <si>
    <t>History of the Highland Clans from the Civil War to the Glencoe Massacre</t>
  </si>
  <si>
    <t>Clan, King and Covenant E-BOOK</t>
  </si>
  <si>
    <t>978-0-7486-4612-8</t>
  </si>
  <si>
    <t>Contemporary Action Cinema</t>
  </si>
  <si>
    <t>Contemporary Action Cinema E-BOOK</t>
  </si>
  <si>
    <t>Purse, Lisa</t>
  </si>
  <si>
    <t>978-0-7486-6899-1</t>
  </si>
  <si>
    <t>Environmental Law in Scotland</t>
  </si>
  <si>
    <t>An Introduction and Guide</t>
  </si>
  <si>
    <t>Environmental Law in Scotland E-BOOK</t>
  </si>
  <si>
    <t>McManus, Francis</t>
  </si>
  <si>
    <t>LAW034000 LAW / Environmental</t>
  </si>
  <si>
    <t>978-0-7486-4526-8</t>
  </si>
  <si>
    <t>Gilbert Simondon</t>
  </si>
  <si>
    <t>Being and Technology</t>
  </si>
  <si>
    <t>Gilbert Simondon E-BOOK</t>
  </si>
  <si>
    <t>Woodward, Ashley</t>
  </si>
  <si>
    <t>Edinburgh University Press Backlist eBook-Package 2013-2000 | Western University EBA Selected eBooks 2023</t>
  </si>
  <si>
    <t>978-0-7486-8403-8</t>
  </si>
  <si>
    <t>The Return of the Epic Film</t>
  </si>
  <si>
    <t>Genre, Aesthetics and History in the 21st Century</t>
  </si>
  <si>
    <t>The Return of the Epic Film E-BOOK</t>
  </si>
  <si>
    <t>Elliott, Andrew</t>
  </si>
  <si>
    <t>978-1-4744-6964-7</t>
  </si>
  <si>
    <t>Conflict, Cohesion and Consent</t>
  </si>
  <si>
    <t>978-0-585-46801-3</t>
  </si>
  <si>
    <t>Gender and Language</t>
  </si>
  <si>
    <t>Towards a Feminist Pragmatics</t>
  </si>
  <si>
    <t>Gender and Language E-BOOK</t>
  </si>
  <si>
    <t>Christie, Christine</t>
  </si>
  <si>
    <t>978-1-4744-7142-8</t>
  </si>
  <si>
    <t>The Iconography of Islamic Art</t>
  </si>
  <si>
    <t>Studies in Honour of Robert Hillenbrand</t>
  </si>
  <si>
    <t>The Iconography of Islamic Art E-BOOK</t>
  </si>
  <si>
    <t>O'Kane, Bernard</t>
  </si>
  <si>
    <t>978-0-585-12277-9</t>
  </si>
  <si>
    <t>Women Writers of the 1930s</t>
  </si>
  <si>
    <t>Gender, Politics and History</t>
  </si>
  <si>
    <t>Women Writers of the 1930s E-BOOK</t>
  </si>
  <si>
    <t>Joannou, Mary</t>
  </si>
  <si>
    <t>978-1-4744-6540-3</t>
  </si>
  <si>
    <t>Women and Contemporary Scottish Politics</t>
  </si>
  <si>
    <t>Women and Contemporary Scottish Politics E-BOOK</t>
  </si>
  <si>
    <t>Breitenbach, Esther / Mackay, Fiona</t>
  </si>
  <si>
    <t>978-1-4744-0930-8</t>
  </si>
  <si>
    <t>The Peripatetic Frame</t>
  </si>
  <si>
    <t>Images of Walking in Film</t>
  </si>
  <si>
    <t>The Peripatetic Frame E-BOOK</t>
  </si>
  <si>
    <t>Tucker, Thomas Deane</t>
  </si>
  <si>
    <t>Genres</t>
  </si>
  <si>
    <t>Genres, other</t>
  </si>
  <si>
    <t>ART057000 ART / Film &amp; Video</t>
  </si>
  <si>
    <t>978-1-4744-3063-0</t>
  </si>
  <si>
    <t>The Press in the Middle East and North Africa, 1850-1950</t>
  </si>
  <si>
    <t>Politics, Social History and Culture</t>
  </si>
  <si>
    <t>The Press in the Middle East and North Africa, 1850-1 E-BOOK</t>
  </si>
  <si>
    <t>Gorman, Anthony / Monciaud, Didier</t>
  </si>
  <si>
    <t>978-0-7486-3546-7</t>
  </si>
  <si>
    <t>The Future of Multicultural Britain</t>
  </si>
  <si>
    <t>Confronting the Progressive Dilemma</t>
  </si>
  <si>
    <t>The Future of Multicultural Britain E-BOOK</t>
  </si>
  <si>
    <t>Pathak, Pathik</t>
  </si>
  <si>
    <t>SOC020000 SOCIAL SCIENCE / Minority Studies</t>
  </si>
  <si>
    <t>978-1-4744-2527-8</t>
  </si>
  <si>
    <t>Genre, Authorship and Contemporary Women Filmmakers</t>
  </si>
  <si>
    <t>Genre, Authorship and Contemporary Women Filmmakers E-BOOK</t>
  </si>
  <si>
    <t>Paszkiewicz, Katarzyna</t>
  </si>
  <si>
    <t>978-0-7486-4400-1</t>
  </si>
  <si>
    <t>An Introduction to Political Thought</t>
  </si>
  <si>
    <t>A Conceptual Toolkit</t>
  </si>
  <si>
    <t>An Introduction to Political Thought E-BOOK</t>
  </si>
  <si>
    <t>Roberts, Peri / Sutch, Peter</t>
  </si>
  <si>
    <t>978-1-4744-0226-2</t>
  </si>
  <si>
    <t>The Jalayirids</t>
  </si>
  <si>
    <t>Dynastic State Formation in the Mongol Middle East</t>
  </si>
  <si>
    <t>The Jalayirids E-BOOK</t>
  </si>
  <si>
    <t>Wing, Patrick</t>
  </si>
  <si>
    <t>978-1-4744-7074-2</t>
  </si>
  <si>
    <t>Thomas Aquinas</t>
  </si>
  <si>
    <t>God and Explanations</t>
  </si>
  <si>
    <t>Thomas Aquinas E-BOOK</t>
  </si>
  <si>
    <t>Martin, Christopher</t>
  </si>
  <si>
    <t>Medieval Philosophy</t>
  </si>
  <si>
    <t>PHI012000 PHILOSOPHY / History &amp; Surveys / Medieval</t>
  </si>
  <si>
    <t>978-1-4744-6776-6</t>
  </si>
  <si>
    <t>Film Noir and the Cinema of Paranoia</t>
  </si>
  <si>
    <t>Film Noir and the Cinema of Paranoia E-BOOK</t>
  </si>
  <si>
    <t>Dixon, Wheeler Winston</t>
  </si>
  <si>
    <t>978-0-7486-3025-7</t>
  </si>
  <si>
    <t>Islam, Christianity and Tradition</t>
  </si>
  <si>
    <t>A Comparative Exploration</t>
  </si>
  <si>
    <t>Islam, Christianity and Tradition E-BOOK</t>
  </si>
  <si>
    <t>Netton, Ian Richard</t>
  </si>
  <si>
    <t>978-0-7486-3231-2</t>
  </si>
  <si>
    <t>Women's Rights as Multicultural Claims</t>
  </si>
  <si>
    <t>Reconfiguring Gender and Diversity in Political Philosophy</t>
  </si>
  <si>
    <t>Women's Rights as Multicultural Claims E-BOOK</t>
  </si>
  <si>
    <t>Mookherjee, Monica</t>
  </si>
  <si>
    <t>978-1-4744-4744-7</t>
  </si>
  <si>
    <t>The Prehistory of Private Property</t>
  </si>
  <si>
    <t>Implications for Modern Political Theory</t>
  </si>
  <si>
    <t>The Prehistory of Private Property E-BOOK</t>
  </si>
  <si>
    <t>Widerquist, Karl / McCall, Grant</t>
  </si>
  <si>
    <t>POL002000 POLITICAL SCIENCE / Public Policy / City Planning &amp; Urban Development</t>
  </si>
  <si>
    <t>978-0-7486-3187-2</t>
  </si>
  <si>
    <t>Christmas, Ideology and Popular Culture</t>
  </si>
  <si>
    <t>Christmas, Ideology and Popular Culture E-BOOK</t>
  </si>
  <si>
    <t>Whiteley, Sheila</t>
  </si>
  <si>
    <t>978-1-4744-2545-2</t>
  </si>
  <si>
    <t>The Practical Turn in Political Theory</t>
  </si>
  <si>
    <t>The Practical Turn in Political Theory E-BOOK</t>
  </si>
  <si>
    <t>Erman, Eva / Möller, Niklas</t>
  </si>
  <si>
    <t>978-1-4744-0985-8</t>
  </si>
  <si>
    <t>Psychoanalysis and the Love of Arabic</t>
  </si>
  <si>
    <t>Hall of Mirrors</t>
  </si>
  <si>
    <t>Psychoanalysis and the Love of Arabic E-BOOK</t>
  </si>
  <si>
    <t>Bou Ali, Nadia</t>
  </si>
  <si>
    <t>978-1-4744-2630-5</t>
  </si>
  <si>
    <t>Cracking Gilles Deleuze’s Crystal</t>
  </si>
  <si>
    <t>Narrative Space-time in the Films of Jean Renoir</t>
  </si>
  <si>
    <t>Cracking Gilles Deleuze’s Crystal E-BOOK</t>
  </si>
  <si>
    <t>Nevin, Barry</t>
  </si>
  <si>
    <t>978-1-4744-6944-9</t>
  </si>
  <si>
    <t>Ebu's-su'ud</t>
  </si>
  <si>
    <t>Ebu's-su'ud E-BOOK</t>
  </si>
  <si>
    <t>Imber, Colin</t>
  </si>
  <si>
    <t>978-0-7486-9939-1</t>
  </si>
  <si>
    <t>Medicine, Law and Public Policy in Scotland</t>
  </si>
  <si>
    <t>c. 1850-1990</t>
  </si>
  <si>
    <t>Medicine, Law and Public Policy in Scotland E-BOOK</t>
  </si>
  <si>
    <t>Maglen, Krista / Freeman, Mark / Gordon, Eleanor</t>
  </si>
  <si>
    <t>978-1-4744-7253-1</t>
  </si>
  <si>
    <t>Harold Hobson</t>
  </si>
  <si>
    <t>The Complete Catalogue</t>
  </si>
  <si>
    <t>Harold Hobson E-BOOK</t>
  </si>
  <si>
    <t>Shellard, Dominic</t>
  </si>
  <si>
    <t>978-0-7486-7715-3</t>
  </si>
  <si>
    <t>The Poetry of Jack Spicer</t>
  </si>
  <si>
    <t>The Poetry of Jack Spicer E-BOOK</t>
  </si>
  <si>
    <t>Katz, Daniel</t>
  </si>
  <si>
    <t>978-0-7486-4210-6</t>
  </si>
  <si>
    <t>Renaissance Transformations</t>
  </si>
  <si>
    <t>The Making of English Writing 1500-1650</t>
  </si>
  <si>
    <t>Renaissance Transformations E-BOOK</t>
  </si>
  <si>
    <t>Healy, Margaret / Healy, Thomas</t>
  </si>
  <si>
    <t>978-0-7486-4628-9</t>
  </si>
  <si>
    <t>American Politics in Hollywood Film</t>
  </si>
  <si>
    <t>American Politics in Hollywood Film E-BOOK</t>
  </si>
  <si>
    <t>Scott, Ian</t>
  </si>
  <si>
    <t>978-0-7486-3704-1</t>
  </si>
  <si>
    <t>The Edinburgh Dictionary of Modernism</t>
  </si>
  <si>
    <t>The Edinburgh Dictionary of Modernism E-BOOK</t>
  </si>
  <si>
    <t>Kolocotroni, Vassiliki / Taxidou, Olga</t>
  </si>
  <si>
    <t>978-1-4744-5397-4</t>
  </si>
  <si>
    <t>How Information Warfare Shaped the Arab Spring</t>
  </si>
  <si>
    <t>The Politics of Narrative in Egypt and Tunisia</t>
  </si>
  <si>
    <t>How Information Warfare Shaped the Arab Spring E-BOOK</t>
  </si>
  <si>
    <t>Greenberg, Nathaniel</t>
  </si>
  <si>
    <t>978-1-4744-1143-1</t>
  </si>
  <si>
    <t>Border Crossing</t>
  </si>
  <si>
    <t>Russian Literature into Film</t>
  </si>
  <si>
    <t>Border Crossing E-BOOK</t>
  </si>
  <si>
    <t>Burry, Alexander / White, Frederick</t>
  </si>
  <si>
    <t>978-1-4744-6788-9</t>
  </si>
  <si>
    <t>The Evolution of Culture</t>
  </si>
  <si>
    <t>The Evolution of Culture E-BOOK</t>
  </si>
  <si>
    <t>Dunbar, Robin / Knight, Chris</t>
  </si>
  <si>
    <t>978-0-7486-3020-2</t>
  </si>
  <si>
    <t>Film and Urban Space</t>
  </si>
  <si>
    <t>Critical Possibilities</t>
  </si>
  <si>
    <t>Film and Urban Space E-BOOK</t>
  </si>
  <si>
    <t>San Juan, Rose Marie / Pratt, Geraldine</t>
  </si>
  <si>
    <t>978-0-7486-7434-3</t>
  </si>
  <si>
    <t>Creative Criticism</t>
  </si>
  <si>
    <t>An Anthology and Guide</t>
  </si>
  <si>
    <t>Creative Criticism E-BOOK</t>
  </si>
  <si>
    <t>Benson, Stephen / Connors, Clare</t>
  </si>
  <si>
    <t>Phonetics</t>
  </si>
  <si>
    <t>LAN005000 LANGUAGE ARTS &amp; DISCIPLINES / Writing / General</t>
  </si>
  <si>
    <t>978-0-7486-3794-2</t>
  </si>
  <si>
    <t>Islam and Modernity</t>
  </si>
  <si>
    <t>Key Issues and Debates</t>
  </si>
  <si>
    <t>Islam and Modernity E-BOOK</t>
  </si>
  <si>
    <t>van Bruinessen, Martin / Masud, Muhammad / Salvatore, Armando</t>
  </si>
  <si>
    <t>978-0-7486-2973-2</t>
  </si>
  <si>
    <t>The American West</t>
  </si>
  <si>
    <t>Competing Visions</t>
  </si>
  <si>
    <t>The American West E-BOOK</t>
  </si>
  <si>
    <t>Jones, Karen / Wills, John</t>
  </si>
  <si>
    <t>HIS038000 HISTORY / Americas (North, Central, South, West Indies)</t>
  </si>
  <si>
    <t>978-0-7486-8965-1</t>
  </si>
  <si>
    <t>Language and Identity in Modern Egypt</t>
  </si>
  <si>
    <t>Language and Identity in Modern Egypt E-BOOK</t>
  </si>
  <si>
    <t>978-0-7486-3448-4</t>
  </si>
  <si>
    <t>Journalists in Film</t>
  </si>
  <si>
    <t>Heroes and Villains</t>
  </si>
  <si>
    <t>Journalists in Film E-BOOK</t>
  </si>
  <si>
    <t>McNair, Brian</t>
  </si>
  <si>
    <t>978-0-7486-4670-8</t>
  </si>
  <si>
    <t>Reading for Our Time</t>
  </si>
  <si>
    <t>'Adam Bede' and 'Middlemarch' Revisited</t>
  </si>
  <si>
    <t>Reading for Our Time E-BOOK</t>
  </si>
  <si>
    <t>Miller, J. Hillis</t>
  </si>
  <si>
    <t>978-1-4744-8548-7</t>
  </si>
  <si>
    <t>Rethinking Language Policy</t>
  </si>
  <si>
    <t>Rethinking Language Policy E-BOOK</t>
  </si>
  <si>
    <t>Spolsky, Bernard</t>
  </si>
  <si>
    <t>EDU020000 EDUCATION / Multicultural Education</t>
  </si>
  <si>
    <t>EBOOK PACKAGE COMPLETE 2021 | EBOOK PACKAGE COMPLETE 2021 English | EBOOK PACKAGE Education, Psychology, Comm 2021 English | EBOOK PACKAGE Education, Psychology, Communication 2021 | Edinburgh University Press Complete eBook-Package 2021 | University of Texas At El Paso Pick and Choose Package 2023</t>
  </si>
  <si>
    <t>978-0-7486-9304-7</t>
  </si>
  <si>
    <t>The Road to Iraq</t>
  </si>
  <si>
    <t>The Making of a Neoconservative War</t>
  </si>
  <si>
    <t>The Road to Iraq E-BOOK</t>
  </si>
  <si>
    <t>Ahmad, Muhammad Idrees</t>
  </si>
  <si>
    <t>978-0-7486-3435-4</t>
  </si>
  <si>
    <t>Working with Walter Benjamin</t>
  </si>
  <si>
    <t>Recovering a Political Philosophy</t>
  </si>
  <si>
    <t>Working with Walter Benjamin E-BOOK</t>
  </si>
  <si>
    <t>Benjamin, Andrew</t>
  </si>
  <si>
    <t>978-1-4744-0328-3</t>
  </si>
  <si>
    <t>Towards a Feminist Cinematic Ethics</t>
  </si>
  <si>
    <t>Claire Denis, Emmanuel Levinas and Jean-Luc Nancy</t>
  </si>
  <si>
    <t>Towards a Feminist Cinematic Ethics E-BOOK</t>
  </si>
  <si>
    <t>Hole, Kristin Lené</t>
  </si>
  <si>
    <t>978-1-4744-5405-6</t>
  </si>
  <si>
    <t>Towards an Improper Politics</t>
  </si>
  <si>
    <t>Towards an Improper Politics E-BOOK</t>
  </si>
  <si>
    <t>Devenney, Mark</t>
  </si>
  <si>
    <t>978-0-7486-8226-3</t>
  </si>
  <si>
    <t>Understanding Ethics</t>
  </si>
  <si>
    <t>Understanding Ethics E-BOOK</t>
  </si>
  <si>
    <t>Tännsjö, Torbjörn</t>
  </si>
  <si>
    <t>978-1-4744-7322-4</t>
  </si>
  <si>
    <t>Feminist Film Theory</t>
  </si>
  <si>
    <t>Feminist Film Theory E-BOOK</t>
  </si>
  <si>
    <t>Thornham, Sue</t>
  </si>
  <si>
    <t>Edinburgh University Press Archive eBook-Package Pre-2000 | University of South Florida 2024 EBA Selections | Western U EBA 2023 eBooks Package</t>
  </si>
  <si>
    <t>978-1-4744-7166-4</t>
  </si>
  <si>
    <t>Romantic Masculinities</t>
  </si>
  <si>
    <t>News From Nowhere Vol.2</t>
  </si>
  <si>
    <t>Romantic Masculinities E-BOOK</t>
  </si>
  <si>
    <t>Botting, Fred / Pinkney, Tony / Hanley, Keith</t>
  </si>
  <si>
    <t>978-1-4744-7131-2</t>
  </si>
  <si>
    <t>Postmodernism and the Contemporary Novel</t>
  </si>
  <si>
    <t>Postmodernism and the Contemporary Novel E-BOOK</t>
  </si>
  <si>
    <t>Nicol, Bran</t>
  </si>
  <si>
    <t>978-1-4744-5692-0</t>
  </si>
  <si>
    <t>Tim Burton's Bodies</t>
  </si>
  <si>
    <t>Gothic, Animated, Creaturely and Corporeal</t>
  </si>
  <si>
    <t>Tim Burton's Bodies E-BOOK</t>
  </si>
  <si>
    <t>Hockenhull, Stella / Pheasant-Kelly, Fran</t>
  </si>
  <si>
    <t>978-0-7486-3390-6</t>
  </si>
  <si>
    <t>The Great War on the Small Screen</t>
  </si>
  <si>
    <t>Representing the First World War in Contemporary Britain</t>
  </si>
  <si>
    <t>The Great War on the Small Screen E-BOOK</t>
  </si>
  <si>
    <t>Hanna, Emma</t>
  </si>
  <si>
    <t>978-1-4744-0898-1</t>
  </si>
  <si>
    <t>Democratisation in the Maghreb</t>
  </si>
  <si>
    <t>Democratisation in the Maghreb E-BOOK</t>
  </si>
  <si>
    <t>Hill, J.N.C.</t>
  </si>
  <si>
    <t>978-1-4744-7164-0</t>
  </si>
  <si>
    <t>Visions of the City</t>
  </si>
  <si>
    <t>Utopianism, Power and Politics in Twentieth-Century Urbanism</t>
  </si>
  <si>
    <t>Visions of the City E-BOOK</t>
  </si>
  <si>
    <t>Pinder, David</t>
  </si>
  <si>
    <t>ARC008000 ARCHITECTURE / Landscape</t>
  </si>
  <si>
    <t>978-1-4744-7364-4</t>
  </si>
  <si>
    <t>The Derrida Reader</t>
  </si>
  <si>
    <t>Writing Performances</t>
  </si>
  <si>
    <t>The Derrida Reader E-BOOK</t>
  </si>
  <si>
    <t>Edinburgh University Press eBook Placeholder 2018</t>
  </si>
  <si>
    <t>978-1-4744-7047-6</t>
  </si>
  <si>
    <t>Orientalism</t>
  </si>
  <si>
    <t>Orientalism E-BOOK</t>
  </si>
  <si>
    <t>Macfie, A. L.</t>
  </si>
  <si>
    <t>978-1-4744-8790-0</t>
  </si>
  <si>
    <t>The Incomplete Project of Schizoanalysis</t>
  </si>
  <si>
    <t>Collected Essays on Deleuze and Guattari</t>
  </si>
  <si>
    <t>The Incomplete Project of Schizoanalysis E-BOOK</t>
  </si>
  <si>
    <t xml:space="preserve">LIT025030 LITERARY CRITICISM / Subjects &amp; Themes / Politics </t>
  </si>
  <si>
    <t>978-1-4744-4321-0</t>
  </si>
  <si>
    <t>Refugee Imaginaries</t>
  </si>
  <si>
    <t>Research Across the Humanities</t>
  </si>
  <si>
    <t>Refugee Imaginaries E-BOOK</t>
  </si>
  <si>
    <t>Stonebridge, Lyndsey / Woolley, Agnes</t>
  </si>
  <si>
    <t>Edinburgh University Press Complete eBook-Package 2019 | Western University EBA Selected eBooks 2023</t>
  </si>
  <si>
    <t>978-0-7486-2673-1</t>
  </si>
  <si>
    <t>The Inner Life of a Rational Agent</t>
  </si>
  <si>
    <t>In Defence of Philosophical Behaviourism</t>
  </si>
  <si>
    <t>The Inner Life of a Rational Agent E-BOOK</t>
  </si>
  <si>
    <t>Stout, Rowland</t>
  </si>
  <si>
    <t>978-1-4744-6305-8</t>
  </si>
  <si>
    <t>Empathy and the Strangeness of Fiction</t>
  </si>
  <si>
    <t>Readings in French Realism</t>
  </si>
  <si>
    <t>Empathy and the Strangeness of Fiction E-BOOK</t>
  </si>
  <si>
    <t>Scott, Maria C.</t>
  </si>
  <si>
    <t>978-0-7486-5643-1</t>
  </si>
  <si>
    <t>The Operatic and the Everyday in Postwar Italian Film Melodrama</t>
  </si>
  <si>
    <t>The Operatic and the Everyday in Postwar Italian Film E-BOOK</t>
  </si>
  <si>
    <t>Bayman, Louis</t>
  </si>
  <si>
    <t>Topics in Cultural Studies</t>
  </si>
  <si>
    <t>Popular Culture</t>
  </si>
  <si>
    <t>ART023000 ART / Popular Culture</t>
  </si>
  <si>
    <t>978-0-7486-8068-9</t>
  </si>
  <si>
    <t>An Introduction to Islamic Philosophy</t>
  </si>
  <si>
    <t>An Introduction to Islamic Philosophy E-BOOK</t>
  </si>
  <si>
    <t>Campanini, Massimo / Higgitt, Caroline</t>
  </si>
  <si>
    <t>PHI022000 PHILOSOPHY / Religious</t>
  </si>
  <si>
    <t>978-1-4744-5572-5</t>
  </si>
  <si>
    <t>Stanley Cavell and the Magic of Hollywood Films</t>
  </si>
  <si>
    <t>Stanley Cavell and the Magic of Hollywood Films E-BOOK</t>
  </si>
  <si>
    <t>Shaw, Daniel</t>
  </si>
  <si>
    <t>978-1-4744-7160-2</t>
  </si>
  <si>
    <t>Contemporary Scottish Fictions - Film, Television and the Novel</t>
  </si>
  <si>
    <t>Contemporary Scottish Fictions - Film, Television and E-BOOK</t>
  </si>
  <si>
    <t>Petrie, Duncan</t>
  </si>
  <si>
    <t>PER000000 PERFORMING ARTS / General</t>
  </si>
  <si>
    <t>978-0-7486-9567-6</t>
  </si>
  <si>
    <t>Omnibus Films</t>
  </si>
  <si>
    <t>Theorizing Transauthorial Cinema</t>
  </si>
  <si>
    <t>Omnibus Films E-BOOK</t>
  </si>
  <si>
    <t>Diffrient, David Scott</t>
  </si>
  <si>
    <t>978-1-4744-3375-4</t>
  </si>
  <si>
    <t>The Scottish Parliament</t>
  </si>
  <si>
    <t>Law and Practice</t>
  </si>
  <si>
    <t>The Scottish Parliament E-BOOK</t>
  </si>
  <si>
    <t>Lazarowicz, Mark / McFadden, Jean</t>
  </si>
  <si>
    <t>Edinburgh University Press Complete eBook-Package 2018 | Pick and Choose Law eBook Package BU 2022 | Pick and Choose eBook Package Cornell Eng Law 2000-2021 | UCB LAW SCHOOL Pick &amp; Choose 2022 | Yale P&amp;C Law Package 2023</t>
  </si>
  <si>
    <t>978-1-4744-2279-6</t>
  </si>
  <si>
    <t>A Guide to Ethics and Moral Philosophy</t>
  </si>
  <si>
    <t>A Guide to Ethics and Moral Philosophy E-BOOK</t>
  </si>
  <si>
    <t>978-1-4744-7206-7</t>
  </si>
  <si>
    <t>Feuds, Forays and Rebellions</t>
  </si>
  <si>
    <t>History of the Highland Clans 1475-1625</t>
  </si>
  <si>
    <t>Feuds, Forays and Rebellions E-BOOK</t>
  </si>
  <si>
    <t>978-1-4744-7155-8</t>
  </si>
  <si>
    <t>Living in Scotland</t>
  </si>
  <si>
    <t>Social and Economic Change since 1980</t>
  </si>
  <si>
    <t>Living in Scotland E-BOOK</t>
  </si>
  <si>
    <t>McCrone, David / Paterson, Lindsay / Bechhofer, Frank</t>
  </si>
  <si>
    <t>978-0-7486-2698-4</t>
  </si>
  <si>
    <t>Neolithic Scotland</t>
  </si>
  <si>
    <t>Timber, Stone, Earth and Fire</t>
  </si>
  <si>
    <t>Neolithic Scotland E-BOOK</t>
  </si>
  <si>
    <t>Noble, Gordon</t>
  </si>
  <si>
    <t>978-1-4744-6898-5</t>
  </si>
  <si>
    <t>The Road to Home Rule</t>
  </si>
  <si>
    <t>Images Of Scotland's Cause</t>
  </si>
  <si>
    <t>The Road to Home Rule E-BOOK</t>
  </si>
  <si>
    <t>Harvie, Christopher / Jones, Peter</t>
  </si>
  <si>
    <t>978-1-4744-3015-9</t>
  </si>
  <si>
    <t>The Selected Children’s Fictions, Folk Tales and Fairy Tales of Andrew Lang</t>
  </si>
  <si>
    <t>The Selected Children’s Fictions, Folk Tales and Fair E-BOOK</t>
  </si>
  <si>
    <t>Teverson, Andrew</t>
  </si>
  <si>
    <t>978-1-4744-6815-2</t>
  </si>
  <si>
    <t>Citizenship in Modern Britain</t>
  </si>
  <si>
    <t>Citizenship in Modern Britain E-BOOK</t>
  </si>
  <si>
    <t>Faulks, Keith</t>
  </si>
  <si>
    <t>Edinburgh University Press eBook Placeholder 2019</t>
  </si>
  <si>
    <t>Edinburgh University Press eBook Placeholder 2014-2015</t>
  </si>
  <si>
    <t>978-0-7486-9667-3</t>
  </si>
  <si>
    <t>Deconstructing Energy Law and Policy</t>
  </si>
  <si>
    <t>The Case of Nuclear Energy</t>
  </si>
  <si>
    <t>Deconstructing Energy Law and Policy E-BOOK</t>
  </si>
  <si>
    <t>Heffron, Raphael J.</t>
  </si>
  <si>
    <t>LAW009000 LAW / Business &amp; Financial</t>
  </si>
  <si>
    <t>Edinburgh University Press Complete eBook-Package 2014-2015 | Pick and Choose Law eBook Package BU 2022 | Pick and Choose eBook Package Cornell Eng Law 2000-2021 | UCB LAW SCHOOL Pick &amp; Choose 2022 | UNIVERSIDAD NACIONAL AUTÓNOMA DE MÉXICO Pick and Choose 2023 | WUSTL 2022 Part 2 Law P&amp;C eBook Package | Yale P&amp;C Law Package 2023</t>
  </si>
  <si>
    <t>978-0-7486-9206-4</t>
  </si>
  <si>
    <t>Re-Humanising Shakespeare</t>
  </si>
  <si>
    <t>Literary Humanism, Wisdom and Modernity</t>
  </si>
  <si>
    <t>Re-Humanising Shakespeare E-BOOK</t>
  </si>
  <si>
    <t>Mousley, Andrew</t>
  </si>
  <si>
    <t>978-1-4744-7218-0</t>
  </si>
  <si>
    <t>Gnostic Wars</t>
  </si>
  <si>
    <t>The Cold War in the Context of a History of Western Spirituality</t>
  </si>
  <si>
    <t>Gnostic Wars E-BOOK</t>
  </si>
  <si>
    <t>Rossbach, Stefan</t>
  </si>
  <si>
    <t>978-1-4744-0940-7</t>
  </si>
  <si>
    <t>Douglas Sirk, Aesthetic Modernism and the Culture of Modernity</t>
  </si>
  <si>
    <t>Douglas Sirk, Aesthetic Modernism and the Culture of  E-BOOK</t>
  </si>
  <si>
    <t>Evans, Victoria L.</t>
  </si>
  <si>
    <t>978-1-4744-7106-0</t>
  </si>
  <si>
    <t>The Old Poor Law in Scotland</t>
  </si>
  <si>
    <t>The Experience of Poverty, 1574-1845</t>
  </si>
  <si>
    <t>The Old Poor Law in Scotland E-BOOK</t>
  </si>
  <si>
    <t>Mitchison, Rosalind</t>
  </si>
  <si>
    <t>978-0-7486-4347-9</t>
  </si>
  <si>
    <t>Temporality and Film Analysis</t>
  </si>
  <si>
    <t>Temporality and Film Analysis E-BOOK</t>
  </si>
  <si>
    <t>Mroz, Matilda</t>
  </si>
  <si>
    <t>978-0-7486-8298-0</t>
  </si>
  <si>
    <t>The Post-Political and Its Discontents</t>
  </si>
  <si>
    <t>Spaces of Depoliticisation, Spectres of Radical Politics</t>
  </si>
  <si>
    <t>The Post-Political and Its Discontents E-BOOK</t>
  </si>
  <si>
    <t>Wilson, Japhy / Swyngedouw, Erik</t>
  </si>
  <si>
    <t>978-0-7486-3129-2</t>
  </si>
  <si>
    <t>Academic Patronage in the Scottish Enlightenment</t>
  </si>
  <si>
    <t>Glasgow, Edinburgh and St Andrews Universities</t>
  </si>
  <si>
    <t>Academic Patronage in the Scottish Enlightenment E-BOOK</t>
  </si>
  <si>
    <t>Emerson, Roger L.</t>
  </si>
  <si>
    <t>978-1-4744-8055-0</t>
  </si>
  <si>
    <t>Legacies of the Past</t>
  </si>
  <si>
    <t>Memory and Trauma in Mexican Visual and Screen Cultures</t>
  </si>
  <si>
    <t>Legacies of the Past E-BOOK</t>
  </si>
  <si>
    <t>Thornton, Niamh / Haddu, Miriam</t>
  </si>
  <si>
    <t>978-0-7486-3076-9</t>
  </si>
  <si>
    <t>Politics on the Edges of Liberalism</t>
  </si>
  <si>
    <t>Difference, Populism, Revolution, Agitation</t>
  </si>
  <si>
    <t>Politics on the Edges of Liberalism E-BOOK</t>
  </si>
  <si>
    <t>Arditi, Benjamin</t>
  </si>
  <si>
    <t>978-1-4744-0991-9</t>
  </si>
  <si>
    <t>Literature Now</t>
  </si>
  <si>
    <t>Key Terms and Methods for Literary History</t>
  </si>
  <si>
    <t>Literature Now E-BOOK</t>
  </si>
  <si>
    <t>Delville, Michel / Bru, Sascha / De Bruyn, Ben</t>
  </si>
  <si>
    <t>978-0-7486-6579-2</t>
  </si>
  <si>
    <t>Healing the Nation</t>
  </si>
  <si>
    <t>Prisoners of War, Medicine and Nationalism in Turkey, 1914-1939</t>
  </si>
  <si>
    <t>Healing the Nation E-BOOK</t>
  </si>
  <si>
    <t>Yanikdag, Yucel</t>
  </si>
  <si>
    <t>978-0-7486-4908-2</t>
  </si>
  <si>
    <t>Rereading Heterosexuality</t>
  </si>
  <si>
    <t>Feminism, Queer Theory and Contemporary Fiction</t>
  </si>
  <si>
    <t>Rereading Heterosexuality E-BOOK</t>
  </si>
  <si>
    <t>Carroll, Rachel</t>
  </si>
  <si>
    <t>CSCU DEI P&amp;C 2023 | Edinburgh University Press Backlist eBook-Package 2013-2000</t>
  </si>
  <si>
    <t>978-0-7486-4490-2</t>
  </si>
  <si>
    <t>What if Derrida was wrong about Saussure?</t>
  </si>
  <si>
    <t>What if Derrida was wrong about Saussure? E-BOOK</t>
  </si>
  <si>
    <t>Daylight, Russell</t>
  </si>
  <si>
    <t>978-1-4744-4624-2</t>
  </si>
  <si>
    <t>Reconstructing Japan's Security Policy</t>
  </si>
  <si>
    <t>The Role of Military Crises</t>
  </si>
  <si>
    <t>Reconstructing Japan's Security Policy E-BOOK</t>
  </si>
  <si>
    <t>Singh, Bhubhindar</t>
  </si>
  <si>
    <t>978-1-4744-6939-5</t>
  </si>
  <si>
    <t>Modernist Women and Visual Cultures</t>
  </si>
  <si>
    <t>Virginia Woolf, Vanessa Bell, Photography and Cinema</t>
  </si>
  <si>
    <t>Modernist Women and Visual Cultures E-BOOK</t>
  </si>
  <si>
    <t>978-0-7486-3676-1</t>
  </si>
  <si>
    <t>Virginia Woolf and the Politics of Language</t>
  </si>
  <si>
    <t>Virginia Woolf and the Politics of Language E-BOOK</t>
  </si>
  <si>
    <t>Allen, Judith</t>
  </si>
  <si>
    <t>978-1-4744-4074-5</t>
  </si>
  <si>
    <t>Persistent Images</t>
  </si>
  <si>
    <t>Encountering Film History in Contemporary Cinema</t>
  </si>
  <si>
    <t>Persistent Images E-BOOK</t>
  </si>
  <si>
    <t>Utterson, Andrew</t>
  </si>
  <si>
    <t>978-1-4744-2342-7</t>
  </si>
  <si>
    <t>Contemporary Political Cinema</t>
  </si>
  <si>
    <t>Contemporary Political Cinema E-BOOK</t>
  </si>
  <si>
    <t>Holtmeier, Matthew</t>
  </si>
  <si>
    <t>978-1-4744-2106-5</t>
  </si>
  <si>
    <t>Speculative Art Histories</t>
  </si>
  <si>
    <t>Analysis at the Limits</t>
  </si>
  <si>
    <t>Speculative Art Histories E-BOOK</t>
  </si>
  <si>
    <t>van Tuinen, Sjoerd</t>
  </si>
  <si>
    <t>978-1-4744-1698-6</t>
  </si>
  <si>
    <t>Regime Change in Contemporary Turkey</t>
  </si>
  <si>
    <t>Politics, Rights, Mimesis</t>
  </si>
  <si>
    <t>Regime Change in Contemporary Turkey E-BOOK</t>
  </si>
  <si>
    <t>Polat, Necati</t>
  </si>
  <si>
    <t>978-1-4744-7148-0</t>
  </si>
  <si>
    <t>The Art and Politics of Film</t>
  </si>
  <si>
    <t>The Art and Politics of Film E-BOOK</t>
  </si>
  <si>
    <t>978-1-4744-3913-8</t>
  </si>
  <si>
    <t>The Egalitarian Sublime</t>
  </si>
  <si>
    <t>A Process Philosophy</t>
  </si>
  <si>
    <t>The Egalitarian Sublime E-BOOK</t>
  </si>
  <si>
    <t>Williams, James</t>
  </si>
  <si>
    <t>978-1-4744-3031-9</t>
  </si>
  <si>
    <t>Postfeminist Whiteness</t>
  </si>
  <si>
    <t>Problematising Melancholic Burden in Contemporary Hollywood</t>
  </si>
  <si>
    <t>Postfeminist Whiteness E-BOOK</t>
  </si>
  <si>
    <t>Marston, Kendra</t>
  </si>
  <si>
    <t>978-1-4744-7256-2</t>
  </si>
  <si>
    <t>Economy and Society in Prehistoric Europe</t>
  </si>
  <si>
    <t>Changing Perspectives</t>
  </si>
  <si>
    <t>Economy and Society in Prehistoric Europe E-BOOK</t>
  </si>
  <si>
    <t>Sherratt, A.</t>
  </si>
  <si>
    <t>978-1-4744-0837-0</t>
  </si>
  <si>
    <t>A History of Clan Campbell</t>
  </si>
  <si>
    <t>From Origins to Flodden</t>
  </si>
  <si>
    <t>A History of Clan Campbell E-BOOK</t>
  </si>
  <si>
    <t>Campbell, Alastair</t>
  </si>
  <si>
    <t>978-0-7486-7604-0</t>
  </si>
  <si>
    <t>Arab Christians in British Mandate Palestine</t>
  </si>
  <si>
    <t>Communalism and Nationalism, 1917-1948</t>
  </si>
  <si>
    <t>Arab Christians in British Mandate Palestine E-BOOK</t>
  </si>
  <si>
    <t>Haiduc-Dale, Noah</t>
  </si>
  <si>
    <t>Edinburgh University Press Backlist eBook-Package 2013-2000 | bitte nicht fakturieren, nur zum Test</t>
  </si>
  <si>
    <t>978-0-7486-4740-8</t>
  </si>
  <si>
    <t>Lost in the Backwoods</t>
  </si>
  <si>
    <t>Scots and the North American Wilderness</t>
  </si>
  <si>
    <t>Lost in the Backwoods E-BOOK</t>
  </si>
  <si>
    <t>Calder, Jenni</t>
  </si>
  <si>
    <t>978-0-7486-7031-4</t>
  </si>
  <si>
    <t>The Edinburgh Festivals</t>
  </si>
  <si>
    <t>Culture and Society in Post-war Britain</t>
  </si>
  <si>
    <t>The Edinburgh Festivals E-BOOK</t>
  </si>
  <si>
    <t>Bartie, Angela</t>
  </si>
  <si>
    <t>978-1-4744-3617-5</t>
  </si>
  <si>
    <t>Rethinking Morphology</t>
  </si>
  <si>
    <t>Rethinking Morphology E-BOOK</t>
  </si>
  <si>
    <t>Bauer, Laurie</t>
  </si>
  <si>
    <t>978-1-4744-4628-0</t>
  </si>
  <si>
    <t>Mediating War and Identity</t>
  </si>
  <si>
    <t>Figures of Transgression in 20th- and 21st-century War Representation</t>
  </si>
  <si>
    <t>Mediating War and Identity E-BOOK</t>
  </si>
  <si>
    <t>Purse, Lisa / Wölfel, Ute</t>
  </si>
  <si>
    <t>978-0-7486-8175-4</t>
  </si>
  <si>
    <t>Edinburgh Handbook of Evaluative Morphology</t>
  </si>
  <si>
    <t>Edinburgh Handbook of Evaluative Morphology E-BOOK</t>
  </si>
  <si>
    <t>Grandi, Nicola / Kortvelyessy, Livia</t>
  </si>
  <si>
    <t>978-1-4744-6411-6</t>
  </si>
  <si>
    <t>The Stadium and the City</t>
  </si>
  <si>
    <t>The Stadium and the City E-BOOK</t>
  </si>
  <si>
    <t>Bale, John / Moen, Olf</t>
  </si>
  <si>
    <t>Colorado State University 2023 EBA Selections | Colorado State University EBA Selections 2023 | Edinburgh University Press Archive eBook-Package Pre-2000</t>
  </si>
  <si>
    <t>978-0-7486-9742-7</t>
  </si>
  <si>
    <t>Scottish Legal History</t>
  </si>
  <si>
    <t>Volume 1: 1000-1707</t>
  </si>
  <si>
    <t>Scottish Legal History E-BOOK</t>
  </si>
  <si>
    <t>Simpson, Andrew R. C. / Wilson, Adelyn L. M.</t>
  </si>
  <si>
    <t>978-1-4744-6973-9</t>
  </si>
  <si>
    <t>Impartiality, Neutrality and Justice</t>
  </si>
  <si>
    <t>Re-Reading Brian Barry's Justice as Impartiality</t>
  </si>
  <si>
    <t>Impartiality, Neutrality and Justice E-BOOK</t>
  </si>
  <si>
    <t>Kelly, Paul</t>
  </si>
  <si>
    <t>978-0-7486-3038-7</t>
  </si>
  <si>
    <t>Foucault's Archaeology</t>
  </si>
  <si>
    <t>Science and Transformation</t>
  </si>
  <si>
    <t>Foucault's Archaeology E-BOOK</t>
  </si>
  <si>
    <t>Webb, David</t>
  </si>
  <si>
    <t>PHI031000 PHILOSOPHY / Movements / General</t>
  </si>
  <si>
    <t>978-1-4744-7338-5</t>
  </si>
  <si>
    <t>Jewish-American Writing since 1945</t>
  </si>
  <si>
    <t>Jewish-American Writing since 1945 E-BOOK</t>
  </si>
  <si>
    <t>Wade, Stephen</t>
  </si>
  <si>
    <t>978-1-4744-9690-2</t>
  </si>
  <si>
    <t>Global Sustainable Development in the Twenty-First Century</t>
  </si>
  <si>
    <t>Global Sustainable Development in the Twenty-First Ce E-BOOK</t>
  </si>
  <si>
    <t>McNeill, Desmond / Lee, Keekok / Holland, Alan</t>
  </si>
  <si>
    <t>Theory</t>
  </si>
  <si>
    <t>POL023000 POLITICAL SCIENCE / Political Economy</t>
  </si>
  <si>
    <t>978-1-4744-3590-1</t>
  </si>
  <si>
    <t>Uncommon Alliances</t>
  </si>
  <si>
    <t>Cultural Narratives of Migration in the New Europe</t>
  </si>
  <si>
    <t>Uncommon Alliances E-BOOK</t>
  </si>
  <si>
    <t>Kovačević, Nataša</t>
  </si>
  <si>
    <t>978-1-4744-7304-0</t>
  </si>
  <si>
    <t>Global Democracy</t>
  </si>
  <si>
    <t>The Case for a World Government</t>
  </si>
  <si>
    <t>Global Democracy E-BOOK</t>
  </si>
  <si>
    <t>978-0-7486-2641-0</t>
  </si>
  <si>
    <t>New-Dialect Formation</t>
  </si>
  <si>
    <t>The Inevitability of Colonial Englishes</t>
  </si>
  <si>
    <t>New-Dialect Formation E-BOOK</t>
  </si>
  <si>
    <t>Trudgill, Peter</t>
  </si>
  <si>
    <t>978-1-4744-1888-1</t>
  </si>
  <si>
    <t>Simone de Beauvoir's Philosophy of Individuation</t>
  </si>
  <si>
    <t>The Problem of The Second Sex</t>
  </si>
  <si>
    <t>Simone de Beauvoir's Philosophy of Individuation E-BOOK</t>
  </si>
  <si>
    <t>Hengehold, Laura</t>
  </si>
  <si>
    <t>978-1-4744-0441-9</t>
  </si>
  <si>
    <t>Shi'i Doctrine, Mu'tazili Theology</t>
  </si>
  <si>
    <t>al-Sharif al-Murtada and Imami Discourse</t>
  </si>
  <si>
    <t>Shi'i Doctrine, Mu'tazili Theology E-BOOK</t>
  </si>
  <si>
    <t>Abdulsater, Hussein Ali</t>
  </si>
  <si>
    <t>978-1-4744-7107-7</t>
  </si>
  <si>
    <t>Multicultural Politics</t>
  </si>
  <si>
    <t>Racism, Ethnicity and Muslims in Britain</t>
  </si>
  <si>
    <t>Multicultural Politics E-BOOK</t>
  </si>
  <si>
    <t>Modood, Tariq</t>
  </si>
  <si>
    <t>978-1-4744-0314-6</t>
  </si>
  <si>
    <t>Negotiating Boundaries at Work</t>
  </si>
  <si>
    <t>Talking and Transitions</t>
  </si>
  <si>
    <t>Negotiating Boundaries at Work E-BOOK</t>
  </si>
  <si>
    <t>Holmes, Janet / Angouri, Jo / Marra, Meredith</t>
  </si>
  <si>
    <t>Communication Science, other</t>
  </si>
  <si>
    <t>LAN004000 LANGUAGE ARTS &amp; DISCIPLINES / Communication Studies</t>
  </si>
  <si>
    <t>978-1-4744-6842-8</t>
  </si>
  <si>
    <t>Calligraphy and Architecture in the Muslim World</t>
  </si>
  <si>
    <t>Calligraphy and Architecture in the Muslim World E-BOOK</t>
  </si>
  <si>
    <t>Gharipour, Mohammad / Schick, Irvin Cemil</t>
  </si>
  <si>
    <t xml:space="preserve">Architecture and Design, other    </t>
  </si>
  <si>
    <t>ARC000000 ARCHITECTURE / General</t>
  </si>
  <si>
    <t>978-1-4744-4665-5</t>
  </si>
  <si>
    <t>Police and Community in Twentieth-Century Scotland</t>
  </si>
  <si>
    <t>Police and Community in Twentieth-Century Scotland E-BOOK</t>
  </si>
  <si>
    <t>Smale, David M. / Sparks, Richard</t>
  </si>
  <si>
    <t>978-0-7486-3123-0</t>
  </si>
  <si>
    <t>Muslims in Britain</t>
  </si>
  <si>
    <t>Race, Place and Identities</t>
  </si>
  <si>
    <t>Muslims in Britain E-BOOK</t>
  </si>
  <si>
    <t>Hopkins, Peter / Gale, Richard</t>
  </si>
  <si>
    <t>978-1-4744-0139-5</t>
  </si>
  <si>
    <t>British Women Short Story Writers</t>
  </si>
  <si>
    <t>The New Woman to Now</t>
  </si>
  <si>
    <t>British Women Short Story Writers E-BOOK</t>
  </si>
  <si>
    <t>Young, Emma / Bailey, James</t>
  </si>
  <si>
    <t>978-1-4744-5280-9</t>
  </si>
  <si>
    <t>Film and the Imagined Image</t>
  </si>
  <si>
    <t>Film and the Imagined Image E-BOOK</t>
  </si>
  <si>
    <t>Cooper, Sarah</t>
  </si>
  <si>
    <t>978-1-4744-7330-9</t>
  </si>
  <si>
    <t>C B Macpherson</t>
  </si>
  <si>
    <t>and the Problem of Liberal Democracy</t>
  </si>
  <si>
    <t>C B Macpherson E-BOOK</t>
  </si>
  <si>
    <t>Townshend, Jules</t>
  </si>
  <si>
    <t>978-0-7486-2635-9</t>
  </si>
  <si>
    <t>Virginia Woolf's Novels and the Literary Past</t>
  </si>
  <si>
    <t>Virginia Woolf's Novels and the Literary Past E-BOOK</t>
  </si>
  <si>
    <t>978-1-4744-5696-8</t>
  </si>
  <si>
    <t>Artmaking in the Age of Global Capitalism</t>
  </si>
  <si>
    <t>Visual Practices, Philosophy, Politics</t>
  </si>
  <si>
    <t>Artmaking in the Age of Global Capitalism E-BOOK</t>
  </si>
  <si>
    <t>Bryant, Jan</t>
  </si>
  <si>
    <t>ART037000 ART / Art &amp; Politics</t>
  </si>
  <si>
    <t>978-1-4744-6804-6</t>
  </si>
  <si>
    <t>Literary Lives</t>
  </si>
  <si>
    <t>Biography and the Search for Understanding</t>
  </si>
  <si>
    <t>Literary Lives E-BOOK</t>
  </si>
  <si>
    <t>Ellis, David</t>
  </si>
  <si>
    <t>978-1-4744-1811-9</t>
  </si>
  <si>
    <t>Beyond Eastern Noir</t>
  </si>
  <si>
    <t>Reimagining Russia and Eastern Europe in Nordic Cinemas</t>
  </si>
  <si>
    <t>Beyond Eastern Noir E-BOOK</t>
  </si>
  <si>
    <t>Mrozewicz, Anna Estera</t>
  </si>
  <si>
    <t>978-0-7486-2868-1</t>
  </si>
  <si>
    <t>James Hogg</t>
  </si>
  <si>
    <t>A Life</t>
  </si>
  <si>
    <t>James Hogg E-BOOK</t>
  </si>
  <si>
    <t>Hughes, Gillian</t>
  </si>
  <si>
    <t>978-0-7486-4138-3</t>
  </si>
  <si>
    <t>On Art and War and Terror</t>
  </si>
  <si>
    <t>On Art and War and Terror E-BOOK</t>
  </si>
  <si>
    <t>HIS027050 HISTORY / Military / Pictorial</t>
  </si>
  <si>
    <t>978-0-7486-3403-3</t>
  </si>
  <si>
    <t>Being Palestinian</t>
  </si>
  <si>
    <t>Personal Reflections on Palestinian Identity in the Diaspora</t>
  </si>
  <si>
    <t>Being Palestinian E-BOOK</t>
  </si>
  <si>
    <t>Edinburgh University Press Complete eBook-Package 2016 | Western University EBA Selected eBooks 2023</t>
  </si>
  <si>
    <t>978-1-4744-0895-0</t>
  </si>
  <si>
    <t>Gerard Manley Hopkins and the Spell of John Duns Scotus</t>
  </si>
  <si>
    <t>Gerard Manley Hopkins and the Spell of John Duns Scot E-BOOK</t>
  </si>
  <si>
    <t>Llewelyn, John</t>
  </si>
  <si>
    <t>978-1-4744-5307-3</t>
  </si>
  <si>
    <t>US Foreign Policy and China</t>
  </si>
  <si>
    <t>Security Challenges During the Bush, Obama, and Trump Administrations</t>
  </si>
  <si>
    <t>US Foreign Policy and China E-BOOK</t>
  </si>
  <si>
    <t>Warren, Aiden / Bartley, Adam</t>
  </si>
  <si>
    <t>POL011010 POLITICAL SCIENCE / International Relations / Diplomacy</t>
  </si>
  <si>
    <t>978-1-4744-6856-5</t>
  </si>
  <si>
    <t>Jewish and Islamic Philosophy</t>
  </si>
  <si>
    <t>Crosspollinations in the Classical Age</t>
  </si>
  <si>
    <t>Jewish and Islamic Philosophy E-BOOK</t>
  </si>
  <si>
    <t>Goodman, Lenn E</t>
  </si>
  <si>
    <t>978-0-7486-5405-5</t>
  </si>
  <si>
    <t>Exploring Arab Folk Literature</t>
  </si>
  <si>
    <t>Exploring Arab Folk Literature E-BOOK</t>
  </si>
  <si>
    <t>Cachia, Pierre</t>
  </si>
  <si>
    <t>978-1-4744-7023-0</t>
  </si>
  <si>
    <t>The Holocaust</t>
  </si>
  <si>
    <t>Theoretical Readings</t>
  </si>
  <si>
    <t>The Holocaust E-BOOK</t>
  </si>
  <si>
    <t>Levi, Neil / Rothberg, Michael</t>
  </si>
  <si>
    <t xml:space="preserve">Holocaust </t>
  </si>
  <si>
    <t>HIS043000 HISTORY / Holocaust</t>
  </si>
  <si>
    <t>Colorado State University 2023 EBA Selections | Colorado State University EBA Selections 2023 | Edinburgh University Press Backlist eBook-Package 2013-2000 | U Chicago P&amp;C UPL Single Titles 2024 | Western University EBA Selected eBooks 2023</t>
  </si>
  <si>
    <t>978-1-4744-0537-9</t>
  </si>
  <si>
    <t>Interventions in Contemporary Thought</t>
  </si>
  <si>
    <t>History, Politics, Aesthetics</t>
  </si>
  <si>
    <t>Interventions in Contemporary Thought E-BOOK</t>
  </si>
  <si>
    <t>Rockhill, Gabriel</t>
  </si>
  <si>
    <t>978-1-4744-7265-4</t>
  </si>
  <si>
    <t>Proclus</t>
  </si>
  <si>
    <t>Neo-Platonic Philosophy and Science</t>
  </si>
  <si>
    <t>Proclus E-BOOK</t>
  </si>
  <si>
    <t>Siorvanes, Lucas</t>
  </si>
  <si>
    <t>978-0-7486-9546-1</t>
  </si>
  <si>
    <t>Spaghetti Westerns at the Crossroads</t>
  </si>
  <si>
    <t>Studies in Relocation, Transition and Appropriation</t>
  </si>
  <si>
    <t>Spaghetti Westerns at the Crossroads E-BOOK</t>
  </si>
  <si>
    <t>978-1-4744-6850-3</t>
  </si>
  <si>
    <t>A History of Scottish Architecture</t>
  </si>
  <si>
    <t>A History of Scottish Architecture E-BOOK</t>
  </si>
  <si>
    <t>McKechnie, Aonghus / Glendinning, Miles / MacInnes, Ranald</t>
  </si>
  <si>
    <t>ARC005000 ARCHITECTURE / History / General</t>
  </si>
  <si>
    <t>978-1-4744-5623-4</t>
  </si>
  <si>
    <t>Monstrosity and Philosophy</t>
  </si>
  <si>
    <t>Radical Otherness in Greek and Latin Culture</t>
  </si>
  <si>
    <t>Monstrosity and Philosophy E-BOOK</t>
  </si>
  <si>
    <t>Lucchese, Filippo Del</t>
  </si>
  <si>
    <t>978-1-4744-6571-7</t>
  </si>
  <si>
    <t>Contemporary Scottish Women Writers</t>
  </si>
  <si>
    <t>Contemporary Scottish Women Writers E-BOOK</t>
  </si>
  <si>
    <t>Christianson, Aileen / Lumsden, Alison</t>
  </si>
  <si>
    <t>978-1-4744-1156-1</t>
  </si>
  <si>
    <t>Reading Dylan Thomas</t>
  </si>
  <si>
    <t>Reading Dylan Thomas E-BOOK</t>
  </si>
  <si>
    <t>Allen, Edward</t>
  </si>
  <si>
    <t>978-0-7486-3548-1</t>
  </si>
  <si>
    <t>Pascual de Gayangos</t>
  </si>
  <si>
    <t>A Nineteenth-Century Spanish Arabist</t>
  </si>
  <si>
    <t>Pascual de Gayangos E-BOOK</t>
  </si>
  <si>
    <t>Millan, Cristina Alvarez / Heide, Claudia</t>
  </si>
  <si>
    <t>BIO012000 BIOGRAPHY &amp; AUTOBIOGRAPHY / Reference</t>
  </si>
  <si>
    <t>978-0-7486-3388-3</t>
  </si>
  <si>
    <t>W. G. Sebald - Image, Archive, Modernity</t>
  </si>
  <si>
    <t>W. G. Sebald - Image, Archive, Modernity E-BOOK</t>
  </si>
  <si>
    <t>Long, J .J.</t>
  </si>
  <si>
    <t>978-1-4744-6905-0</t>
  </si>
  <si>
    <t>Claiming Scotland</t>
  </si>
  <si>
    <t>National Identity and Liberal Culture</t>
  </si>
  <si>
    <t>Claiming Scotland E-BOOK</t>
  </si>
  <si>
    <t>Hearn, Jonathan</t>
  </si>
  <si>
    <t>978-1-4744-3511-6</t>
  </si>
  <si>
    <t>Challenging Cosmopolitanism</t>
  </si>
  <si>
    <t>Coercion, Mobility and Displacement in Islamic Asia</t>
  </si>
  <si>
    <t>Challenging Cosmopolitanism E-BOOK</t>
  </si>
  <si>
    <t>Gedacht, Joshua / Feener, R. Michael</t>
  </si>
  <si>
    <t>978-0-7486-2701-1</t>
  </si>
  <si>
    <t>Has Devolution Delivered?</t>
  </si>
  <si>
    <t>Has Devolution Delivered? E-BOOK</t>
  </si>
  <si>
    <t>Park, Alison</t>
  </si>
  <si>
    <t>POL016000 POLITICAL SCIENCE / Political Process / General</t>
  </si>
  <si>
    <t>978-1-4744-4155-1</t>
  </si>
  <si>
    <t>Dialectical Encounters</t>
  </si>
  <si>
    <t>Contemporary Turkish Muslim Thought in Dialogue</t>
  </si>
  <si>
    <t>Dialectical Encounters E-BOOK</t>
  </si>
  <si>
    <t>Wilkinson, Taraneh</t>
  </si>
  <si>
    <t>Other Topics</t>
  </si>
  <si>
    <t>HIS037080 HISTORY / Modern / 21st Century</t>
  </si>
  <si>
    <t>978-1-4744-6928-9</t>
  </si>
  <si>
    <t>On Consciousness</t>
  </si>
  <si>
    <t>On Consciousness E-BOOK</t>
  </si>
  <si>
    <t>978-1-4744-3324-2</t>
  </si>
  <si>
    <t>Modern Islamic Authority and Social Change, Volume 1</t>
  </si>
  <si>
    <t>Evolving Debates in Muslim Majority Countries</t>
  </si>
  <si>
    <t>Modern Islamic Authority and Social Change, Volume 1 E-BOOK</t>
  </si>
  <si>
    <t>Bano, Masooda</t>
  </si>
  <si>
    <t>978-0-585-06072-9</t>
  </si>
  <si>
    <t>Driving to California</t>
  </si>
  <si>
    <t>An Unconventional Introduction to Philosophy</t>
  </si>
  <si>
    <t>Driving to California E-BOOK</t>
  </si>
  <si>
    <t>Radford, Colin</t>
  </si>
  <si>
    <t>978-1-4744-3328-0</t>
  </si>
  <si>
    <t>Modern Islamic Authority and Social Change, Volume 2</t>
  </si>
  <si>
    <t>Evolving Debates in the West</t>
  </si>
  <si>
    <t>Modern Islamic Authority and Social Change, Volume 2 E-BOOK</t>
  </si>
  <si>
    <t>978-0-7486-9946-9</t>
  </si>
  <si>
    <t>Childhood and Crime</t>
  </si>
  <si>
    <t>Childhood and Crime E-BOOK</t>
  </si>
  <si>
    <t>McDiarmid, Claire</t>
  </si>
  <si>
    <t>978-0-7486-4711-8</t>
  </si>
  <si>
    <t>Political Discourse and National Identity in Scotland</t>
  </si>
  <si>
    <t>Political Discourse and National Identity in Scotland E-BOOK</t>
  </si>
  <si>
    <t>Leith, Murray Stewart / Soule, Daniel P. J.</t>
  </si>
  <si>
    <t>978-1-4744-1451-7</t>
  </si>
  <si>
    <t>Roland Penrose</t>
  </si>
  <si>
    <t>The Life of a Surrealist</t>
  </si>
  <si>
    <t>Roland Penrose E-BOOK</t>
  </si>
  <si>
    <t>King, James</t>
  </si>
  <si>
    <t>978-1-4744-7157-2</t>
  </si>
  <si>
    <t>The Autonomy of Modern Scotland</t>
  </si>
  <si>
    <t>The Autonomy of Modern Scotland E-BOOK</t>
  </si>
  <si>
    <t>978-1-4744-0568-3</t>
  </si>
  <si>
    <t>Liberty, Property and Popular Politics</t>
  </si>
  <si>
    <t>England and Scotland, 1688-1815. Essays in Honour of H. T. Dickinson</t>
  </si>
  <si>
    <t>Liberty, Property and Popular Politics E-BOOK</t>
  </si>
  <si>
    <t>Pentland, Gordon / Davis, Michael</t>
  </si>
  <si>
    <t>978-0-7486-9550-8</t>
  </si>
  <si>
    <t>Kant's Cosmopolitics</t>
  </si>
  <si>
    <t>Contemporary Issues and Global Debates</t>
  </si>
  <si>
    <t>Kant's Cosmopolitics E-BOOK</t>
  </si>
  <si>
    <t>Brown, Garrett Wallace / Telegdi-Csetri, Áron</t>
  </si>
  <si>
    <t>978-1-4744-3117-0</t>
  </si>
  <si>
    <t>Cosmo-nationalism</t>
  </si>
  <si>
    <t>American, French and German Philosophy</t>
  </si>
  <si>
    <t>Cosmo-nationalism E-BOOK</t>
  </si>
  <si>
    <t>Keohane, Oisín</t>
  </si>
  <si>
    <t>978-0-7486-2829-2</t>
  </si>
  <si>
    <t>The Scots Imagination and Modern Memory</t>
  </si>
  <si>
    <t>The Scots Imagination and Modern Memory E-BOOK</t>
  </si>
  <si>
    <t>Blaikie, Andrew</t>
  </si>
  <si>
    <t>978-0-7486-9953-7</t>
  </si>
  <si>
    <t>The Vulnerable Witnesses Scotland Act 2004</t>
  </si>
  <si>
    <t>Text and Commentary</t>
  </si>
  <si>
    <t>The Vulnerable Witnesses Scotland Act 2004 E-BOOK</t>
  </si>
  <si>
    <t>Sharp, Laura / Ross, Margaret</t>
  </si>
  <si>
    <t>978-0-7486-7691-0</t>
  </si>
  <si>
    <t>Remembering the Past in Nineteenth-Century Scotland</t>
  </si>
  <si>
    <t>Commemoration, Nationality and Memory</t>
  </si>
  <si>
    <t>Remembering the Past in Nineteenth-Century Scotland E-BOOK</t>
  </si>
  <si>
    <t>Coleman, James</t>
  </si>
  <si>
    <t>978-1-4744-6591-5</t>
  </si>
  <si>
    <t>Fragile Land</t>
  </si>
  <si>
    <t>The State of the Scottish Environment</t>
  </si>
  <si>
    <t>Fragile Land E-BOOK</t>
  </si>
  <si>
    <t>Cramb, Auslan</t>
  </si>
  <si>
    <t>978-1-4744-7336-1</t>
  </si>
  <si>
    <t>The Gods of Ancient Rome</t>
  </si>
  <si>
    <t>Religion in Everyday Life from Archaic to Imperial Times</t>
  </si>
  <si>
    <t>The Gods of Ancient Rome E-BOOK</t>
  </si>
  <si>
    <t>Turcan, Robert</t>
  </si>
  <si>
    <t>978-1-4744-8130-4</t>
  </si>
  <si>
    <t>The Collected Works of Kenneth White, Volume 1</t>
  </si>
  <si>
    <t>Underground to Otherground</t>
  </si>
  <si>
    <t>The Collected Works of Kenneth White, Volume 1 E-BOOK</t>
  </si>
  <si>
    <t>White, Kenneth / Craig, Cairns</t>
  </si>
  <si>
    <t>978-1-4744-7172-5</t>
  </si>
  <si>
    <t>The Early Prehistory of Scotland</t>
  </si>
  <si>
    <t>The Early Prehistory of Scotland E-BOOK</t>
  </si>
  <si>
    <t>Pollard, Tony / Morrison, Alex</t>
  </si>
  <si>
    <t>978-1-4744-1937-6</t>
  </si>
  <si>
    <t>Campus Talk, Volume 1</t>
  </si>
  <si>
    <t>Effective Communication beyond the Classroom</t>
  </si>
  <si>
    <t>Campus Talk, Volume 1 E-BOOK</t>
  </si>
  <si>
    <t>Dushku, Silvana / Thompson, Paul</t>
  </si>
  <si>
    <t>Curriculum and Pedagogy</t>
  </si>
  <si>
    <t>EDU029000 EDUCATION / Teaching Methods &amp; Materials / General</t>
  </si>
  <si>
    <t>EBOOK PACKAGE COMPLETE 2022 | EBOOK PACKAGE COMPLETE 2022 English | EBOOK PACKAGE Education, Psychology, Comm 2022 English | EBOOK PACKAGE Education, Psychology, Communication 2022 | Edinburgh University Press Complete eBook-Package 2021</t>
  </si>
  <si>
    <t>978-1-4744-6430-7</t>
  </si>
  <si>
    <t>Ecologism</t>
  </si>
  <si>
    <t>Ecologism E-BOOK</t>
  </si>
  <si>
    <t>Baxter, Brian</t>
  </si>
  <si>
    <t>978-1-4744-4580-1</t>
  </si>
  <si>
    <t>Evolution Before Darwin</t>
  </si>
  <si>
    <t>Theories of the Transmutation of Species in Edinburgh, 1804–1834</t>
  </si>
  <si>
    <t>Evolution Before Darwin E-BOOK</t>
  </si>
  <si>
    <t>Jenkins, Bill</t>
  </si>
  <si>
    <t>978-1-4744-7119-0</t>
  </si>
  <si>
    <t>Scottish Independence</t>
  </si>
  <si>
    <t>A Practical Guide</t>
  </si>
  <si>
    <t>Scottish Independence E-BOOK</t>
  </si>
  <si>
    <t>Keating, Michael / Murkens, Jo E. / Jones, Peter</t>
  </si>
  <si>
    <t>978-1-4744-6600-4</t>
  </si>
  <si>
    <t>Everyday English 1500-1700</t>
  </si>
  <si>
    <t>Everyday English 1500-1700 E-BOOK</t>
  </si>
  <si>
    <t>Cusack, Bridget</t>
  </si>
  <si>
    <t>978-0-7486-2894-0</t>
  </si>
  <si>
    <t>Film Histories</t>
  </si>
  <si>
    <t>An Introduction and Reader</t>
  </si>
  <si>
    <t>Film Histories E-BOOK</t>
  </si>
  <si>
    <t>Monteith, Sharon / Grainge, Paul / Jancovich, Mark</t>
  </si>
  <si>
    <t>978-1-4744-6926-5</t>
  </si>
  <si>
    <t>Literacy</t>
  </si>
  <si>
    <t>Literacy E-BOOK</t>
  </si>
  <si>
    <t>Holme, Randal</t>
  </si>
  <si>
    <t>LAN010000 LANGUAGE ARTS &amp; DISCIPLINES / Literacy</t>
  </si>
  <si>
    <t>978-1-4744-2267-3</t>
  </si>
  <si>
    <t>British Multiculturalism and the Politics of Representation</t>
  </si>
  <si>
    <t>British Multiculturalism and the Politics of Represen E-BOOK</t>
  </si>
  <si>
    <t>Thomassen, Lasse</t>
  </si>
  <si>
    <t>978-1-4744-2504-9</t>
  </si>
  <si>
    <t>Language and Meaning in the Age of Modernism</t>
  </si>
  <si>
    <t>C.K. Ogden and His Contemporaries</t>
  </si>
  <si>
    <t>Language and Meaning in the Age of Modernism E-BOOK</t>
  </si>
  <si>
    <t>McElvenny, James</t>
  </si>
  <si>
    <t>978-0-7486-2826-1</t>
  </si>
  <si>
    <t>Race in the American South</t>
  </si>
  <si>
    <t>From Slavery to Civil Rights</t>
  </si>
  <si>
    <t>Race in the American South E-BOOK</t>
  </si>
  <si>
    <t>Brown, David / Webb, Clive</t>
  </si>
  <si>
    <t>978-1-4744-1529-3</t>
  </si>
  <si>
    <t>Political Change in the Middle East and North Africa</t>
  </si>
  <si>
    <t>After the Arab Spring</t>
  </si>
  <si>
    <t>Political Change in the Middle East and North Africa E-BOOK</t>
  </si>
  <si>
    <t>Szmolka, Inmaculada</t>
  </si>
  <si>
    <t>978-0-7486-3126-1</t>
  </si>
  <si>
    <t>Manifesto for Silence</t>
  </si>
  <si>
    <t>Confronting the Politics and Culture of Noise</t>
  </si>
  <si>
    <t>Manifesto for Silence E-BOOK</t>
  </si>
  <si>
    <t>978-1-4744-6843-5</t>
  </si>
  <si>
    <t>Synagogues in the Islamic World</t>
  </si>
  <si>
    <t>Architecture, Design and Identity</t>
  </si>
  <si>
    <t>Synagogues in the Islamic World E-BOOK</t>
  </si>
  <si>
    <t>Gharipour, Mohammad</t>
  </si>
  <si>
    <t>978-0-7486-9923-0</t>
  </si>
  <si>
    <t>The Making and Unmaking of Francoist Kitsch Cinema</t>
  </si>
  <si>
    <t>From Raza to Pan's Labyrinth</t>
  </si>
  <si>
    <t>The Making and Unmaking of Francoist Kitsch Cinema E-BOOK</t>
  </si>
  <si>
    <t>Yarza, Alejandro</t>
  </si>
  <si>
    <t>978-0-7486-3115-5</t>
  </si>
  <si>
    <t>Turkish Myth and Muslim Symbol</t>
  </si>
  <si>
    <t>The Battle of Manzikert</t>
  </si>
  <si>
    <t>Turkish Myth and Muslim Symbol E-BOOK</t>
  </si>
  <si>
    <t>978-0-7486-3636-5</t>
  </si>
  <si>
    <t>Language Teaching</t>
  </si>
  <si>
    <t>Linguistic Theory in Practice</t>
  </si>
  <si>
    <t>Language Teaching E-BOOK</t>
  </si>
  <si>
    <t>Whong, Melinda</t>
  </si>
  <si>
    <t>Edinburgh University Press Backlist eBook-Package 2013-2000 | Western U EBA 2023 eBooks Package</t>
  </si>
  <si>
    <t>978-0-7486-7644-6</t>
  </si>
  <si>
    <t>Virginia Woolf and the Materiality of Theory</t>
  </si>
  <si>
    <t>Sex, Animal, Life</t>
  </si>
  <si>
    <t>Virginia Woolf and the Materiality of Theory E-BOOK</t>
  </si>
  <si>
    <t>Ryan, Derek</t>
  </si>
  <si>
    <t>978-1-4744-1800-3</t>
  </si>
  <si>
    <t>Contemporary Turkey in Conflict</t>
  </si>
  <si>
    <t>Ethnicity, Islam and Politics</t>
  </si>
  <si>
    <t>Contemporary Turkey in Conflict E-BOOK</t>
  </si>
  <si>
    <t>Abbas, Tahir</t>
  </si>
  <si>
    <t>978-1-4744-5050-8</t>
  </si>
  <si>
    <t>War in Space</t>
  </si>
  <si>
    <t>Strategy, Spacepower, Geopolitics</t>
  </si>
  <si>
    <t>War in Space E-BOOK</t>
  </si>
  <si>
    <t>Bowen, Bleddyn E.</t>
  </si>
  <si>
    <t>978-1-4744-3143-9</t>
  </si>
  <si>
    <t>Seeing Degree Zero</t>
  </si>
  <si>
    <t>Barthes/Burgin and Political Aesthetics</t>
  </si>
  <si>
    <t>Seeing Degree Zero E-BOOK</t>
  </si>
  <si>
    <t>Bishop, Ryan / Manghani, Sunil</t>
  </si>
  <si>
    <t>978-1-4744-6778-0</t>
  </si>
  <si>
    <t>From Chiefs to Landlords</t>
  </si>
  <si>
    <t>Social and Economic Change in the Western Highlands &amp; Islands</t>
  </si>
  <si>
    <t>From Chiefs to Landlords E-BOOK</t>
  </si>
  <si>
    <t>Dodgshon, Robert</t>
  </si>
  <si>
    <t>978-0-7486-9593-5</t>
  </si>
  <si>
    <t>The European Avant-Gardes, 1905-1935</t>
  </si>
  <si>
    <t>A Portable Guide</t>
  </si>
  <si>
    <t>The European Avant-Gardes, 1905-1935 E-BOOK</t>
  </si>
  <si>
    <t>Bru, Sascha</t>
  </si>
  <si>
    <t>978-0-7486-8264-5</t>
  </si>
  <si>
    <t>The United States and the Iranian Nuclear Programme</t>
  </si>
  <si>
    <t>A Critical History</t>
  </si>
  <si>
    <t>The United States and the Iranian Nuclear Programme E-BOOK</t>
  </si>
  <si>
    <t>United States of America</t>
  </si>
  <si>
    <t>HIS036060 HISTORY / United States / 20th Century</t>
  </si>
  <si>
    <t>978-1-4744-0189-0</t>
  </si>
  <si>
    <t>Multiculturalism Rethought</t>
  </si>
  <si>
    <t>Interpretations, Dilemmas and New Directions</t>
  </si>
  <si>
    <t>Multiculturalism Rethought E-BOOK</t>
  </si>
  <si>
    <t>Uberoi, Varun / Modood, Tariq</t>
  </si>
  <si>
    <t>978-1-4744-7185-5</t>
  </si>
  <si>
    <t>Sexuality and Democracy</t>
  </si>
  <si>
    <t>Identities and Strategies in Lesbian and Gay Politics</t>
  </si>
  <si>
    <t>Sexuality and Democracy E-BOOK</t>
  </si>
  <si>
    <t>Rahman, Momin</t>
  </si>
  <si>
    <t>978-0-7486-3733-1</t>
  </si>
  <si>
    <t>Public Violence in Islamic Societies</t>
  </si>
  <si>
    <t>Power, Discipline, and the Construction of the Public Sphere, 7th-19th Centuries CE</t>
  </si>
  <si>
    <t>Public Violence in Islamic Societies E-BOOK</t>
  </si>
  <si>
    <t>Lange, Christian / Fierro, Maribel</t>
  </si>
  <si>
    <t>978-1-4744-5292-2</t>
  </si>
  <si>
    <t>Language and Dialect Contact in Ireland</t>
  </si>
  <si>
    <t>The Phonological Origins of Mid-Ulster English</t>
  </si>
  <si>
    <t>Language and Dialect Contact in Ireland E-BOOK</t>
  </si>
  <si>
    <t>Maguire, Warren</t>
  </si>
  <si>
    <t>978-1-4744-3715-8</t>
  </si>
  <si>
    <t>Rethinking Political Judgement</t>
  </si>
  <si>
    <t>Arendt and Existentialism</t>
  </si>
  <si>
    <t>Rethinking Political Judgement E-BOOK</t>
  </si>
  <si>
    <t>Mrovlje, Maša</t>
  </si>
  <si>
    <t>978-1-4744-5678-4</t>
  </si>
  <si>
    <t>Migrants' Perspectives, Migrants in Perspective</t>
  </si>
  <si>
    <t>World Cinema</t>
  </si>
  <si>
    <t>Migrants' Perspectives, Migrants in Perspective E-BOOK</t>
  </si>
  <si>
    <t>Wallenbrock, Nicole Beth / Jacob, Frank</t>
  </si>
  <si>
    <t>978-0-7486-8250-8</t>
  </si>
  <si>
    <t>Writing for The New Yorker</t>
  </si>
  <si>
    <t>Critical Essays on an American Periodical</t>
  </si>
  <si>
    <t>Writing for The New Yorker E-BOOK</t>
  </si>
  <si>
    <t>Green, Fiona</t>
  </si>
  <si>
    <t>978-1-4744-5862-7</t>
  </si>
  <si>
    <t>Nile</t>
  </si>
  <si>
    <t>Urban Histories on the Banks of a River</t>
  </si>
  <si>
    <t>Nile E-BOOK</t>
  </si>
  <si>
    <t>AlSayyad, Nezar</t>
  </si>
  <si>
    <t>978-1-4744-0293-4</t>
  </si>
  <si>
    <t>Lyric Cousins</t>
  </si>
  <si>
    <t>Poetry and Musical Form</t>
  </si>
  <si>
    <t>Lyric Cousins E-BOOK</t>
  </si>
  <si>
    <t>Sampson, Fiona</t>
  </si>
  <si>
    <t>978-0-7486-9902-5</t>
  </si>
  <si>
    <t>Fear and the Making of Foreign Policy</t>
  </si>
  <si>
    <t>Europe and Beyond</t>
  </si>
  <si>
    <t>Fear and the Making of Foreign Policy E-BOOK</t>
  </si>
  <si>
    <t>978-0-7486-7955-3</t>
  </si>
  <si>
    <t>Scottish History</t>
  </si>
  <si>
    <t>The Power of the Past</t>
  </si>
  <si>
    <t>Scottish History E-BOOK</t>
  </si>
  <si>
    <t>Cowan, Edward J / Finlay, Richard  J</t>
  </si>
  <si>
    <t>978-0-7486-3208-4</t>
  </si>
  <si>
    <t>Modern Feminist Thought</t>
  </si>
  <si>
    <t>From the Second Wave to 'Post-Feminism'</t>
  </si>
  <si>
    <t>Modern Feminist Thought E-BOOK</t>
  </si>
  <si>
    <t>Whelehan, Imelda</t>
  </si>
  <si>
    <t>Edinburgh University Press Archive eBook-Package Pre-2000 | University of South Florida 2024 EBA Selections</t>
  </si>
  <si>
    <t>978-1-4744-5457-5</t>
  </si>
  <si>
    <t>Neoliberalism and Political Theology</t>
  </si>
  <si>
    <t>From Kant to Identity Politics</t>
  </si>
  <si>
    <t>Neoliberalism and Political Theology E-BOOK</t>
  </si>
  <si>
    <t>Raschke, Carl</t>
  </si>
  <si>
    <t>Economic Theory, Systems and Structures</t>
  </si>
  <si>
    <t>BUS069030 BUSINESS &amp; ECONOMICS / Economics / Theory</t>
  </si>
  <si>
    <t>978-1-4744-6784-1</t>
  </si>
  <si>
    <t>Nietzsche on Epistemology and Metaphysics</t>
  </si>
  <si>
    <t>The World in View</t>
  </si>
  <si>
    <t>Nietzsche on Epistemology and Metaphysics E-BOOK</t>
  </si>
  <si>
    <t>Doyle, Tsarina</t>
  </si>
  <si>
    <t>978-0-7486-9096-1</t>
  </si>
  <si>
    <t>British Modernism and Chinoiserie</t>
  </si>
  <si>
    <t>British Modernism and Chinoiserie E-BOOK</t>
  </si>
  <si>
    <t>Witchard, Anne</t>
  </si>
  <si>
    <t>978-1-4744-7201-2</t>
  </si>
  <si>
    <t>Shakespeare's Late Plays</t>
  </si>
  <si>
    <t>New Readings</t>
  </si>
  <si>
    <t>Shakespeare's Late Plays E-BOOK</t>
  </si>
  <si>
    <t>Richards, Jennifer / Knowles, James</t>
  </si>
  <si>
    <t>978-1-4744-0120-3</t>
  </si>
  <si>
    <t>Hobbes and Modern Political Thought</t>
  </si>
  <si>
    <t>Hobbes and Modern Political Thought E-BOOK</t>
  </si>
  <si>
    <t>Zarka, Yves Charles / Griffith, James</t>
  </si>
  <si>
    <t>978-1-4744-5992-1</t>
  </si>
  <si>
    <t>Commemorative Modernisms</t>
  </si>
  <si>
    <t>Women Writers, Death and the First World War</t>
  </si>
  <si>
    <t>Commemorative Modernisms E-BOOK</t>
  </si>
  <si>
    <t>Kelly, Alice</t>
  </si>
  <si>
    <t>978-1-4744-9711-4</t>
  </si>
  <si>
    <t>The Shadow Across the Page</t>
  </si>
  <si>
    <t>978-1-4744-6901-2</t>
  </si>
  <si>
    <t>Collected Poems and Songs of George Campbell Hay</t>
  </si>
  <si>
    <t>Collected Poems and Songs of George Campbell Hay E-BOOK</t>
  </si>
  <si>
    <t>The W. L. Lorimer Memorial Tru / Hay, George Campbell / Byrne, Michel</t>
  </si>
  <si>
    <t>978-1-4744-3701-1</t>
  </si>
  <si>
    <t>The Invisibilities of Political Torture</t>
  </si>
  <si>
    <t>The Presence of Absence in US and Chilean Cinema and Television</t>
  </si>
  <si>
    <t>The Invisibilities of Political Torture E-BOOK</t>
  </si>
  <si>
    <t>Jung, Berenike</t>
  </si>
  <si>
    <t>978-1-4744-5062-1</t>
  </si>
  <si>
    <t>Contemporary Scottish Poetry and the Natural World</t>
  </si>
  <si>
    <t>Burnside, Jamie, Robertson and White</t>
  </si>
  <si>
    <t>Contemporary Scottish Poetry and the Natural World E-BOOK</t>
  </si>
  <si>
    <t>Szuba, Monika</t>
  </si>
  <si>
    <t>978-0-7486-3047-9</t>
  </si>
  <si>
    <t>Death and the Moving Image</t>
  </si>
  <si>
    <t>Ideology, Iconography and I</t>
  </si>
  <si>
    <t>Death and the Moving Image E-BOOK</t>
  </si>
  <si>
    <t>Aaron, Michele</t>
  </si>
  <si>
    <t>978-1-4744-6387-4</t>
  </si>
  <si>
    <t>Censorship in Theatre and Cinema</t>
  </si>
  <si>
    <t>Censorship in Theatre and Cinema E-BOOK</t>
  </si>
  <si>
    <t>Aldgate, Anthony / Robertson, James C.</t>
  </si>
  <si>
    <t>978-0-7486-8615-5</t>
  </si>
  <si>
    <t>Dundee and the Empire</t>
  </si>
  <si>
    <t>‘Juteopolis’ 1850-1939</t>
  </si>
  <si>
    <t>Dundee and the Empire E-BOOK</t>
  </si>
  <si>
    <t>Tomlinson, Jim</t>
  </si>
  <si>
    <t>978-0-7486-2678-6</t>
  </si>
  <si>
    <t>Modern North American Criticism and Theory</t>
  </si>
  <si>
    <t>Modern North American Criticism and Theory E-BOOK</t>
  </si>
  <si>
    <t>978-0-7486-6978-3</t>
  </si>
  <si>
    <t>Language, Borders and Identity</t>
  </si>
  <si>
    <t>Language, Borders and Identity E-BOOK</t>
  </si>
  <si>
    <t>Watt, Dominic / Llamas, Carmen</t>
  </si>
  <si>
    <t>978-1-4744-7299-9</t>
  </si>
  <si>
    <t>Language and Power in the Modern World</t>
  </si>
  <si>
    <t>Language and Power in the Modern World E-BOOK</t>
  </si>
  <si>
    <t>Atkinson, David / Talbot, Mary / Atkinson, Karen</t>
  </si>
  <si>
    <t>978-1-4744-7787-1</t>
  </si>
  <si>
    <t>Western China on Screen</t>
  </si>
  <si>
    <t>An Urban Exploration</t>
  </si>
  <si>
    <t>Western China on Screen E-BOOK</t>
  </si>
  <si>
    <t>Zou, Hongyan</t>
  </si>
  <si>
    <t>978-1-4744-6545-8</t>
  </si>
  <si>
    <t>The University of Glasgow</t>
  </si>
  <si>
    <t>1451-1996</t>
  </si>
  <si>
    <t>The University of Glasgow E-BOOK</t>
  </si>
  <si>
    <t>Brown, A L / Moss, Michael</t>
  </si>
  <si>
    <t>978-1-4744-3797-4</t>
  </si>
  <si>
    <t>Learning from the History of British Interventions in the Middle East</t>
  </si>
  <si>
    <t>Learning from the History of British Interventions in E-BOOK</t>
  </si>
  <si>
    <t>Kettle, Louise</t>
  </si>
  <si>
    <t>978-1-4744-4419-4</t>
  </si>
  <si>
    <t>A History of Scottish Child Protection Law</t>
  </si>
  <si>
    <t>A History of Scottish Child Protection Law E-BOOK</t>
  </si>
  <si>
    <t>Norrie, Kenneth McK.</t>
  </si>
  <si>
    <t>978-0-7486-4657-9</t>
  </si>
  <si>
    <t>Times of Troubles</t>
  </si>
  <si>
    <t>Britain's War in Northern Ireland</t>
  </si>
  <si>
    <t>Times of Troubles E-BOOK</t>
  </si>
  <si>
    <t>Sanders, Andrew / Wood, Ian S.</t>
  </si>
  <si>
    <t>978-1-4744-4802-4</t>
  </si>
  <si>
    <t>The Making of Classical Edinburgh</t>
  </si>
  <si>
    <t>With Photographs by Edwin Smith</t>
  </si>
  <si>
    <t>The Making of Classical Edinburgh E-BOOK</t>
  </si>
  <si>
    <t>Mclean, Colin / Youngson, A J / Smith, Edwin</t>
  </si>
  <si>
    <t>ARC005070 ARCHITECTURE / History / Modern (late 19th Century to 1945)</t>
  </si>
  <si>
    <t>978-1-4744-1201-8</t>
  </si>
  <si>
    <t>Evidence and Proof in Scotland</t>
  </si>
  <si>
    <t>Context and Critique</t>
  </si>
  <si>
    <t>Evidence and Proof in Scotland E-BOOK</t>
  </si>
  <si>
    <t>Nicolson, Donald</t>
  </si>
  <si>
    <t>LAW037000 LAW / Evidence</t>
  </si>
  <si>
    <t>Edinburgh University Press Complete eBook-Package 2019 | Pick and Choose Law eBook Package BU 2022 | Pick and Choose eBook Package Cornell Eng Law 2000-2021 | UCB LAW SCHOOL Pick &amp; Choose 2022 | Yale P&amp;C Law Package 2023</t>
  </si>
  <si>
    <t>978-0-7486-9444-0</t>
  </si>
  <si>
    <t>Narrative, Identity and the Kierkegaardian Self</t>
  </si>
  <si>
    <t>Narrative, Identity and the Kierkegaardian Self E-BOOK</t>
  </si>
  <si>
    <t>Lippitt, John / Stokes, Patrick</t>
  </si>
  <si>
    <t>978-1-4744-2087-7</t>
  </si>
  <si>
    <t>The Politics of Arabic in Israel</t>
  </si>
  <si>
    <t>A Sociolinguistic Analysis</t>
  </si>
  <si>
    <t>The Politics of Arabic in Israel E-BOOK</t>
  </si>
  <si>
    <t>Suleiman, Camelia</t>
  </si>
  <si>
    <t>978-0-7486-7447-3</t>
  </si>
  <si>
    <t>Being Scottish</t>
  </si>
  <si>
    <t>Personal Reflections on Scottish Identity Today</t>
  </si>
  <si>
    <t>Being Scottish E-BOOK</t>
  </si>
  <si>
    <t>Devine, Tom M. / Logue, Paddy</t>
  </si>
  <si>
    <t>978-0-7486-8314-7</t>
  </si>
  <si>
    <t>The Animal Question in Deconstruction</t>
  </si>
  <si>
    <t>The Animal Question in Deconstruction E-BOOK</t>
  </si>
  <si>
    <t>Turner, Lynn</t>
  </si>
  <si>
    <t>978-1-4744-4262-6</t>
  </si>
  <si>
    <t>The Constructivist Turn in Political Representation</t>
  </si>
  <si>
    <t>The Constructivist Turn in Political Representation E-BOOK</t>
  </si>
  <si>
    <t>Urbinati, Nadia / Disch, Lisa / van de Sande, Mathijs</t>
  </si>
  <si>
    <t>978-0-7486-2711-0</t>
  </si>
  <si>
    <t>From Trocchi to Trainspotting – Scottish Critical Theory Since 1960</t>
  </si>
  <si>
    <t>From Trocchi to Trainspotting – Scottish Critical The E-BOOK</t>
  </si>
  <si>
    <t>Gardiner, Michael</t>
  </si>
  <si>
    <t>978-1-4744-6871-8</t>
  </si>
  <si>
    <t>Living Philosophy</t>
  </si>
  <si>
    <t>Reflections on Life, Meaning and Morality</t>
  </si>
  <si>
    <t>Living Philosophy E-BOOK</t>
  </si>
  <si>
    <t>Hamilton, Christopher</t>
  </si>
  <si>
    <t>978-0-7486-3698-3</t>
  </si>
  <si>
    <t>Humanitarian Intervention and the United Nations</t>
  </si>
  <si>
    <t>Humanitarian Intervention and the United Nations E-BOOK</t>
  </si>
  <si>
    <t>MacQueen, Norrie</t>
  </si>
  <si>
    <t>978-1-4744-6538-0</t>
  </si>
  <si>
    <t>Aesthetics of the Natural Environment</t>
  </si>
  <si>
    <t>Aesthetics of the Natural Environment E-BOOK</t>
  </si>
  <si>
    <t>Brady, Emily</t>
  </si>
  <si>
    <t>NAT011000 NATURE / Environmental Conservation &amp; Protection</t>
  </si>
  <si>
    <t>978-1-4744-6837-4</t>
  </si>
  <si>
    <t>The Poems of Ossian and Related Works</t>
  </si>
  <si>
    <t>James Macpherson</t>
  </si>
  <si>
    <t>The Poems of Ossian and Related Works E-BOOK</t>
  </si>
  <si>
    <t>Gaskill, Howard</t>
  </si>
  <si>
    <t>978-1-4744-0100-5</t>
  </si>
  <si>
    <t>The Languages of Business</t>
  </si>
  <si>
    <t>An International Perspective</t>
  </si>
  <si>
    <t>The Languages of Business E-BOOK</t>
  </si>
  <si>
    <t>Bargiela-Chiappini, Francesca / Harris, Sandra</t>
  </si>
  <si>
    <t>978-0-7486-3028-8</t>
  </si>
  <si>
    <t>The Edinburgh Companion to Contemporary Scottish Literature</t>
  </si>
  <si>
    <t>The Edinburgh Companion to Contemporary Scottish Lite E-BOOK</t>
  </si>
  <si>
    <t>Schoene, Berthold</t>
  </si>
  <si>
    <t>978-1-4744-5767-5</t>
  </si>
  <si>
    <t>Deleuze, Guattari and the Art of Multiplicity</t>
  </si>
  <si>
    <t>Deleuze, Guattari and the Art of Multiplicity E-BOOK</t>
  </si>
  <si>
    <t>Przedpełski, Radek / Wilmer, S. E.</t>
  </si>
  <si>
    <t>Edinburgh University Press Complete eBook-Package 2020 | Universidad Santiago Chile P&amp;C 2024</t>
  </si>
  <si>
    <t>978-1-4744-7339-2</t>
  </si>
  <si>
    <t>The Scottish Novel since the Seventies</t>
  </si>
  <si>
    <t>The Scottish Novel since the Seventies E-BOOK</t>
  </si>
  <si>
    <t>Wallace, Stuart / Stevenson, Randall</t>
  </si>
  <si>
    <t>978-0-7486-9639-0</t>
  </si>
  <si>
    <t>Scotland’s Choices</t>
  </si>
  <si>
    <t>How Independence Would Work</t>
  </si>
  <si>
    <t>Scotland’s Choices E-BOOK</t>
  </si>
  <si>
    <t>Lodge, Guy / McLean, Iain / Gallagher, Jim</t>
  </si>
  <si>
    <t>978-1-4744-6354-6</t>
  </si>
  <si>
    <t>Big Data and Democracy</t>
  </si>
  <si>
    <t>Big Data and Democracy E-BOOK</t>
  </si>
  <si>
    <t>Macnish, Kevin / Galliott, Jai</t>
  </si>
  <si>
    <t>978-1-4744-7922-6</t>
  </si>
  <si>
    <t>Sex, Consent and Justice</t>
  </si>
  <si>
    <t>A New Feminist Framework</t>
  </si>
  <si>
    <t>Sex, Consent and Justice E-BOOK</t>
  </si>
  <si>
    <t>Sikka, Tina</t>
  </si>
  <si>
    <t>LAW043000 LAW / Gender &amp; the Law</t>
  </si>
  <si>
    <t>EBOOK PACKAGE COMPLETE 2021 | EBOOK PACKAGE COMPLETE 2021 English | EBOOK PACKAGE Law 2021 | EBOOK PACKAGE Law 2021 English | Edinburgh University Press Complete eBook-Package 2021 | Pick and Choose Law eBook Package BU 2022 | Pick and Choose Law eBook Package U Tennessee 2022 | Pick and Choose Law eBook WUSTL 2022 Part 1 | Pick and Choose eBook Package Cornell Eng Law 2000-2021 | UCB LAW SCHOOL Pick &amp; Choose 2022 | Yale P&amp;C Law Package 2023</t>
  </si>
  <si>
    <t>978-1-4744-2394-6</t>
  </si>
  <si>
    <t>The American Short Story Cycle</t>
  </si>
  <si>
    <t>The American Short Story Cycle E-BOOK</t>
  </si>
  <si>
    <t>Smith, Jennifer J.</t>
  </si>
  <si>
    <t>978-0-7486-3053-0</t>
  </si>
  <si>
    <t>The Scottish Parliament under Charles II, 1660-1685</t>
  </si>
  <si>
    <t>The Scottish Parliament under Charles II, 1660-1685 E-BOOK</t>
  </si>
  <si>
    <t>MacIntosh, Gillian</t>
  </si>
  <si>
    <t>978-0-7486-3526-9</t>
  </si>
  <si>
    <t>Deleuze and the Cinemas of Performance</t>
  </si>
  <si>
    <t>Powers of Affection</t>
  </si>
  <si>
    <t>Deleuze and the Cinemas of Performance E-BOOK</t>
  </si>
  <si>
    <t>del Río, Elena</t>
  </si>
  <si>
    <t>978-1-4744-6978-4</t>
  </si>
  <si>
    <t>William Hunter and the Hunterian Museum in Glasgow, 1807-2007</t>
  </si>
  <si>
    <t>William Hunter and the Hunterian Museum in Glasgow, 1 E-BOOK</t>
  </si>
  <si>
    <t>Keppie, Lawrence</t>
  </si>
  <si>
    <t>978-1-4744-5054-6</t>
  </si>
  <si>
    <t>Armenia and Azerbaijan</t>
  </si>
  <si>
    <t>Anatomy of a Rivalry</t>
  </si>
  <si>
    <t>Armenia and Azerbaijan E-BOOK</t>
  </si>
  <si>
    <t>Broers, Laurence</t>
  </si>
  <si>
    <t>978-0-7486-9363-4</t>
  </si>
  <si>
    <t>The Concept of the State in International Relations</t>
  </si>
  <si>
    <t>Philosophy, Sovereignty and Cosmopolitanism</t>
  </si>
  <si>
    <t>The Concept of the State in International Relations E-BOOK</t>
  </si>
  <si>
    <t>Schuett, Robert / Stirk, Peter M. R.</t>
  </si>
  <si>
    <t>978-1-4744-4718-8</t>
  </si>
  <si>
    <t>Refugees in Britain</t>
  </si>
  <si>
    <t>Practices of Hospitality and Labelling</t>
  </si>
  <si>
    <t>Refugees in Britain E-BOOK</t>
  </si>
  <si>
    <t>McFadyen, Gillian</t>
  </si>
  <si>
    <t>978-0-7486-3775-1</t>
  </si>
  <si>
    <t>Scottish Literature and Postcolonial Literature</t>
  </si>
  <si>
    <t>Comparative Texts and Critical Perspectives</t>
  </si>
  <si>
    <t>Scottish Literature and Postcolonial Literature E-BOOK</t>
  </si>
  <si>
    <t>O'Gallagher, Niall / Gardiner, Michael / Macdonald, Graeme</t>
  </si>
  <si>
    <t>978-0-7486-9548-5</t>
  </si>
  <si>
    <t>Special Affects</t>
  </si>
  <si>
    <t>Cinema, Animation and the Translation of Consumer Culture</t>
  </si>
  <si>
    <t>Special Affects E-BOOK</t>
  </si>
  <si>
    <t>Jenkins, Eric</t>
  </si>
  <si>
    <t>978-1-4744-0334-4</t>
  </si>
  <si>
    <t>The European Charter of Local Self-Government</t>
  </si>
  <si>
    <t>A Treaty for Local Democracy</t>
  </si>
  <si>
    <t>The European Charter of Local Self-Government E-BOOK</t>
  </si>
  <si>
    <t>Himsworth, Chris</t>
  </si>
  <si>
    <t>Edinburgh University Press Complete eBook-Package 2014-2015 | Pick and Choose Law eBook Package BU 2022 | Pick and Choose Law eBook WUSTL 2022 Part 1 | Pick and Choose eBook Package Cornell Eng Law 2000-2021 | UCB LAW SCHOOL Pick &amp; Choose 2022 | Yale P&amp;C Law Package 2023</t>
  </si>
  <si>
    <t>978-0-7486-8340-6</t>
  </si>
  <si>
    <t>Scottish Women</t>
  </si>
  <si>
    <t>A Documentary History, 1780-1914</t>
  </si>
  <si>
    <t>Scottish Women E-BOOK</t>
  </si>
  <si>
    <t>Orr, Lesley</t>
  </si>
  <si>
    <t>978-1-4744-0300-9</t>
  </si>
  <si>
    <t>Contemporary Spanish Gothic</t>
  </si>
  <si>
    <t>Contemporary Spanish Gothic E-BOOK</t>
  </si>
  <si>
    <t>Davies, Ann</t>
  </si>
  <si>
    <t>LIT004180 LITERARY CRITICISM / Gothic &amp; Romance</t>
  </si>
  <si>
    <t>978-1-4744-8854-9</t>
  </si>
  <si>
    <t>Tennyson and Goethe’s Faust</t>
  </si>
  <si>
    <t>Tennyson and Goethe’s Faust E-BOOK</t>
  </si>
  <si>
    <t>Baynes, Tom</t>
  </si>
  <si>
    <t>978-0-7486-3011-0</t>
  </si>
  <si>
    <t>Scottish Independence and the Idea of Britain</t>
  </si>
  <si>
    <t>From the Picts to Alexander III</t>
  </si>
  <si>
    <t>Scottish Independence and the Idea of Britain E-BOOK</t>
  </si>
  <si>
    <t>Broun, Dauvit</t>
  </si>
  <si>
    <t>978-1-4744-5478-0</t>
  </si>
  <si>
    <t>Russia’s New Authoritarianism</t>
  </si>
  <si>
    <t>Putin and the Politics of Order</t>
  </si>
  <si>
    <t>Russia’s New Authoritarianism E-BOOK</t>
  </si>
  <si>
    <t>Lewis, David G.</t>
  </si>
  <si>
    <t>POL060000 POLITICAL SCIENCE / World / Russian &amp; Former Soviet Union</t>
  </si>
  <si>
    <t>978-0-7486-4211-3</t>
  </si>
  <si>
    <t>The Modern SNP</t>
  </si>
  <si>
    <t>From Protest to Power</t>
  </si>
  <si>
    <t>The Modern SNP E-BOOK</t>
  </si>
  <si>
    <t>Hassan, Gerry</t>
  </si>
  <si>
    <t>Domestic Policy, Parties, Other Political Organizations</t>
  </si>
  <si>
    <t>POL015000 POLITICAL SCIENCE / Political Process / Political Parties</t>
  </si>
  <si>
    <t>978-0-7486-8559-2</t>
  </si>
  <si>
    <t>Myth of the Western</t>
  </si>
  <si>
    <t>New Perspectives on Hollywood's Frontier Narrative</t>
  </si>
  <si>
    <t>Myth of the Western E-BOOK</t>
  </si>
  <si>
    <t>Carter, Matthew</t>
  </si>
  <si>
    <t>978-0-7486-4632-6</t>
  </si>
  <si>
    <t>Hannah Arendt and Political Theory</t>
  </si>
  <si>
    <t>Challenging the Tradition</t>
  </si>
  <si>
    <t>Hannah Arendt and Political Theory E-BOOK</t>
  </si>
  <si>
    <t>Buckler, Steve</t>
  </si>
  <si>
    <t>978-0-7486-2883-4</t>
  </si>
  <si>
    <t>Violence and the Cultural Politics of Trauma</t>
  </si>
  <si>
    <t>Violence and the Cultural Politics of Trauma E-BOOK</t>
  </si>
  <si>
    <t>Kilby, Jane</t>
  </si>
  <si>
    <t>POL038000 POLITICAL SCIENCE / Public Policy / Cultural Policy</t>
  </si>
  <si>
    <t>978-0-7486-7765-8</t>
  </si>
  <si>
    <t>Korean Horror Cinema</t>
  </si>
  <si>
    <t>Korean Horror Cinema E-BOOK</t>
  </si>
  <si>
    <t>Peirse, Alison / Martin, Daniel</t>
  </si>
  <si>
    <t>PER004040 PERFORMING ARTS / Film &amp; Video / Reference</t>
  </si>
  <si>
    <t>Colorado State University 2023 EBA Selections | Colorado State University EBA Selections 2023 | Edinburgh University Press Backlist eBook-Package 2013-2000</t>
  </si>
  <si>
    <t>978-1-4744-5422-3</t>
  </si>
  <si>
    <t>Ensemblance</t>
  </si>
  <si>
    <t>The Transnational Genealogy of Esprit de Corps</t>
  </si>
  <si>
    <t>Ensemblance E-BOOK</t>
  </si>
  <si>
    <t>de Miranda, Luis</t>
  </si>
  <si>
    <t>978-1-4744-6886-2</t>
  </si>
  <si>
    <t>The Making and Unmaking of the Nation c.1100-1707: Volume 1: The Scottish Nation: Origins to c. 1500</t>
  </si>
  <si>
    <t>Harris, Bob / MacDonald, Alan R.</t>
  </si>
  <si>
    <t>978-1-4744-7307-1</t>
  </si>
  <si>
    <t>A Claim on the Countryside</t>
  </si>
  <si>
    <t>A History of the British Outdoor Movement</t>
  </si>
  <si>
    <t>A Claim on the Countryside E-BOOK</t>
  </si>
  <si>
    <t>Taylor, Harvey</t>
  </si>
  <si>
    <t>978-1-4744-8858-7</t>
  </si>
  <si>
    <t>Sexual Desire and Romantic Love in Shakespeare</t>
  </si>
  <si>
    <t>'Rich in Will'</t>
  </si>
  <si>
    <t>Sexual Desire and Romantic Love in Shakespeare E-BOOK</t>
  </si>
  <si>
    <t>Lord Hall, Joan</t>
  </si>
  <si>
    <t>978-1-4744-4562-7</t>
  </si>
  <si>
    <t>Militant Democracy and Its Critics</t>
  </si>
  <si>
    <t>Populism, Parties, Extremism</t>
  </si>
  <si>
    <t>Militant Democracy and Its Critics E-BOOK</t>
  </si>
  <si>
    <t>Malkopoulou, Anthoula / Kirshner, Alexander</t>
  </si>
  <si>
    <t>LAW108000 LAW / Election Law</t>
  </si>
  <si>
    <t>978-0-7486-7552-4</t>
  </si>
  <si>
    <t>Philosophy of International Law</t>
  </si>
  <si>
    <t>Philosophy of International Law E-BOOK</t>
  </si>
  <si>
    <t>Carty, Anthony</t>
  </si>
  <si>
    <t>978-1-4744-7720-8</t>
  </si>
  <si>
    <t>Common Good Law</t>
  </si>
  <si>
    <t>Common Good Law E-BOOK</t>
  </si>
  <si>
    <t>Ferguson, Andrew C.</t>
  </si>
  <si>
    <t>LAW074000 LAW / Property</t>
  </si>
  <si>
    <t>Edinburgh University Press Complete eBook-Package 2019 | Pick and Choose Law eBook Package BU 2022 | Pick and Choose eBook Package Cornell Eng Law 2000-2021 | UCB LAW SCHOOL Pick &amp; Choose 2022 | WUSTL 2022 Part 2 Law P&amp;C eBook Package | Yale P&amp;C Law Package 2023</t>
  </si>
  <si>
    <t>978-1-4744-7284-5</t>
  </si>
  <si>
    <t>Virtue Ethics</t>
  </si>
  <si>
    <t>A Critical Reader</t>
  </si>
  <si>
    <t>Virtue Ethics E-BOOK</t>
  </si>
  <si>
    <t>Statman, Daniel</t>
  </si>
  <si>
    <t>978-1-4744-6896-1</t>
  </si>
  <si>
    <t>Spaces of Hope</t>
  </si>
  <si>
    <t>Spaces of Hope E-BOOK</t>
  </si>
  <si>
    <t>Harvey, David</t>
  </si>
  <si>
    <t>978-0-7486-4700-2</t>
  </si>
  <si>
    <t>Creating Worldviews</t>
  </si>
  <si>
    <t>Metaphor, Ideology and Language</t>
  </si>
  <si>
    <t>Creating Worldviews E-BOOK</t>
  </si>
  <si>
    <t>978-1-4744-5942-6</t>
  </si>
  <si>
    <t>Whitehead at Harvard, 1924–1925</t>
  </si>
  <si>
    <t>Whitehead at Harvard, 1924–1925 E-BOOK</t>
  </si>
  <si>
    <t>Henning, Brian G. / Petek, Joseph</t>
  </si>
  <si>
    <t>978-0-7486-9416-7</t>
  </si>
  <si>
    <t>East, West and Centre</t>
  </si>
  <si>
    <t>Reframing post-1989 European Cinema</t>
  </si>
  <si>
    <t>East, West and Centre E-BOOK</t>
  </si>
  <si>
    <t>Gott, Michael / Herzog, Todd</t>
  </si>
  <si>
    <t>978-1-4744-4445-3</t>
  </si>
  <si>
    <t>Arabic in Modern Hebrew Texts</t>
  </si>
  <si>
    <t>The Stylistics of Exophonic Writing</t>
  </si>
  <si>
    <t>Arabic in Modern Hebrew Texts E-BOOK</t>
  </si>
  <si>
    <t>Ahmed, Mohamed A.H.</t>
  </si>
  <si>
    <t>978-0-7486-9502-7</t>
  </si>
  <si>
    <t>A Process Philosophy of Signs</t>
  </si>
  <si>
    <t>A Process Philosophy of Signs E-BOOK</t>
  </si>
  <si>
    <t>978-1-4744-6570-0</t>
  </si>
  <si>
    <t>Post-Colonial Theory and English Literature</t>
  </si>
  <si>
    <t>Post-Colonial Theory and English Literature E-BOOK</t>
  </si>
  <si>
    <t>978-0-7486-3735-5</t>
  </si>
  <si>
    <t>The Discursive Construction of National Identity</t>
  </si>
  <si>
    <t>The Discursive Construction of National Identity E-BOOK</t>
  </si>
  <si>
    <t>de Cillia, Rudolf / Wodak, Ruth / Reisigl, Martin</t>
  </si>
  <si>
    <t>978-1-4744-2354-0</t>
  </si>
  <si>
    <t>Shakespeare's History Plays</t>
  </si>
  <si>
    <t>Rethinking Historicism</t>
  </si>
  <si>
    <t>Shakespeare's History Plays E-BOOK</t>
  </si>
  <si>
    <t>Parvini, Neema</t>
  </si>
  <si>
    <t>978-0-7486-4599-2</t>
  </si>
  <si>
    <t>Jawanmardi</t>
  </si>
  <si>
    <t>A Sufi Code of Honour</t>
  </si>
  <si>
    <t>Jawanmardi E-BOOK</t>
  </si>
  <si>
    <t>Ridgeon, Lloyd</t>
  </si>
  <si>
    <t>978-1-4744-5106-2</t>
  </si>
  <si>
    <t>Produced by Irving Thalberg</t>
  </si>
  <si>
    <t>Theory of Studio-Era Filmmaking</t>
  </si>
  <si>
    <t>Produced by Irving Thalberg E-BOOK</t>
  </si>
  <si>
    <t>Salzberg, Ana</t>
  </si>
  <si>
    <t>978-0-7486-2718-9</t>
  </si>
  <si>
    <t>Practical Research Methods for Media and Cultural Studies</t>
  </si>
  <si>
    <t>Making People Count</t>
  </si>
  <si>
    <t>Practical Research Methods for Media and Cultural Stu E-BOOK</t>
  </si>
  <si>
    <t>Mosdell, Nick / Messenger Davies, Maire</t>
  </si>
  <si>
    <t>PER009000 PERFORMING ARTS / Reference</t>
  </si>
  <si>
    <t>978-0-7486-3765-2</t>
  </si>
  <si>
    <t>Scottish Women's Gothic and Fantastic Writing</t>
  </si>
  <si>
    <t>Fiction since 1978</t>
  </si>
  <si>
    <t>Scottish Women's Gothic and Fantastic Writing E-BOOK</t>
  </si>
  <si>
    <t>Germanà, Monica</t>
  </si>
  <si>
    <t>978-1-4744-5209-0</t>
  </si>
  <si>
    <t>Love Across the Atlantic</t>
  </si>
  <si>
    <t>US-UK Romance in Popular Culture</t>
  </si>
  <si>
    <t>Love Across the Atlantic E-BOOK</t>
  </si>
  <si>
    <t>Trost, Theodore Louis / Brickman, Barbara Jane / Jermyn, Deborah</t>
  </si>
  <si>
    <t>PER004020 PERFORMING ARTS / Film &amp; Video / Guides &amp; Reviews</t>
  </si>
  <si>
    <t>978-1-4744-7876-2</t>
  </si>
  <si>
    <t>Islamic Modernism and the Re-Enchantment of the Sacred in the Age of History</t>
  </si>
  <si>
    <t>Islamic Modernism and the Re-Enchantment of the Sacre E-BOOK</t>
  </si>
  <si>
    <t>Ringer, Monica M.</t>
  </si>
  <si>
    <t>978-0-7486-2864-3</t>
  </si>
  <si>
    <t>A History of Scottish Philosophy</t>
  </si>
  <si>
    <t>A History of Scottish Philosophy E-BOOK</t>
  </si>
  <si>
    <t>Broadie, Alexander</t>
  </si>
  <si>
    <t>978-1-4744-0274-3</t>
  </si>
  <si>
    <t>A Global Force</t>
  </si>
  <si>
    <t>War, Identities and Scotland's Diaspora</t>
  </si>
  <si>
    <t>A Global Force E-BOOK</t>
  </si>
  <si>
    <t>Forsyth, David / Ugolini, Wendy</t>
  </si>
  <si>
    <t>978-1-4744-1509-5</t>
  </si>
  <si>
    <t>Between Deleuze and Foucault</t>
  </si>
  <si>
    <t>Between Deleuze and Foucault E-BOOK</t>
  </si>
  <si>
    <t>Smith, Daniel W. / Morar, Nicolae / Nail, Thomas</t>
  </si>
  <si>
    <t>978-1-4744-3023-4</t>
  </si>
  <si>
    <t>Dreaming of Freedom in South Africa</t>
  </si>
  <si>
    <t>Literature Between Critique and Utopia</t>
  </si>
  <si>
    <t>Dreaming of Freedom in South Africa E-BOOK</t>
  </si>
  <si>
    <t>Johnson, David</t>
  </si>
  <si>
    <t>Africa</t>
  </si>
  <si>
    <t>HIS047000 HISTORY / Africa / South / Republic of South Africa</t>
  </si>
  <si>
    <t>978-1-4744-0575-1</t>
  </si>
  <si>
    <t>Michel Serres</t>
  </si>
  <si>
    <t>Figures of Thought</t>
  </si>
  <si>
    <t>Michel Serres E-BOOK</t>
  </si>
  <si>
    <t>Watkin, Christopher</t>
  </si>
  <si>
    <t>Early Modern Philosophy</t>
  </si>
  <si>
    <t>PHI010000 PHILOSOPHY / Movements / Humanism</t>
  </si>
  <si>
    <t>978-0-585-10516-1</t>
  </si>
  <si>
    <t>Slavery</t>
  </si>
  <si>
    <t>Slavery E-BOOK</t>
  </si>
  <si>
    <t>Parish, Peter J</t>
  </si>
  <si>
    <t>HIS036000 HISTORY / United States / General</t>
  </si>
  <si>
    <t>978-1-4744-6551-9</t>
  </si>
  <si>
    <t>Authorship</t>
  </si>
  <si>
    <t>From Plato to the Postmodern: A Reader</t>
  </si>
  <si>
    <t>Authorship E-BOOK</t>
  </si>
  <si>
    <t>Burke, Seán</t>
  </si>
  <si>
    <t>Edinburgh University Press Archive eBook-Package Pre-2000 | U Chicago P&amp;C UPL Single Titles 2024 | Western University EBA Selected eBooks 2023</t>
  </si>
  <si>
    <t>978-0-7486-6818-2</t>
  </si>
  <si>
    <t>New Frontiers</t>
  </si>
  <si>
    <t>Law and Society in the Roman World</t>
  </si>
  <si>
    <t>New Frontiers E-BOOK</t>
  </si>
  <si>
    <t>978-0-7486-8077-1</t>
  </si>
  <si>
    <t>Obscure Locks, Simple Keys</t>
  </si>
  <si>
    <t>The Annotated 'Watt'</t>
  </si>
  <si>
    <t>Obscure Locks, Simple Keys E-BOOK</t>
  </si>
  <si>
    <t>Ackerley, Chris</t>
  </si>
  <si>
    <t>978-1-4744-2290-1</t>
  </si>
  <si>
    <t>Raymond Bellour</t>
  </si>
  <si>
    <t>Cinema and the Moving Image</t>
  </si>
  <si>
    <t>Raymond Bellour E-BOOK</t>
  </si>
  <si>
    <t>Radner, Hilary / Fox, Alistair</t>
  </si>
  <si>
    <t>978-1-4744-1368-8</t>
  </si>
  <si>
    <t>Security/Capital</t>
  </si>
  <si>
    <t>A General Theory of Pacification</t>
  </si>
  <si>
    <t>Security/Capital E-BOOK</t>
  </si>
  <si>
    <t>Rigakos, George S.</t>
  </si>
  <si>
    <t>978-1-4744-7200-5</t>
  </si>
  <si>
    <t>Patrick Sellar and the Highland Clearances</t>
  </si>
  <si>
    <t>Homicide, Eviction and the Price of Progress</t>
  </si>
  <si>
    <t>Patrick Sellar and the Highland Clearances E-BOOK</t>
  </si>
  <si>
    <t>Richards, Eric</t>
  </si>
  <si>
    <t>978-1-4744-4916-8</t>
  </si>
  <si>
    <t>New Directions in Philosophy and Literature</t>
  </si>
  <si>
    <t>New Directions in Philosophy and Literature E-BOOK</t>
  </si>
  <si>
    <t>Askin, Ridvan / Beckman, Frida / Rudrum, David</t>
  </si>
  <si>
    <t>LIT012000 LITERARY CRITICISM / Reference</t>
  </si>
  <si>
    <t>Edinburgh University Press Complete eBook-Package 2019 | U Chicago P&amp;C UPL Single Titles 2024</t>
  </si>
  <si>
    <t>978-0-7486-9663-5</t>
  </si>
  <si>
    <t>Studying Modern Arabic Literature</t>
  </si>
  <si>
    <t>Mustafa Badawi, Scholar and Critic</t>
  </si>
  <si>
    <t>Studying Modern Arabic Literature E-BOOK</t>
  </si>
  <si>
    <t>Allen, Roger / Ostle, Robin</t>
  </si>
  <si>
    <t>BIO019000 BIOGRAPHY &amp; AUTOBIOGRAPHY / Educators</t>
  </si>
  <si>
    <t>978-1-4744-7517-4</t>
  </si>
  <si>
    <t>And Now for Something Completely Different</t>
  </si>
  <si>
    <t>Critical Approaches to Monty Python</t>
  </si>
  <si>
    <t>And Now for Something Completely Different E-BOOK</t>
  </si>
  <si>
    <t>Egan, Kate / Weinstock, Jeffrey Andrew</t>
  </si>
  <si>
    <t>978-0-7486-3621-1</t>
  </si>
  <si>
    <t>Empire and Scottish Society</t>
  </si>
  <si>
    <t>The Impact of Foreign Missions at Home, c. 1790 to c. 1914</t>
  </si>
  <si>
    <t>Empire and Scottish Society E-BOOK</t>
  </si>
  <si>
    <t>Breitenbach, Esther</t>
  </si>
  <si>
    <t>978-0-585-12284-7</t>
  </si>
  <si>
    <t>Water Management in the English Landscape</t>
  </si>
  <si>
    <t>Field, Marsh and Meadow</t>
  </si>
  <si>
    <t>Water Management in the English Landscape E-BOOK</t>
  </si>
  <si>
    <t>Williamson, Tom / Cook, Hadrian</t>
  </si>
  <si>
    <t>Geosciences, other</t>
  </si>
  <si>
    <t>SCI019000 SCIENCE / Earth Sciences / General</t>
  </si>
  <si>
    <t>978-0-7486-2624-3</t>
  </si>
  <si>
    <t>The Contemporary British Novel</t>
  </si>
  <si>
    <t>The Contemporary British Novel E-BOOK</t>
  </si>
  <si>
    <t>Acheson, James / Ross, Sarah</t>
  </si>
  <si>
    <t>978-1-4744-2870-5</t>
  </si>
  <si>
    <t>Cinema, If You Please</t>
  </si>
  <si>
    <t>The Memory of Taste, the Taste of Memory</t>
  </si>
  <si>
    <t>Cinema, If You Please E-BOOK</t>
  </si>
  <si>
    <t>Pomerance, Murray</t>
  </si>
  <si>
    <t>978-1-4744-1554-5</t>
  </si>
  <si>
    <t>Barthes/Burgin</t>
  </si>
  <si>
    <t>Barthes/Burgin E-BOOK</t>
  </si>
  <si>
    <t>Manghani, Sunil / Bishop, Ryan</t>
  </si>
  <si>
    <t>ART016000 ART / Individual Artists / General</t>
  </si>
  <si>
    <t>978-0-7486-3167-4</t>
  </si>
  <si>
    <t>Islamic Finance in the Global Economy</t>
  </si>
  <si>
    <t>Islamic Finance in the Global Economy E-BOOK</t>
  </si>
  <si>
    <t>Warde, Ibrahim</t>
  </si>
  <si>
    <t>978-1-4744-6781-0</t>
  </si>
  <si>
    <t>Film Music</t>
  </si>
  <si>
    <t>Critical Approaches</t>
  </si>
  <si>
    <t>Film Music E-BOOK</t>
  </si>
  <si>
    <t>Donnelly, Kevin  J.</t>
  </si>
  <si>
    <t>978-0-7486-9635-2</t>
  </si>
  <si>
    <t>Bollywood and Postmodernism</t>
  </si>
  <si>
    <t>Popular Indian Cinema in the 21st Century</t>
  </si>
  <si>
    <t>Bollywood and Postmodernism E-BOOK</t>
  </si>
  <si>
    <t>Sidhar Wright, Neelam</t>
  </si>
  <si>
    <t>978-1-4744-1325-1</t>
  </si>
  <si>
    <t>The Politics of Repressed Guilt</t>
  </si>
  <si>
    <t>The Tragedy of Austrian Silence</t>
  </si>
  <si>
    <t>The Politics of Repressed Guilt E-BOOK</t>
  </si>
  <si>
    <t>Leeb, Claudia</t>
  </si>
  <si>
    <t>978-1-4744-0075-6</t>
  </si>
  <si>
    <t>No Stone Unturned</t>
  </si>
  <si>
    <t>A History of Farming, Landscape and Environment in the Scottish Highlands and Islands</t>
  </si>
  <si>
    <t>No Stone Unturned E-BOOK</t>
  </si>
  <si>
    <t>Edinburgh University Press Complete eBook-Package 2014-2015 | MUN EBA Selections 2023</t>
  </si>
  <si>
    <t>978-1-4744-6562-5</t>
  </si>
  <si>
    <t>War Dead</t>
  </si>
  <si>
    <t>Western societies and the casualties of war</t>
  </si>
  <si>
    <t>War Dead E-BOOK</t>
  </si>
  <si>
    <t>Capdevila, Luc / Voldman, Daniele</t>
  </si>
  <si>
    <t>978-1-4744-1583-5</t>
  </si>
  <si>
    <t>The Proletarian Answer to the Modernist Question</t>
  </si>
  <si>
    <t>The Proletarian Answer to the Modernist Question E-BOOK</t>
  </si>
  <si>
    <t>Hubble, Nick</t>
  </si>
  <si>
    <t>978-1-4744-6376-8</t>
  </si>
  <si>
    <t>New Queer Cinema</t>
  </si>
  <si>
    <t>New Queer Cinema E-BOOK</t>
  </si>
  <si>
    <t>978-1-4744-2894-1</t>
  </si>
  <si>
    <t>Film and Domestic Space</t>
  </si>
  <si>
    <t>Architectures, Representations, Dispositif</t>
  </si>
  <si>
    <t>Film and Domestic Space E-BOOK</t>
  </si>
  <si>
    <t>Baschiera, Stefano / De Rosa, Miriam</t>
  </si>
  <si>
    <t>978-1-4744-0024-4</t>
  </si>
  <si>
    <t>The Edinburgh Critical Edition of the Selected Writings of Andrew Lang, Volume 2</t>
  </si>
  <si>
    <t>Literary Criticism, History, Biography</t>
  </si>
  <si>
    <t>978-1-4744-7025-4</t>
  </si>
  <si>
    <t>Feminist Postcolonial Theory</t>
  </si>
  <si>
    <t>Feminist Postcolonial Theory E-BOOK</t>
  </si>
  <si>
    <t>Lewis, Reina / Mills, Sara</t>
  </si>
  <si>
    <t>Colorado State University 2023 EBA Selections | Edinburgh University Press Backlist eBook-Package 2013-2000 | MUN EBA Selections 2023 | U Chicago P&amp;C UPL Single Titles 2024</t>
  </si>
  <si>
    <t>978-1-4744-6951-7</t>
  </si>
  <si>
    <t>Feminism and Sexuality</t>
  </si>
  <si>
    <t>Feminism and Sexuality E-BOOK</t>
  </si>
  <si>
    <t>Jackson, Stevi / Scott, Sue</t>
  </si>
  <si>
    <t>978-0-7486-4176-5</t>
  </si>
  <si>
    <t>Democracy, Law and the Modernist Avant-Gardes</t>
  </si>
  <si>
    <t>Writing in the State of Exception</t>
  </si>
  <si>
    <t>Democracy, Law and the Modernist Avant-Gardes E-BOOK</t>
  </si>
  <si>
    <t>978-1-4744-7475-7</t>
  </si>
  <si>
    <t>EU Diplomacy and the Israeli–Arab Conflict, 1967–2019</t>
  </si>
  <si>
    <t>EU Diplomacy and the Israeli–Arab Conflict, 1967–2019 E-BOOK</t>
  </si>
  <si>
    <t>Persson, Anders</t>
  </si>
  <si>
    <t>978-1-4744-8323-0</t>
  </si>
  <si>
    <t>After the Arab Revolutions</t>
  </si>
  <si>
    <t>Decentring Democratic Transition Theory</t>
  </si>
  <si>
    <t>After the Arab Revolutions E-BOOK</t>
  </si>
  <si>
    <t>El-Affendi, Abdelwahab / Al Anani, Khalil</t>
  </si>
  <si>
    <t>978-1-4744-6374-4</t>
  </si>
  <si>
    <t>The Squid Cinema From Hell</t>
  </si>
  <si>
    <t>Kinoteuthis Infernalis and the Emergence of Chthulumedia</t>
  </si>
  <si>
    <t>The Squid Cinema From Hell E-BOOK</t>
  </si>
  <si>
    <t>Brown, William / Fleming, David H.</t>
  </si>
  <si>
    <t>978-1-4744-6835-0</t>
  </si>
  <si>
    <t>Landmarks in Classical Literature</t>
  </si>
  <si>
    <t>Landmarks in Classical Literature E-BOOK</t>
  </si>
  <si>
    <t>Classical Studies, other</t>
  </si>
  <si>
    <t>LIT004190 LITERARY CRITICISM / Ancient &amp; Classical</t>
  </si>
  <si>
    <t>978-1-4744-1561-3</t>
  </si>
  <si>
    <t>Feminism and Women’s Writing</t>
  </si>
  <si>
    <t>Feminism and Women’s Writing E-BOOK</t>
  </si>
  <si>
    <t>Riley, Catherine / Pearce, Lynne</t>
  </si>
  <si>
    <t>978-0-7486-9272-9</t>
  </si>
  <si>
    <t>The Transition Towards Revolution and Reform</t>
  </si>
  <si>
    <t>The Arab Spring Realised?</t>
  </si>
  <si>
    <t>The Transition Towards Revolution and Reform E-BOOK</t>
  </si>
  <si>
    <t>Alianak, Sonia L.</t>
  </si>
  <si>
    <t>978-0-7486-8337-6</t>
  </si>
  <si>
    <t>Europe after Derrida</t>
  </si>
  <si>
    <t>Crisis and Potentiality</t>
  </si>
  <si>
    <t>Europe after Derrida E-BOOK</t>
  </si>
  <si>
    <t>Czajka, Agnes / Isyar, Bora</t>
  </si>
  <si>
    <t>978-0-7486-7411-4</t>
  </si>
  <si>
    <t>Studying Media</t>
  </si>
  <si>
    <t>Problems of Theory and Method</t>
  </si>
  <si>
    <t>Studying Media E-BOOK</t>
  </si>
  <si>
    <t>Corner, John</t>
  </si>
  <si>
    <t>978-0-585-07041-4</t>
  </si>
  <si>
    <t>The Roosevelt Years</t>
  </si>
  <si>
    <t>EPAH Vol 7, New Perspectives on American History, 1933-45</t>
  </si>
  <si>
    <t>The Roosevelt Years E-BOOK</t>
  </si>
  <si>
    <t>Garson, Robert / Kidd, Stuart</t>
  </si>
  <si>
    <t>978-0-7486-7933-1</t>
  </si>
  <si>
    <t>Intending Scotland</t>
  </si>
  <si>
    <t>Explorations in Scottish Culture since the Enlightenment</t>
  </si>
  <si>
    <t>Intending Scotland E-BOOK</t>
  </si>
  <si>
    <t>978-0-7486-8221-8</t>
  </si>
  <si>
    <t>Animal Theory</t>
  </si>
  <si>
    <t>A Critical Introduction</t>
  </si>
  <si>
    <t>Animal Theory E-BOOK</t>
  </si>
  <si>
    <t>978-1-4744-2339-7</t>
  </si>
  <si>
    <t>Plague, Quarantines and Geopolitics in the Ottoman Empire</t>
  </si>
  <si>
    <t>Plague, Quarantines and Geopolitics in the Ottoman Em E-BOOK</t>
  </si>
  <si>
    <t>Effective Open Access 16.02.2022</t>
  </si>
  <si>
    <t>Bulmus, Birsen</t>
  </si>
  <si>
    <t>978-1-4744-2457-8</t>
  </si>
  <si>
    <t>Cinematic Nihilism</t>
  </si>
  <si>
    <t>Encounters, Confrontations, Overcomings</t>
  </si>
  <si>
    <t>Cinematic Nihilism E-BOOK</t>
  </si>
  <si>
    <t>Marmysz, John</t>
  </si>
  <si>
    <t>978-0-7486-8588-2</t>
  </si>
  <si>
    <t>Lairds, Land and Sustainability</t>
  </si>
  <si>
    <t>Scottish Perspectives on Upland Management</t>
  </si>
  <si>
    <t>Lairds, Land and Sustainability E-BOOK</t>
  </si>
  <si>
    <t>Scott, Alister</t>
  </si>
  <si>
    <t>978-0-7486-4083-6</t>
  </si>
  <si>
    <t>The Cosmopolitan Novel</t>
  </si>
  <si>
    <t>The Cosmopolitan Novel E-BOOK</t>
  </si>
  <si>
    <t>978-0-7486-4618-0</t>
  </si>
  <si>
    <t>Ezra Pound's Early Verse and Lyric Tradition</t>
  </si>
  <si>
    <t>A Jargoner's Apprenticeship</t>
  </si>
  <si>
    <t>Ezra Pound's Early Verse and Lyric Tradition E-BOOK</t>
  </si>
  <si>
    <t>Stark, Robert</t>
  </si>
  <si>
    <t>978-0-7486-7759-7</t>
  </si>
  <si>
    <t>Republican Democracy</t>
  </si>
  <si>
    <t>Liberty, Law and Politics</t>
  </si>
  <si>
    <t>Republican Democracy E-BOOK</t>
  </si>
  <si>
    <t>Niederberger, Andreas / Schink, Philipp</t>
  </si>
  <si>
    <t>978-1-4744-4082-0</t>
  </si>
  <si>
    <t>Publishing Modernist Fiction and Poetry</t>
  </si>
  <si>
    <t>Publishing Modernist Fiction and Poetry E-BOOK</t>
  </si>
  <si>
    <t>Jaillant, Lise</t>
  </si>
  <si>
    <t>978-1-4744-3988-6</t>
  </si>
  <si>
    <t>Acting Across Borders</t>
  </si>
  <si>
    <t>Mobility and Identity in Italian Cinema</t>
  </si>
  <si>
    <t>Acting Across Borders E-BOOK</t>
  </si>
  <si>
    <t>Zambenedetti, Alberto</t>
  </si>
  <si>
    <t>PER001000 PERFORMING ARTS / Acting &amp; Auditioning</t>
  </si>
  <si>
    <t>978-1-4744-6996-8</t>
  </si>
  <si>
    <t>Theories of Religion</t>
  </si>
  <si>
    <t>Theories of Religion E-BOOK</t>
  </si>
  <si>
    <t>Kunin, Seth / Miles-Watson, Jonathan</t>
  </si>
  <si>
    <t>978-1-4744-1379-4</t>
  </si>
  <si>
    <t>Coleridge</t>
  </si>
  <si>
    <t>Lectures on Shakespeare (1811-1819)</t>
  </si>
  <si>
    <t>Coleridge E-BOOK</t>
  </si>
  <si>
    <t>Coleridge, Samuel Taylor / Roberts, Adam</t>
  </si>
  <si>
    <t>978-0-7486-4376-9</t>
  </si>
  <si>
    <t>Badiou and Plato</t>
  </si>
  <si>
    <t>An Education by Truths</t>
  </si>
  <si>
    <t>Badiou and Plato E-BOOK</t>
  </si>
  <si>
    <t>Bartlett, A.J.</t>
  </si>
  <si>
    <t>978-1-4744-6970-8</t>
  </si>
  <si>
    <t>Perspectives on the Older Scottish Tongue</t>
  </si>
  <si>
    <t>Perspectives on the Older Scottish Tongue E-BOOK</t>
  </si>
  <si>
    <t>Mackay, Margaret / Kay, Christian</t>
  </si>
  <si>
    <t>978-0-7486-5334-8</t>
  </si>
  <si>
    <t>The Transformation of Scotland</t>
  </si>
  <si>
    <t>The Economy since 1700</t>
  </si>
  <si>
    <t>The Transformation of Scotland E-BOOK</t>
  </si>
  <si>
    <t>978-1-4744-2044-0</t>
  </si>
  <si>
    <t>Spinoza's Philosophy of Ratio</t>
  </si>
  <si>
    <t>Spinoza's Philosophy of Ratio E-BOOK</t>
  </si>
  <si>
    <t>Lord, Beth</t>
  </si>
  <si>
    <t>978-0-7486-3374-6</t>
  </si>
  <si>
    <t>The Culture of Letter-Writing in Pre-Modern Islamic Society</t>
  </si>
  <si>
    <t>The Culture of Letter-Writing in Pre-Modern Islamic S E-BOOK</t>
  </si>
  <si>
    <t>Gully, Adrian</t>
  </si>
  <si>
    <t>978-0-7486-8384-0</t>
  </si>
  <si>
    <t>Advanced Media Arabic</t>
  </si>
  <si>
    <t>Advanced Media Arabic E-BOOK</t>
  </si>
  <si>
    <t>978-0-7486-4366-0</t>
  </si>
  <si>
    <t>Circulating Genius</t>
  </si>
  <si>
    <t>John Middleton Murry, Katherine Mansfield and D. H. Lawrence</t>
  </si>
  <si>
    <t>Circulating Genius E-BOOK</t>
  </si>
  <si>
    <t>Kaplan, Sydney Janet</t>
  </si>
  <si>
    <t>978-0-7486-3419-4</t>
  </si>
  <si>
    <t>French Queer Cinema</t>
  </si>
  <si>
    <t>French Queer Cinema E-BOOK</t>
  </si>
  <si>
    <t>Rees-Roberts, Nick</t>
  </si>
  <si>
    <t>978-1-4744-3625-0</t>
  </si>
  <si>
    <t>Time, Existential Presence and the Cinematic Image</t>
  </si>
  <si>
    <t>Ethics and Emergence to Being in Film</t>
  </si>
  <si>
    <t>Time, Existential Presence and the Cinematic Image E-BOOK</t>
  </si>
  <si>
    <t>Girgus, Sam B.</t>
  </si>
  <si>
    <t>978-1-4744-6163-4</t>
  </si>
  <si>
    <t>The Stoic Theory of Beauty</t>
  </si>
  <si>
    <t>The Stoic Theory of Beauty E-BOOK</t>
  </si>
  <si>
    <t>Celkyte, Aiste</t>
  </si>
  <si>
    <t>978-0-7486-3059-2</t>
  </si>
  <si>
    <t>Introduction to Japanese Horror Film</t>
  </si>
  <si>
    <t>Introduction to Japanese Horror Film E-BOOK</t>
  </si>
  <si>
    <t>Balmain, Colette</t>
  </si>
  <si>
    <t>978-0-7486-3647-1</t>
  </si>
  <si>
    <t>Figurations of Exile in Hitchcock and Nabokov</t>
  </si>
  <si>
    <t>Figurations of Exile in Hitchcock and Nabokov E-BOOK</t>
  </si>
  <si>
    <t>Straumann, Barbara</t>
  </si>
  <si>
    <t>978-1-4744-6593-9</t>
  </si>
  <si>
    <t>Devolving English Literature</t>
  </si>
  <si>
    <t>Devolving English Literature E-BOOK</t>
  </si>
  <si>
    <t>978-0-7486-6591-4</t>
  </si>
  <si>
    <t>Deleuze and Cinema</t>
  </si>
  <si>
    <t>The Aesthetics of Sensation</t>
  </si>
  <si>
    <t>Deleuze and Cinema E-BOOK</t>
  </si>
  <si>
    <t>Kennedy, Barbara</t>
  </si>
  <si>
    <t>Colorado State University EBA Selections 2023 | Edinburgh University Press Backlist eBook-Package 2013-2000</t>
  </si>
  <si>
    <t>978-0-7486-4328-8</t>
  </si>
  <si>
    <t>The Foreign Policy of Lyndon B. Johnson</t>
  </si>
  <si>
    <t>The United States and the World, 1963-1969</t>
  </si>
  <si>
    <t>The Foreign Policy of Lyndon B. Johnson E-BOOK</t>
  </si>
  <si>
    <t>Colman, Jonathan</t>
  </si>
  <si>
    <t>978-1-4744-0171-5</t>
  </si>
  <si>
    <t>Queer Bloomsbury</t>
  </si>
  <si>
    <t>Queer Bloomsbury E-BOOK</t>
  </si>
  <si>
    <t xml:space="preserve">Helt, Brenda S. / Detloff, Madelyn </t>
  </si>
  <si>
    <t>978-0-7486-3756-0</t>
  </si>
  <si>
    <t>A History of the Native Woodlands of Scotland 1500-1920</t>
  </si>
  <si>
    <t>A History of the Native Woodlands of Scotland 1500-19 E-BOOK</t>
  </si>
  <si>
    <t>Watson, Fiona / Smout, T. C. / MacDonald, Alan R.</t>
  </si>
  <si>
    <t>GAR018000 GARDENING / Reference</t>
  </si>
  <si>
    <t>978-1-4744-6820-6</t>
  </si>
  <si>
    <t>American Cold War Culture</t>
  </si>
  <si>
    <t>American Cold War Culture E-BOOK</t>
  </si>
  <si>
    <t>Field, Douglas</t>
  </si>
  <si>
    <t>978-1-4744-6753-7</t>
  </si>
  <si>
    <t>Jihadi Audiovisuality and its Entanglements</t>
  </si>
  <si>
    <t>Meanings, Aesthetics, Appropriations</t>
  </si>
  <si>
    <t>Jihadi Audiovisuality and its Entanglements E-BOOK</t>
  </si>
  <si>
    <t>Günther, Christoph / Pfeifer, Simone</t>
  </si>
  <si>
    <t>Culture and Society</t>
  </si>
  <si>
    <t>SOC048000 SOCIAL SCIENCE / Islamic Studies</t>
  </si>
  <si>
    <t>Edinburgh University Press Complete eBook-Package 2021</t>
  </si>
  <si>
    <t>978-0-7486-2726-4</t>
  </si>
  <si>
    <t>The Scottish Soldier and Empire, 1854-1902</t>
  </si>
  <si>
    <t>The Scottish Soldier and Empire, 1854-1902 E-BOOK</t>
  </si>
  <si>
    <t>Spiers, Edward  M.</t>
  </si>
  <si>
    <t>978-1-4744-6869-5</t>
  </si>
  <si>
    <t>Critical Humanisms</t>
  </si>
  <si>
    <t>Humanist/Anti-Humanist Dialogues</t>
  </si>
  <si>
    <t>Critical Humanisms E-BOOK</t>
  </si>
  <si>
    <t>Halliwell, Martin / Mousley, Andrew</t>
  </si>
  <si>
    <t>978-1-4744-5614-2</t>
  </si>
  <si>
    <t>Israel/Palestine</t>
  </si>
  <si>
    <t>Border Representations in Literature and Film</t>
  </si>
  <si>
    <t>Israel/Palestine E-BOOK</t>
  </si>
  <si>
    <t>Effective Open Access 03.09.2024</t>
  </si>
  <si>
    <t>Paul, Drew</t>
  </si>
  <si>
    <t>Asian Literature</t>
  </si>
  <si>
    <t>978-1-4744-7127-5</t>
  </si>
  <si>
    <t>Violence, Custom and Law</t>
  </si>
  <si>
    <t>The Anglo-Scottish Border Lands in the Later Middle Ages</t>
  </si>
  <si>
    <t>Violence, Custom and Law E-BOOK</t>
  </si>
  <si>
    <t>Neville, Cynthia J.</t>
  </si>
  <si>
    <t>SOC005000 SOCIAL SCIENCE / Customs &amp; Traditions</t>
  </si>
  <si>
    <t>978-0-7486-4286-1</t>
  </si>
  <si>
    <t>Prosaic Desires</t>
  </si>
  <si>
    <t>Modernist Knowledge, Boredom, Laughter, and Anticipation</t>
  </si>
  <si>
    <t>Prosaic Desires E-BOOK</t>
  </si>
  <si>
    <t>Crangle, Sara</t>
  </si>
  <si>
    <t>978-0-585-08682-8</t>
  </si>
  <si>
    <t>Hegel and Marx</t>
  </si>
  <si>
    <t>The Concept of Need</t>
  </si>
  <si>
    <t>Hegel and Marx E-BOOK</t>
  </si>
  <si>
    <t>Fraser, Ian</t>
  </si>
  <si>
    <t>978-0-7486-3255-8</t>
  </si>
  <si>
    <t>Thomas Hardy's Shorter Fiction</t>
  </si>
  <si>
    <t>A Critical Study</t>
  </si>
  <si>
    <t>Thomas Hardy's Shorter Fiction E-BOOK</t>
  </si>
  <si>
    <t>Gilmartin, Sophie / Mengham, Rod</t>
  </si>
  <si>
    <t>978-1-4744-0803-5</t>
  </si>
  <si>
    <t>Muslims in Scotland</t>
  </si>
  <si>
    <t>The Making of Community in a Post-9/11 World</t>
  </si>
  <si>
    <t>Muslims in Scotland E-BOOK</t>
  </si>
  <si>
    <t>Bonino, Stefano</t>
  </si>
  <si>
    <t>978-1-4744-0312-2</t>
  </si>
  <si>
    <t>Reclaiming Islamic Tradition</t>
  </si>
  <si>
    <t>Modern Interpretations of the Classical Heritage</t>
  </si>
  <si>
    <t>Reclaiming Islamic Tradition E-BOOK</t>
  </si>
  <si>
    <t>Kendall, Elisabeth / Khan, Ahmad</t>
  </si>
  <si>
    <t>978-0-7486-3512-2</t>
  </si>
  <si>
    <t>Processes in Third Language Acquisition</t>
  </si>
  <si>
    <t>Processes in Third Language Acquisition E-BOOK</t>
  </si>
  <si>
    <t>Hammarberg, Björn</t>
  </si>
  <si>
    <t>Language Teaching and Learning</t>
  </si>
  <si>
    <t>LAN020000 LANGUAGE ARTS &amp; DISCIPLINES / Study &amp; Teaching</t>
  </si>
  <si>
    <t>978-1-4744-7177-0</t>
  </si>
  <si>
    <t>Feminist Theory and the Body</t>
  </si>
  <si>
    <t>Feminist Theory and the Body E-BOOK</t>
  </si>
  <si>
    <t>Price, Janet / Shildrick, Margrit</t>
  </si>
  <si>
    <t>978-1-4744-7354-5</t>
  </si>
  <si>
    <t>Victorian Dundee</t>
  </si>
  <si>
    <t>Image and Realities</t>
  </si>
  <si>
    <t>Victorian Dundee E-BOOK</t>
  </si>
  <si>
    <t>Miskell, Louise / Whatley, Christopher / Harris, Bob</t>
  </si>
  <si>
    <t>978-1-4744-1474-6</t>
  </si>
  <si>
    <t>French Philosophy Today</t>
  </si>
  <si>
    <t>New Figures of the Human in Badiou, Meillassoux, Malabou, Serres and Latour</t>
  </si>
  <si>
    <t>French Philosophy Today E-BOOK</t>
  </si>
  <si>
    <t>978-0-7486-4730-9</t>
  </si>
  <si>
    <t>The Vogue for Russia</t>
  </si>
  <si>
    <t>Modernism and the Unseen in Britain 1900-1930</t>
  </si>
  <si>
    <t>The Vogue for Russia E-BOOK</t>
  </si>
  <si>
    <t>Maclean, Caroline</t>
  </si>
  <si>
    <t>978-0-7486-9731-1</t>
  </si>
  <si>
    <t>Solidarity Across Divides</t>
  </si>
  <si>
    <t>Promoting the Moral Point of View</t>
  </si>
  <si>
    <t>Solidarity Across Divides E-BOOK</t>
  </si>
  <si>
    <t>Vasilev, George</t>
  </si>
  <si>
    <t>978-1-4744-6826-8</t>
  </si>
  <si>
    <t>Television Policy</t>
  </si>
  <si>
    <t>The MacTaggart Lectures</t>
  </si>
  <si>
    <t>Television Policy E-BOOK</t>
  </si>
  <si>
    <t>Franklin, Bob</t>
  </si>
  <si>
    <t>PER010000 PERFORMING ARTS / Television / General</t>
  </si>
  <si>
    <t>978-0-7486-4691-3</t>
  </si>
  <si>
    <t>Digital Imaging in Popular Cinema</t>
  </si>
  <si>
    <t>Digital Imaging in Popular Cinema E-BOOK</t>
  </si>
  <si>
    <t>978-1-4744-6543-4</t>
  </si>
  <si>
    <t>Noble Society In Scotland</t>
  </si>
  <si>
    <t>Wealth, Family and Culture, from Reformation to Revolution</t>
  </si>
  <si>
    <t>Noble Society In Scotland E-BOOK</t>
  </si>
  <si>
    <t>Brown, Keith</t>
  </si>
  <si>
    <t>978-1-4744-5629-6</t>
  </si>
  <si>
    <t>Cinema and Soft Power</t>
  </si>
  <si>
    <t>Configuring the National and Transnational in Geo-politics</t>
  </si>
  <si>
    <t>Cinema and Soft Power E-BOOK</t>
  </si>
  <si>
    <t>Dennison, Stephanie / Dwyer, Rachel</t>
  </si>
  <si>
    <t>978-0-7486-9209-5</t>
  </si>
  <si>
    <t>Biographia Literaria by Samuel Taylor Coleridge</t>
  </si>
  <si>
    <t>Biographia Literaria by Samuel Taylor Coleridge E-BOOK</t>
  </si>
  <si>
    <t>Roberts, Adam</t>
  </si>
  <si>
    <t>978-1-4744-1637-5</t>
  </si>
  <si>
    <t>Sounding Modernism</t>
  </si>
  <si>
    <t>Rhythm and Sonic Mediation in Modern Literature and Film</t>
  </si>
  <si>
    <t>Sounding Modernism E-BOOK</t>
  </si>
  <si>
    <t>Hone, Penelope / Murphet, Julian / Groth, Helen</t>
  </si>
  <si>
    <t>978-1-4744-7117-6</t>
  </si>
  <si>
    <t>Bergson and Philosophy</t>
  </si>
  <si>
    <t>Bergson and Philosophy E-BOOK</t>
  </si>
  <si>
    <t>Mullarkey, John</t>
  </si>
  <si>
    <t>978-1-4744-1007-6</t>
  </si>
  <si>
    <t>The Near West</t>
  </si>
  <si>
    <t>Medieval North Africa, Latin Europe and the Mediterranean in the Second Axial Age</t>
  </si>
  <si>
    <t>The Near West E-BOOK</t>
  </si>
  <si>
    <t>Fromherz, Allen</t>
  </si>
  <si>
    <t>HIS001000 HISTORY / Africa / General</t>
  </si>
  <si>
    <t>978-1-4744-7141-1</t>
  </si>
  <si>
    <t>Critical Discourse Analysis and Language Cognition</t>
  </si>
  <si>
    <t>Critical Discourse Analysis and Language Cognition E-BOOK</t>
  </si>
  <si>
    <t>O'Halloran, Kieran</t>
  </si>
  <si>
    <t>978-1-4744-1043-4</t>
  </si>
  <si>
    <t>The New Russian Nationalism</t>
  </si>
  <si>
    <t>Imperialism, Ethnicity and Authoritarianism 2000–2015</t>
  </si>
  <si>
    <t>The New Russian Nationalism E-BOOK</t>
  </si>
  <si>
    <t>Kolstø, Pål / Blakkisrud, Helge</t>
  </si>
  <si>
    <t>978-1-4744-0037-4</t>
  </si>
  <si>
    <t>The Philosophy of the Environment</t>
  </si>
  <si>
    <t>The Philosophy of the Environment E-BOOK</t>
  </si>
  <si>
    <t xml:space="preserve">Chappell, Sophie Grace </t>
  </si>
  <si>
    <t>978-0-7486-9167-8</t>
  </si>
  <si>
    <t>Scenes from the Suburbs</t>
  </si>
  <si>
    <t>The Suburb in Contemporary US Film and Television</t>
  </si>
  <si>
    <t>Scenes from the Suburbs E-BOOK</t>
  </si>
  <si>
    <t>Vermeulen, Timotheus</t>
  </si>
  <si>
    <t>978-0-7486-3162-9</t>
  </si>
  <si>
    <t>War and Nation in the Theatre of Shakespeare and His Contemporaries</t>
  </si>
  <si>
    <t>War and Nation in the Theatre of Shakespeare and His  E-BOOK</t>
  </si>
  <si>
    <t>Barker, Simon</t>
  </si>
  <si>
    <t>DRA010000 DRAMA / Shakespeare</t>
  </si>
  <si>
    <t>978-0-7486-9617-8</t>
  </si>
  <si>
    <t>The Legacy of Iraq</t>
  </si>
  <si>
    <t>From the 2003 War to the 'Islamic State'</t>
  </si>
  <si>
    <t>The Legacy of Iraq E-BOOK</t>
  </si>
  <si>
    <t>Isakhan, Benjamin</t>
  </si>
  <si>
    <t>978-0-7486-7674-3</t>
  </si>
  <si>
    <t>Lord Kames</t>
  </si>
  <si>
    <t>Legal and Social Theorist</t>
  </si>
  <si>
    <t>Lord Kames E-BOOK</t>
  </si>
  <si>
    <t>Rahmatian, Andreas</t>
  </si>
  <si>
    <t>978-0-7486-7961-4</t>
  </si>
  <si>
    <t>The Archaeology of Skye and the Western Isles</t>
  </si>
  <si>
    <t>The Archaeology of Skye and the Western Isles E-BOOK</t>
  </si>
  <si>
    <t>Armit, Ian</t>
  </si>
  <si>
    <t>978-1-4744-8217-2</t>
  </si>
  <si>
    <t>The Death and Return of the Author</t>
  </si>
  <si>
    <t>Criticism and Subjectivity in Barthes, Foucault and Derrida</t>
  </si>
  <si>
    <t>The Death and Return of the Author E-BOOK</t>
  </si>
  <si>
    <t>978-1-4744-6912-8</t>
  </si>
  <si>
    <t>Reality? Knowledge? Philosophy!</t>
  </si>
  <si>
    <t>An Introduction to Metaphysics and Epistemology</t>
  </si>
  <si>
    <t>Reality? Knowledge? Philosophy! E-BOOK</t>
  </si>
  <si>
    <t>Hetherington, Stephen</t>
  </si>
  <si>
    <t>978-0-7486-4605-0</t>
  </si>
  <si>
    <t>Islam, Christianity and the Mystic Journey</t>
  </si>
  <si>
    <t>Islam, Christianity and the Mystic Journey E-BOOK</t>
  </si>
  <si>
    <t>Comparative Studies</t>
  </si>
  <si>
    <t>REL017000 RELIGION / Comparative Religion</t>
  </si>
  <si>
    <t>978-0-7486-4467-4</t>
  </si>
  <si>
    <t>Walter Scott and the Limits of Language</t>
  </si>
  <si>
    <t>Walter Scott and the Limits of Language E-BOOK</t>
  </si>
  <si>
    <t>Lumsden, Alison</t>
  </si>
  <si>
    <t>978-1-4744-1095-3</t>
  </si>
  <si>
    <t>Speaking in Subtitles</t>
  </si>
  <si>
    <t>Revaluing Screen Translation</t>
  </si>
  <si>
    <t>Speaking in Subtitles E-BOOK</t>
  </si>
  <si>
    <t>Dwyer, Tessa</t>
  </si>
  <si>
    <t>LAN023000 LANGUAGE ARTS &amp; DISCIPLINES / Translating &amp; Interpreting</t>
  </si>
  <si>
    <t>978-0-7486-7989-8</t>
  </si>
  <si>
    <t>The Union of 1707</t>
  </si>
  <si>
    <t>New Dimensions: Scottish Historical Review Supplementary Issue</t>
  </si>
  <si>
    <t>The Union of 1707 E-BOOK</t>
  </si>
  <si>
    <t>Brown, S J / Whatley, Christopher</t>
  </si>
  <si>
    <t>978-1-4744-3132-3</t>
  </si>
  <si>
    <t>The Case of Sherlock Holmes</t>
  </si>
  <si>
    <t>Secrets and Lies in Conan Doyle's Detective Fiction</t>
  </si>
  <si>
    <t>The Case of Sherlock Holmes E-BOOK</t>
  </si>
  <si>
    <t>Glazzard, Andrew</t>
  </si>
  <si>
    <t>978-0-7486-4164-2</t>
  </si>
  <si>
    <t>Computing and Language Variation</t>
  </si>
  <si>
    <t>International Journal of Humanities and Arts Computing Volume 2</t>
  </si>
  <si>
    <t>Computing and Language Variation E-BOOK</t>
  </si>
  <si>
    <t>van Bezooijen, Renée</t>
  </si>
  <si>
    <t>978-0-7486-9911-7</t>
  </si>
  <si>
    <t>Grindhouse Nostalgia</t>
  </si>
  <si>
    <t>Memory, Home Video and Exploitation Film Fandom</t>
  </si>
  <si>
    <t>Grindhouse Nostalgia E-BOOK</t>
  </si>
  <si>
    <t>Church, David</t>
  </si>
  <si>
    <t>978-1-4744-7027-8</t>
  </si>
  <si>
    <t>The Edinburgh Book of Twentieth-Century Scottish Poetry</t>
  </si>
  <si>
    <t>The Edinburgh Book of Twentieth-Century Scottish Poet E-BOOK</t>
  </si>
  <si>
    <t>Lindsay, Maurice / Duncan, Lesley</t>
  </si>
  <si>
    <t>978-1-4744-7189-3</t>
  </si>
  <si>
    <t>The Jean Baudrillard Reader</t>
  </si>
  <si>
    <t>The Jean Baudrillard Reader E-BOOK</t>
  </si>
  <si>
    <t>978-1-4744-7327-9</t>
  </si>
  <si>
    <t>Jute No More</t>
  </si>
  <si>
    <t>Transforming Dundee</t>
  </si>
  <si>
    <t>Jute No More E-BOOK</t>
  </si>
  <si>
    <t>Tomlinson, Jim / Whatley, Christopher</t>
  </si>
  <si>
    <t>978-1-4744-6839-8</t>
  </si>
  <si>
    <t>Pioneering Moral Education</t>
  </si>
  <si>
    <t>Victor Cook and His Foundation</t>
  </si>
  <si>
    <t>Pioneering Moral Education E-BOOK</t>
  </si>
  <si>
    <t>Gatherer, William A.</t>
  </si>
  <si>
    <t>978-1-4744-6889-3</t>
  </si>
  <si>
    <t>The Making and Unmaking of the Nation c.1100-1707: Volume 4 Readings: c.1500-1707</t>
  </si>
  <si>
    <t>Harris, Bob / MacDonald, Alan</t>
  </si>
  <si>
    <t>978-0-7486-8456-4</t>
  </si>
  <si>
    <t>Philosophy Outside-In</t>
  </si>
  <si>
    <t>A Critique of Academic Reason</t>
  </si>
  <si>
    <t>Philosophy Outside-In E-BOOK</t>
  </si>
  <si>
    <t>Norris, Christopher</t>
  </si>
  <si>
    <t>978-1-4744-6565-6</t>
  </si>
  <si>
    <t>Radical Spenser</t>
  </si>
  <si>
    <t>Pastoral, Politics and the New Aestheticism</t>
  </si>
  <si>
    <t>Radical Spenser E-BOOK</t>
  </si>
  <si>
    <t>Chamberlain, Richard</t>
  </si>
  <si>
    <t>978-1-4744-4884-0</t>
  </si>
  <si>
    <t>Women in Marvel Films</t>
  </si>
  <si>
    <t>Women in Marvel Films E-BOOK</t>
  </si>
  <si>
    <t>Kent, Miriam</t>
  </si>
  <si>
    <t>Graphic Novel</t>
  </si>
  <si>
    <t>CGN012000 COMICS &amp; GRAPHIC NOVELS / Adaptations </t>
  </si>
  <si>
    <t>EBOOK PACKAGE COMPLETE 2021 | EBOOK PACKAGE COMPLETE 2021 English | EBOOK PACKAGE Library and Information Science 2021 | EBOOK PACKAGE Library and Information Science 2021 English | Edinburgh University Press Complete eBook-Package 2021</t>
  </si>
  <si>
    <t>978-1-4744-6968-5</t>
  </si>
  <si>
    <t>Persian Art</t>
  </si>
  <si>
    <t>Image-making in Eurasia</t>
  </si>
  <si>
    <t>Persian Art E-BOOK</t>
  </si>
  <si>
    <t>Kadoi, Yuka</t>
  </si>
  <si>
    <t>978-0-7486-3201-5</t>
  </si>
  <si>
    <t>The Blind and Blindness in Literature of the Romantic Period</t>
  </si>
  <si>
    <t>The Blind and Blindness in Literature of the Romantic E-BOOK</t>
  </si>
  <si>
    <t>Larrissy, Edward</t>
  </si>
  <si>
    <t>978-0-7486-9727-4</t>
  </si>
  <si>
    <t>A Thousand Plateaus and Philosophy</t>
  </si>
  <si>
    <t>A Thousand Plateaus and Philosophy E-BOOK</t>
  </si>
  <si>
    <t>Williams, James / Somers-Hall, Henry / Bell, Jeffrey A.</t>
  </si>
  <si>
    <t>978-0-7486-9941-4</t>
  </si>
  <si>
    <t>A Guide to Mediating in Scotland</t>
  </si>
  <si>
    <t>A Guide to Mediating in Scotland E-BOOK</t>
  </si>
  <si>
    <t>Malcolm, Ewan / O'Donnell, Fiona</t>
  </si>
  <si>
    <t>978-1-4744-7019-3</t>
  </si>
  <si>
    <t>Multicultural American Literature</t>
  </si>
  <si>
    <t>Comparative Black, Native, Latino/a and Asian American Fictions</t>
  </si>
  <si>
    <t>Multicultural American Literature E-BOOK</t>
  </si>
  <si>
    <t>Lee, A. Robert</t>
  </si>
  <si>
    <t>978-1-4744-3119-4</t>
  </si>
  <si>
    <t>Contemporary Encounters with Ancient Metaphysics</t>
  </si>
  <si>
    <t>Contemporary Encounters with Ancient Metaphysics E-BOOK</t>
  </si>
  <si>
    <t>Greenstine, Abraham Jacob / Johnson, Ryan J.</t>
  </si>
  <si>
    <t>978-1-4744-7175-6</t>
  </si>
  <si>
    <t>Working Feminism</t>
  </si>
  <si>
    <t>Working Feminism E-BOOK</t>
  </si>
  <si>
    <t>Pratt, Geraldine</t>
  </si>
  <si>
    <t>978-0-7486-4750-7</t>
  </si>
  <si>
    <t>The Second World War in Contemporary British Fiction</t>
  </si>
  <si>
    <t>Secret Histories</t>
  </si>
  <si>
    <t>The Second World War in Contemporary British Fiction E-BOOK</t>
  </si>
  <si>
    <t>Stewart, Victoria</t>
  </si>
  <si>
    <t>978-1-4744-1050-2</t>
  </si>
  <si>
    <t>Natural Catastrophe</t>
  </si>
  <si>
    <t>Climate Change and Neoliberal Governance</t>
  </si>
  <si>
    <t>Natural Catastrophe E-BOOK</t>
  </si>
  <si>
    <t>Elliott, Brian</t>
  </si>
  <si>
    <t>978-0-7486-9660-4</t>
  </si>
  <si>
    <t>Scotland's Referendum and the Media</t>
  </si>
  <si>
    <t>National and International Perspectives</t>
  </si>
  <si>
    <t>Scotland's Referendum and the Media E-BOOK</t>
  </si>
  <si>
    <t>Hassan, Gerry / Blain, Neil / Hutchison, David</t>
  </si>
  <si>
    <t>978-1-4744-3677-9</t>
  </si>
  <si>
    <t>Control Culture</t>
  </si>
  <si>
    <t>Foucault and Deleuze after Discipline</t>
  </si>
  <si>
    <t>Control Culture E-BOOK</t>
  </si>
  <si>
    <t>Beckman, Frida</t>
  </si>
  <si>
    <t>978-0-7486-4337-0</t>
  </si>
  <si>
    <t>Archipelagic Modernism</t>
  </si>
  <si>
    <t>Literature in the Irish and British Isles, 1890-1970</t>
  </si>
  <si>
    <t>Archipelagic Modernism E-BOOK</t>
  </si>
  <si>
    <t>978-0-7486-7461-9</t>
  </si>
  <si>
    <t>Oman, Culture and Diplomacy</t>
  </si>
  <si>
    <t>Oman, Culture and Diplomacy E-BOOK</t>
  </si>
  <si>
    <t>Jones, Jeremy / Ridout, Nicholas</t>
  </si>
  <si>
    <t>978-0-7486-3131-5</t>
  </si>
  <si>
    <t>The Eighteenth-Century Novel and Contemporary Social Issues</t>
  </si>
  <si>
    <t>The Eighteenth-Century Novel and Contemporary Social  E-BOOK</t>
  </si>
  <si>
    <t>978-0-7486-3132-2</t>
  </si>
  <si>
    <t>American Thought and Culture in the 21st Century</t>
  </si>
  <si>
    <t>American Thought and Culture in the 21st Century E-BOOK</t>
  </si>
  <si>
    <t>Halliwell, Martin / Morley, Catherine</t>
  </si>
  <si>
    <t>978-1-4744-6887-9</t>
  </si>
  <si>
    <t>The Making and Unmaking of the Nation c.1100-1707: Volume 2 Early Modern Scotland: c.1500-1707</t>
  </si>
  <si>
    <t>MacDonald, Alan R. / Harris, Bob</t>
  </si>
  <si>
    <t>978-1-4744-6469-7</t>
  </si>
  <si>
    <t>Celtic Christianity</t>
  </si>
  <si>
    <t>Making Myths and Chasing Dreams</t>
  </si>
  <si>
    <t>Celtic Christianity E-BOOK</t>
  </si>
  <si>
    <t>Bradley, Ian</t>
  </si>
  <si>
    <t>REL015000 RELIGION / Christianity / History</t>
  </si>
  <si>
    <t>978-1-4744-7313-2</t>
  </si>
  <si>
    <t>The Derrida - Habermas Reader</t>
  </si>
  <si>
    <t>The Derrida - Habermas Reader E-BOOK</t>
  </si>
  <si>
    <t>978-1-4744-0193-7</t>
  </si>
  <si>
    <t>Ambivalent Activist</t>
  </si>
  <si>
    <t>Jones, Clara</t>
  </si>
  <si>
    <t>978-0-7486-3393-7</t>
  </si>
  <si>
    <t>Global Cinema: Genres, Modes and Identities</t>
  </si>
  <si>
    <t>Martin-Jones, David</t>
  </si>
  <si>
    <t>978-1-4744-1108-0</t>
  </si>
  <si>
    <t>Moral History from Herodotus to Diodorus Siculus</t>
  </si>
  <si>
    <t>Moral History from Herodotus to Diodorus Siculus E-BOOK</t>
  </si>
  <si>
    <t>Hau, Lisa Irene</t>
  </si>
  <si>
    <t>978-0-7486-3599-3</t>
  </si>
  <si>
    <t>Language and Social Change in Central Europe</t>
  </si>
  <si>
    <t>Discourses on Policy, Identity and the German Language</t>
  </si>
  <si>
    <t>Language and Social Change in Central Europe E-BOOK</t>
  </si>
  <si>
    <t>Stevenson, Patrick / Carl, Jenny</t>
  </si>
  <si>
    <t>978-1-4744-2365-6</t>
  </si>
  <si>
    <t>Agamben's Philosophical Lineage</t>
  </si>
  <si>
    <t>Agamben's Philosophical Lineage E-BOOK</t>
  </si>
  <si>
    <t>Kotsko, Adam / Salzani, Carlo</t>
  </si>
  <si>
    <t>978-0-7486-2663-2</t>
  </si>
  <si>
    <t>Sapphism on Screen</t>
  </si>
  <si>
    <t>Lesbian Desire in French and Francophone Cinema</t>
  </si>
  <si>
    <t>Sapphism on Screen E-BOOK</t>
  </si>
  <si>
    <t>Cairns, Lucille</t>
  </si>
  <si>
    <t>978-1-4744-2184-3</t>
  </si>
  <si>
    <t>Journeys on Screen</t>
  </si>
  <si>
    <t>Theory, Ethics, Aesthetics</t>
  </si>
  <si>
    <t>Journeys on Screen E-BOOK</t>
  </si>
  <si>
    <t>Pinazza, Natália / Bayman, Louis</t>
  </si>
  <si>
    <t>978-0-7486-9464-8</t>
  </si>
  <si>
    <t>At the Edges of Thought</t>
  </si>
  <si>
    <t>Deleuze and Post-Kantian Philosophy</t>
  </si>
  <si>
    <t>At the Edges of Thought E-BOOK</t>
  </si>
  <si>
    <t>Lundy, Craig / Voss, Daniela</t>
  </si>
  <si>
    <t>978-0-7486-7974-4</t>
  </si>
  <si>
    <t>The Scottish Labour Party</t>
  </si>
  <si>
    <t>History, Institutions and Ideas</t>
  </si>
  <si>
    <t>The Scottish Labour Party E-BOOK</t>
  </si>
  <si>
    <t>978-0-7486-2715-8</t>
  </si>
  <si>
    <t>Media Regulation, Public Interest and the Law</t>
  </si>
  <si>
    <t>Media Regulation, Public Interest and the Law E-BOOK</t>
  </si>
  <si>
    <t>Feintuck, Mike / Varney, Mike</t>
  </si>
  <si>
    <t>LAW022000 LAW / Corporate</t>
  </si>
  <si>
    <t>978-1-4744-7263-0</t>
  </si>
  <si>
    <t>From Kant to Lévi-Strauss</t>
  </si>
  <si>
    <t>The Background to Contemporary Critical Theory</t>
  </si>
  <si>
    <t>From Kant to Lévi-Strauss E-BOOK</t>
  </si>
  <si>
    <t>Simons, Jon</t>
  </si>
  <si>
    <t>978-0-7486-2705-9</t>
  </si>
  <si>
    <t>Adam Smith, Radical and Egalitarian</t>
  </si>
  <si>
    <t>An Interpretation for the 21st Century</t>
  </si>
  <si>
    <t>Adam Smith, Radical and Egalitarian E-BOOK</t>
  </si>
  <si>
    <t>McLean, Iain</t>
  </si>
  <si>
    <t>BIO003000 BIOGRAPHY &amp; AUTOBIOGRAPHY / Business</t>
  </si>
  <si>
    <t>978-0-7486-2629-8</t>
  </si>
  <si>
    <t>Women and the Fatimids in the World of Islam</t>
  </si>
  <si>
    <t>Women and the Fatimids in the World of Islam E-BOOK</t>
  </si>
  <si>
    <t>Cortese, Delia / Calderini, Simonetta</t>
  </si>
  <si>
    <t>978-1-4744-2775-3</t>
  </si>
  <si>
    <t>Contemporary Feminism and Women’s Short Stories</t>
  </si>
  <si>
    <t>Contemporary Feminism and Women’s Short Stories E-BOOK</t>
  </si>
  <si>
    <t>Young, Emma</t>
  </si>
  <si>
    <t>978-0-7486-3052-3</t>
  </si>
  <si>
    <t>Hollywood's Blacklists</t>
  </si>
  <si>
    <t>A Political and Cultural History</t>
  </si>
  <si>
    <t>Hollywood's Blacklists E-BOOK</t>
  </si>
  <si>
    <t>Humphries, Reynold</t>
  </si>
  <si>
    <t>978-1-4744-6628-8</t>
  </si>
  <si>
    <t>Local Legitimacy and International Peacebuilding</t>
  </si>
  <si>
    <t>Local Legitimacy and International Peacebuilding E-BOOK</t>
  </si>
  <si>
    <t>Richmond, Oliver P. / Mac Ginty, Roger</t>
  </si>
  <si>
    <t>978-1-4744-8787-0</t>
  </si>
  <si>
    <t>Nietzsche as Phenomenologist</t>
  </si>
  <si>
    <t>Nietzsche as Phenomenologist E-BOOK</t>
  </si>
  <si>
    <t>Daigle, Christine</t>
  </si>
  <si>
    <t>EBOOK PACKAGE COMPLETE 2021 | EBOOK PACKAGE COMPLETE 2021 English | EBOOK PACKAGE Philosophy 2021 | EBOOK PACKAGE Philosophy 2021 English | Edinburgh University Press Complete eBook-Package 2021</t>
  </si>
  <si>
    <t>978-1-4744-0765-6</t>
  </si>
  <si>
    <t>Contemporary Russian Cinema</t>
  </si>
  <si>
    <t>Symbols of a New Era</t>
  </si>
  <si>
    <t>Contemporary Russian Cinema E-BOOK</t>
  </si>
  <si>
    <t>Strukov, Vlad</t>
  </si>
  <si>
    <t>978-1-4744-7462-7</t>
  </si>
  <si>
    <t>Material Poetics in Hemispheric America</t>
  </si>
  <si>
    <t>Words and Objects 1950-2010</t>
  </si>
  <si>
    <t>Material Poetics in Hemispheric America E-BOOK</t>
  </si>
  <si>
    <t>Kosick, Rebecca</t>
  </si>
  <si>
    <t>978-0-7486-8074-0</t>
  </si>
  <si>
    <t>Philosophy and Post-structuralist Theory</t>
  </si>
  <si>
    <t>From Kant to Deleuze</t>
  </si>
  <si>
    <t>Philosophy and Post-structuralist Theory E-BOOK</t>
  </si>
  <si>
    <t>Colebrook, Claire</t>
  </si>
  <si>
    <t>978-1-4744-1891-1</t>
  </si>
  <si>
    <t>Rethinking Brechtian Film Theory and Cinema</t>
  </si>
  <si>
    <t>Rethinking Brechtian Film Theory and Cinema E-BOOK</t>
  </si>
  <si>
    <t>Koutsourakis, Angelos</t>
  </si>
  <si>
    <t>978-1-4744-4254-1</t>
  </si>
  <si>
    <t>Shakespeare’s Representation of Weather, Climate and Environment</t>
  </si>
  <si>
    <t>The Early Modern ‘Fated Sky’</t>
  </si>
  <si>
    <t>Shakespeare’s Representation of Weather, Climate and  E-BOOK</t>
  </si>
  <si>
    <t>Chiari, Sophie</t>
  </si>
  <si>
    <t>978-1-4744-6393-5</t>
  </si>
  <si>
    <t>The University of Edinburgh</t>
  </si>
  <si>
    <t>An Illustrated History</t>
  </si>
  <si>
    <t>The University of Edinburgh E-BOOK</t>
  </si>
  <si>
    <t>Phillipson, Nicholas / Anderson, Robert D. / Lynch, Michael</t>
  </si>
  <si>
    <t>978-1-4744-6974-6</t>
  </si>
  <si>
    <t>New Age</t>
  </si>
  <si>
    <t>New Age E-BOOK</t>
  </si>
  <si>
    <t>Kemp, Daren</t>
  </si>
  <si>
    <t>General Topics and Biblical Reception</t>
  </si>
  <si>
    <t>REL000000 RELIGION / General</t>
  </si>
  <si>
    <t>978-1-4744-5657-9</t>
  </si>
  <si>
    <t>Literature and Consolation</t>
  </si>
  <si>
    <t>Fictions of Comfort</t>
  </si>
  <si>
    <t>Literature and Consolation E-BOOK</t>
  </si>
  <si>
    <t>978-0-7486-7388-9</t>
  </si>
  <si>
    <t>Virtue, Learning and the Scottish Enlightenment</t>
  </si>
  <si>
    <t>Virtue, Learning and the Scottish Enlightenment E-BOOK</t>
  </si>
  <si>
    <t>Allan, David</t>
  </si>
  <si>
    <t>978-0-7486-8961-3</t>
  </si>
  <si>
    <t>The Semantics of Word Formation and Lexicalization</t>
  </si>
  <si>
    <t>The Semantics of Word Formation and Lexicalization E-BOOK</t>
  </si>
  <si>
    <t>ten Hacken, Pius / Thomas, Claire</t>
  </si>
  <si>
    <t>LAN014000 LANGUAGE ARTS &amp; DISCIPLINES / Reference</t>
  </si>
  <si>
    <t>978-1-4744-6734-6</t>
  </si>
  <si>
    <t>The Scottish Enlightenment</t>
  </si>
  <si>
    <t>Human Nature, Social Theory and Moral Philosophy: Essays in Honour of Christopher J. Berry</t>
  </si>
  <si>
    <t>The Scottish Enlightenment E-BOOK</t>
  </si>
  <si>
    <t>Mills, R. J. W. / Smith, Craig</t>
  </si>
  <si>
    <t>978-1-4744-6990-6</t>
  </si>
  <si>
    <t>Industrial Nation</t>
  </si>
  <si>
    <t>Work, Culture and Society in Scotland, 1800 - present</t>
  </si>
  <si>
    <t>Industrial Nation E-BOOK</t>
  </si>
  <si>
    <t>Knox, William</t>
  </si>
  <si>
    <t>978-1-4744-2382-3</t>
  </si>
  <si>
    <t>Rethinking Humanitarian Intervention in the 21st Century</t>
  </si>
  <si>
    <t>Rethinking Humanitarian Intervention in the 21st Cent E-BOOK</t>
  </si>
  <si>
    <t>Warren, Aiden / Grenfell, Damian</t>
  </si>
  <si>
    <t>978-0-7486-4943-3</t>
  </si>
  <si>
    <t>The Sexual State</t>
  </si>
  <si>
    <t>Sexuality and Scottish Governance 1950-80</t>
  </si>
  <si>
    <t>The Sexual State E-BOOK</t>
  </si>
  <si>
    <t>Davidson, Roger / Davis, Gayle</t>
  </si>
  <si>
    <t>978-1-4744-5885-6</t>
  </si>
  <si>
    <t>E.L. Doctorow</t>
  </si>
  <si>
    <t>A Reconsideration</t>
  </si>
  <si>
    <t>E.L. Doctorow E-BOOK</t>
  </si>
  <si>
    <t>Wutz, Michael / Murphet, Julian</t>
  </si>
  <si>
    <t>978-0-7486-3183-4</t>
  </si>
  <si>
    <t>The Handbook of Business Discourse</t>
  </si>
  <si>
    <t>The Handbook of Business Discourse E-BOOK</t>
  </si>
  <si>
    <t>Bargiela-Chiappini, Francesca</t>
  </si>
  <si>
    <t>978-0-7486-9533-1</t>
  </si>
  <si>
    <t>Short Form American Poetry</t>
  </si>
  <si>
    <t>The Modernist Tradition</t>
  </si>
  <si>
    <t>Short Form American Poetry E-BOOK</t>
  </si>
  <si>
    <t>Montgomery, Will</t>
  </si>
  <si>
    <t>978-1-4744-0838-7</t>
  </si>
  <si>
    <t>From Flodden to the Restoration</t>
  </si>
  <si>
    <t>978-0-585-10109-5</t>
  </si>
  <si>
    <t>The Archaeology of Argyll</t>
  </si>
  <si>
    <t>The Archaeology of Argyll E-BOOK</t>
  </si>
  <si>
    <t>Ritchie, J N Graham</t>
  </si>
  <si>
    <t>978-1-4744-8036-9</t>
  </si>
  <si>
    <t>Roberto Esposito</t>
  </si>
  <si>
    <t>New Directions in Biophilosophy</t>
  </si>
  <si>
    <t>Roberto Esposito E-BOOK</t>
  </si>
  <si>
    <t>Rajan, Tilottama / Calcagno, Antonio</t>
  </si>
  <si>
    <t>978-1-4744-1061-8</t>
  </si>
  <si>
    <t>Blood and Progress</t>
  </si>
  <si>
    <t>Violence in Pursuit of Emancipation</t>
  </si>
  <si>
    <t>Blood and Progress E-BOOK</t>
  </si>
  <si>
    <t>Hewlett, Nick</t>
  </si>
  <si>
    <t>HIS027060 HISTORY / Military / Strategy</t>
  </si>
  <si>
    <t>978-0-7486-8399-4</t>
  </si>
  <si>
    <t>Strategy in War and Peace</t>
  </si>
  <si>
    <t>Strategy in War and Peace E-BOOK</t>
  </si>
  <si>
    <t>Edwards, Aaron</t>
  </si>
  <si>
    <t>978-0-7486-3217-6</t>
  </si>
  <si>
    <t>Border Liberties and Loyalties</t>
  </si>
  <si>
    <t>North-East England, c. 1200 to c. 1400</t>
  </si>
  <si>
    <t>Border Liberties and Loyalties E-BOOK</t>
  </si>
  <si>
    <t>Holford, Matthew / Stringer, Keith</t>
  </si>
  <si>
    <t>978-1-4744-6186-3</t>
  </si>
  <si>
    <t>Writing Shame</t>
  </si>
  <si>
    <t>Gender, Contemporary Literature and Negative Affect</t>
  </si>
  <si>
    <t>Writing Shame E-BOOK</t>
  </si>
  <si>
    <t>Mitchell, Kaye</t>
  </si>
  <si>
    <t>978-1-4744-6678-3</t>
  </si>
  <si>
    <t>Ageing in the Modern Arabic Novel</t>
  </si>
  <si>
    <t>Ageing in the Modern Arabic Novel E-BOOK</t>
  </si>
  <si>
    <t>Aghacy, Samira</t>
  </si>
  <si>
    <t>978-0-7486-3665-5</t>
  </si>
  <si>
    <t>An Introduction to Gaelic Fiction</t>
  </si>
  <si>
    <t>An Introduction to Gaelic Fiction E-BOOK</t>
  </si>
  <si>
    <t>Watson, Moray</t>
  </si>
  <si>
    <t>978-1-4744-1338-1</t>
  </si>
  <si>
    <t>Self-love, Egoism and the Selfish Hypothesis</t>
  </si>
  <si>
    <t>Key Debates from Eighteenth-Century British Moral Philosophy</t>
  </si>
  <si>
    <t>Self-love, Egoism and the Selfish Hypothesis E-BOOK</t>
  </si>
  <si>
    <t>Maurer, Christian</t>
  </si>
  <si>
    <t>978-1-4744-3705-9</t>
  </si>
  <si>
    <t>Greek Cinema and Migration, 1991-2016</t>
  </si>
  <si>
    <t>Greek Cinema and Migration, 1991-2016 E-BOOK</t>
  </si>
  <si>
    <t>Phillis, Philip E.</t>
  </si>
  <si>
    <t>978-0-7486-5426-0</t>
  </si>
  <si>
    <t>British Film Culture in the 1970s</t>
  </si>
  <si>
    <t>The Boundaries of Pleasure</t>
  </si>
  <si>
    <t>British Film Culture in the 1970s E-BOOK</t>
  </si>
  <si>
    <t>Harper, Sue / Smith, Justin</t>
  </si>
  <si>
    <t>978-1-4744-6959-3</t>
  </si>
  <si>
    <t>The Age of Empires</t>
  </si>
  <si>
    <t>Mesopotamia in the first millennium BC</t>
  </si>
  <si>
    <t>The Age of Empires E-BOOK</t>
  </si>
  <si>
    <t>Joannès, Francis</t>
  </si>
  <si>
    <t>HIS002000 HISTORY / Ancient / General</t>
  </si>
  <si>
    <t>978-1-4744-7309-5</t>
  </si>
  <si>
    <t>Popular Politics in Early Industrial Britain</t>
  </si>
  <si>
    <t>Bolton, 1825-1850</t>
  </si>
  <si>
    <t>Popular Politics in Early Industrial Britain E-BOOK</t>
  </si>
  <si>
    <t>Taylor, Peter F.</t>
  </si>
  <si>
    <t>978-1-4744-6795-7</t>
  </si>
  <si>
    <t>Ethical Criticism</t>
  </si>
  <si>
    <t>Reading After Levinas</t>
  </si>
  <si>
    <t>Ethical Criticism E-BOOK</t>
  </si>
  <si>
    <t>Eaglestone, Robert</t>
  </si>
  <si>
    <t>978-1-4744-0113-5</t>
  </si>
  <si>
    <t>Human Trafficking</t>
  </si>
  <si>
    <t>The Complexities of Exploitation</t>
  </si>
  <si>
    <t>Human Trafficking E-BOOK</t>
  </si>
  <si>
    <t>Malloch, Margaret / Rigby, Paul</t>
  </si>
  <si>
    <t>International Law, Foreign Law, Comparative Law</t>
  </si>
  <si>
    <t>International Law, Foreign Law, Comparative Law, other</t>
  </si>
  <si>
    <t>LAW051000 LAW / International</t>
  </si>
  <si>
    <t>Colorado State University 2023 EBA Selections | Edinburgh University Press Complete eBook-Package 2016 | Pick and Choose Law eBook Package BU 2022 | Pick and Choose eBook Package Cornell Eng Law 2000-2021 | UCB LAW SCHOOL Pick &amp; Choose 2022 | Yale P&amp;C Law Package 2023</t>
  </si>
  <si>
    <t>978-1-4744-7151-0</t>
  </si>
  <si>
    <t>Edwin Muir</t>
  </si>
  <si>
    <t>Poet, Critic and Novelist</t>
  </si>
  <si>
    <t>Edwin Muir E-BOOK</t>
  </si>
  <si>
    <t>978-1-4744-0515-7</t>
  </si>
  <si>
    <t>The Cinematic Bodies of Eastern Europe and Russia</t>
  </si>
  <si>
    <t>Between Pain and Pleasure</t>
  </si>
  <si>
    <t>The Cinematic Bodies of Eastern Europe and Russia E-BOOK</t>
  </si>
  <si>
    <t>Mazierska, Ewa / Mroz, Matilda / Ostrowska, Elzbieta</t>
  </si>
  <si>
    <t>978-1-4744-7365-1</t>
  </si>
  <si>
    <t>The J. Hillis Miller Reader</t>
  </si>
  <si>
    <t>The J. Hillis Miller Reader E-BOOK</t>
  </si>
  <si>
    <t>978-1-4744-1948-2</t>
  </si>
  <si>
    <t>Female Agency and Documentary Strategies</t>
  </si>
  <si>
    <t>Subjectivities, Identity and Activism</t>
  </si>
  <si>
    <t>Female Agency and Documentary Strategies E-BOOK</t>
  </si>
  <si>
    <t>Ulfsdotter, Boel / Backman Rogers, Anna</t>
  </si>
  <si>
    <t>978-1-4744-7092-6</t>
  </si>
  <si>
    <t>Post-Theory</t>
  </si>
  <si>
    <t>New Directions in Criticism</t>
  </si>
  <si>
    <t>Post-Theory E-BOOK</t>
  </si>
  <si>
    <t>Purves, Robin / Macdonald, Graeme / McQuillan, Martin</t>
  </si>
  <si>
    <t>978-0-7486-9621-5</t>
  </si>
  <si>
    <t>Northern Neighbours</t>
  </si>
  <si>
    <t>Scotland and Norway since 1800</t>
  </si>
  <si>
    <t>Northern Neighbours E-BOOK</t>
  </si>
  <si>
    <t>Riddoch, Lesley / Bryden, John / Brox, Ottar</t>
  </si>
  <si>
    <t>978-1-4744-7227-2</t>
  </si>
  <si>
    <t>Identity, Culture and the Postmodern World</t>
  </si>
  <si>
    <t>Identity, Culture and the Postmodern World E-BOOK</t>
  </si>
  <si>
    <t>Sarup, Madan</t>
  </si>
  <si>
    <t>978-1-4744-7586-0</t>
  </si>
  <si>
    <t>The Pulse in Cinema</t>
  </si>
  <si>
    <t>The Aesthetics of Horror</t>
  </si>
  <si>
    <t>The Pulse in Cinema E-BOOK</t>
  </si>
  <si>
    <t>Mee, Sharon Jane</t>
  </si>
  <si>
    <t>978-0-7486-4704-0</t>
  </si>
  <si>
    <t>Heritage Film Audiences</t>
  </si>
  <si>
    <t>Period Films and Contemporary Audiences in the UK</t>
  </si>
  <si>
    <t>Heritage Film Audiences E-BOOK</t>
  </si>
  <si>
    <t>Monk, Claire</t>
  </si>
  <si>
    <t>978-0-7486-3604-4</t>
  </si>
  <si>
    <t>Derrida and Lacan</t>
  </si>
  <si>
    <t>Another Writing</t>
  </si>
  <si>
    <t>Derrida and Lacan E-BOOK</t>
  </si>
  <si>
    <t>Lewis, Michael</t>
  </si>
  <si>
    <t>978-1-4744-7358-3</t>
  </si>
  <si>
    <t>Gendering the Nation</t>
  </si>
  <si>
    <t>Studies in Modern Scottish Literature</t>
  </si>
  <si>
    <t>Gendering the Nation E-BOOK</t>
  </si>
  <si>
    <t>Whyte, Christopher</t>
  </si>
  <si>
    <t>978-1-4744-3387-7</t>
  </si>
  <si>
    <t>Russia Before and After Crimea</t>
  </si>
  <si>
    <t>Nationalism and Identity, 2010–17</t>
  </si>
  <si>
    <t>Russia Before and After Crimea E-BOOK</t>
  </si>
  <si>
    <t>978-1-4744-3849-0</t>
  </si>
  <si>
    <t>Lord Seaforth</t>
  </si>
  <si>
    <t>Highland Landowner, Caribbean Governor</t>
  </si>
  <si>
    <t>Lord Seaforth E-BOOK</t>
  </si>
  <si>
    <t>McKichan, Finlay</t>
  </si>
  <si>
    <t>978-1-4744-5073-7</t>
  </si>
  <si>
    <t>Gilles Deleuze's Luminous Philosophy</t>
  </si>
  <si>
    <t>Gilles Deleuze's Luminous Philosophy E-BOOK</t>
  </si>
  <si>
    <t>Berressem, Hanjo</t>
  </si>
  <si>
    <t>978-0-7486-5412-3</t>
  </si>
  <si>
    <t>Evil in Contemporary Political Theory</t>
  </si>
  <si>
    <t>Evil in Contemporary Political Theory E-BOOK</t>
  </si>
  <si>
    <t>Sutch, Peter / Haddock, Bruce / Roberts, Peri</t>
  </si>
  <si>
    <t>978-1-4744-2313-7</t>
  </si>
  <si>
    <t>Transformation and Tradition in 1960s British Cinema</t>
  </si>
  <si>
    <t>Transformation and Tradition in 1960s British Cinema E-BOOK</t>
  </si>
  <si>
    <t>Williams, Melanie</t>
  </si>
  <si>
    <t>978-0-7486-2979-4</t>
  </si>
  <si>
    <t>US Environmental History</t>
  </si>
  <si>
    <t>Inviting Doomsday</t>
  </si>
  <si>
    <t>US Environmental History E-BOOK</t>
  </si>
  <si>
    <t>Wills, John</t>
  </si>
  <si>
    <t>978-1-4744-6785-8</t>
  </si>
  <si>
    <t>This Shrinking Land</t>
  </si>
  <si>
    <t>Climate Change and Britain's Coasts</t>
  </si>
  <si>
    <t>This Shrinking Land E-BOOK</t>
  </si>
  <si>
    <t>978-1-4744-1054-0</t>
  </si>
  <si>
    <t>The Biopolitics of Stalinism</t>
  </si>
  <si>
    <t>Ideology and Life in Soviet Socialism</t>
  </si>
  <si>
    <t>The Biopolitics of Stalinism E-BOOK</t>
  </si>
  <si>
    <t>Eastern Europe</t>
  </si>
  <si>
    <t>HIS032000 HISTORY / Russia &amp; the Former Soviet Union</t>
  </si>
  <si>
    <t>978-1-4744-3420-1</t>
  </si>
  <si>
    <t>Deconstruction, Feminism, Film</t>
  </si>
  <si>
    <t>Deconstruction, Feminism, Film E-BOOK</t>
  </si>
  <si>
    <t>Dillon, Sarah</t>
  </si>
  <si>
    <t>978-1-4744-4036-3</t>
  </si>
  <si>
    <t>Migration and Modernities</t>
  </si>
  <si>
    <t>The State of Being Stateless, 1750-1850</t>
  </si>
  <si>
    <t>Migration and Modernities E-BOOK</t>
  </si>
  <si>
    <t>DeLucia, JoEllen / Shields, Juliet</t>
  </si>
  <si>
    <t>978-0-7486-7288-2</t>
  </si>
  <si>
    <t>The Sacred Thread</t>
  </si>
  <si>
    <t>Hinduism in Continuity &amp; Diversity</t>
  </si>
  <si>
    <t>The Sacred Thread E-BOOK</t>
  </si>
  <si>
    <t>Brockington, John</t>
  </si>
  <si>
    <t>Hinduism</t>
  </si>
  <si>
    <t>REL032000 RELIGION / Hinduism / General</t>
  </si>
  <si>
    <t>978-0-7486-4325-7</t>
  </si>
  <si>
    <t>Demented Particulars</t>
  </si>
  <si>
    <t>The Annotated 'Murphy'</t>
  </si>
  <si>
    <t>Demented Particulars E-BOOK</t>
  </si>
  <si>
    <t>978-1-4744-2739-5</t>
  </si>
  <si>
    <t>Cultivating Extreme Art Cinema</t>
  </si>
  <si>
    <t>Text, Paratext and Home Video Culture</t>
  </si>
  <si>
    <t>Cultivating Extreme Art Cinema E-BOOK</t>
  </si>
  <si>
    <t>Hobbs, Simon</t>
  </si>
  <si>
    <t>978-0-7486-9231-6</t>
  </si>
  <si>
    <t>Obligation in Exile</t>
  </si>
  <si>
    <t>The Jewish Diaspora, Israel and Critique</t>
  </si>
  <si>
    <t>Obligation in Exile E-BOOK</t>
  </si>
  <si>
    <t>Baron, Ilan Zvi</t>
  </si>
  <si>
    <t>978-0-7486-2909-1</t>
  </si>
  <si>
    <t>The American Counterculture</t>
  </si>
  <si>
    <t>The American Counterculture E-BOOK</t>
  </si>
  <si>
    <t>Gair, Christopher</t>
  </si>
  <si>
    <t>978-0-7486-4215-1</t>
  </si>
  <si>
    <t>Revolution or Evolution? The 2007 Scottish Elections</t>
  </si>
  <si>
    <t>Revolution or Evolution? The 2007 Scottish Elections E-BOOK</t>
  </si>
  <si>
    <t>McCrone, David / Curtice, John / McEwen, Nicola</t>
  </si>
  <si>
    <t>978-0-7486-9962-9</t>
  </si>
  <si>
    <t>The Making and Unmaking of the Nation: Volume 5 Major Documents</t>
  </si>
  <si>
    <t>Penman, Michael / Erskine, Caroline / MacDonald, Alan</t>
  </si>
  <si>
    <t>978-0-7486-9916-2</t>
  </si>
  <si>
    <t>Religion and National Identity</t>
  </si>
  <si>
    <t>Governing Scottish Presbyterianism in the Eighteenth Century</t>
  </si>
  <si>
    <t>Religion and National Identity E-BOOK</t>
  </si>
  <si>
    <t>Mutch, Alistair</t>
  </si>
  <si>
    <t>978-0-7486-3008-0</t>
  </si>
  <si>
    <t>Screening Shakespeare in the Twenty-First Century</t>
  </si>
  <si>
    <t>Screening Shakespeare in the Twenty-First Century E-BOOK</t>
  </si>
  <si>
    <t>Thornton Burnett, Mark</t>
  </si>
  <si>
    <t>978-0-7486-4206-9</t>
  </si>
  <si>
    <t>Liberal Peace Transitions</t>
  </si>
  <si>
    <t>Between Statebuilding and Peacebuilding</t>
  </si>
  <si>
    <t>Liberal Peace Transitions E-BOOK</t>
  </si>
  <si>
    <t>Richmond, Oliver / Franks, Jason</t>
  </si>
  <si>
    <t>978-1-4744-7333-0</t>
  </si>
  <si>
    <t>Sociolinguistic Variation and Change</t>
  </si>
  <si>
    <t>Sociolinguistic Variation and Change E-BOOK</t>
  </si>
  <si>
    <t>978-1-4744-7331-6</t>
  </si>
  <si>
    <t>The Dictionary of Historical and Comparative Linguistics</t>
  </si>
  <si>
    <t>The Dictionary of Historical and Comparative Linguist E-BOOK</t>
  </si>
  <si>
    <t>Trask, R. L.</t>
  </si>
  <si>
    <t>978-0-7486-4964-8</t>
  </si>
  <si>
    <t>Freedom from Past Injustices</t>
  </si>
  <si>
    <t>A Critical Evaluation of Claims for Inter-Generational Reparations</t>
  </si>
  <si>
    <t>Freedom from Past Injustices E-BOOK</t>
  </si>
  <si>
    <t>Perez, Nahshon</t>
  </si>
  <si>
    <t>978-1-4744-4058-5</t>
  </si>
  <si>
    <t>Scheming</t>
  </si>
  <si>
    <t>A Social History of Glasgow Council Housing, 1919-1956</t>
  </si>
  <si>
    <t>Scheming E-BOOK</t>
  </si>
  <si>
    <t>Damer, Seán</t>
  </si>
  <si>
    <t>978-1-4744-2972-6</t>
  </si>
  <si>
    <t>Syria in Crusader Times</t>
  </si>
  <si>
    <t>Conflict and Co-Existence</t>
  </si>
  <si>
    <t>Syria in Crusader Times E-BOOK</t>
  </si>
  <si>
    <t>978-0-7486-3073-8</t>
  </si>
  <si>
    <t>Hollywood's Cold War</t>
  </si>
  <si>
    <t>Hollywood's Cold War E-BOOK</t>
  </si>
  <si>
    <t>Shaw, Tony</t>
  </si>
  <si>
    <t>978-0-7486-9601-7</t>
  </si>
  <si>
    <t>Kathleen Jamie</t>
  </si>
  <si>
    <t>Essays and Poems on Her Work</t>
  </si>
  <si>
    <t>Kathleen Jamie E-BOOK</t>
  </si>
  <si>
    <t>Falconer, Rachel</t>
  </si>
  <si>
    <t>978-0-7486-4334-9</t>
  </si>
  <si>
    <t>Essays on Deleuze</t>
  </si>
  <si>
    <t>Essays on Deleuze E-BOOK</t>
  </si>
  <si>
    <t>Smith, Daniel</t>
  </si>
  <si>
    <t>978-1-4744-7170-1</t>
  </si>
  <si>
    <t>Women's Fiction of the Second World War</t>
  </si>
  <si>
    <t>Gender, Power and Resistance</t>
  </si>
  <si>
    <t>Women's Fiction of the Second World War E-BOOK</t>
  </si>
  <si>
    <t>978-0-7486-3760-7</t>
  </si>
  <si>
    <t>Phenomenology or Deconstruction?</t>
  </si>
  <si>
    <t>The Question of Ontology in Maurice Merleau-Ponty, Paul Ricoeur and Jean-Luc Nancy</t>
  </si>
  <si>
    <t>Phenomenology or Deconstruction? E-BOOK</t>
  </si>
  <si>
    <t>Selected Philosophical Movements</t>
  </si>
  <si>
    <t>Hermeneutics</t>
  </si>
  <si>
    <t>PHI018000 PHILOSOPHY / Movements / Phenomenology</t>
  </si>
  <si>
    <t>978-1-4744-0665-9</t>
  </si>
  <si>
    <t>Love Among the Archives</t>
  </si>
  <si>
    <t>Writing the Lives of Sir George Scharf, Victorian Bachelor</t>
  </si>
  <si>
    <t>Love Among the Archives E-BOOK</t>
  </si>
  <si>
    <t xml:space="preserve">Michie, Helena / Warhol, Robyn </t>
  </si>
  <si>
    <t>978-1-4744-6408-6</t>
  </si>
  <si>
    <t>Holyrood</t>
  </si>
  <si>
    <t>The Inside Story</t>
  </si>
  <si>
    <t>Holyrood E-BOOK</t>
  </si>
  <si>
    <t>Bain, Susan</t>
  </si>
  <si>
    <t>978-1-4744-6894-7</t>
  </si>
  <si>
    <t>Memories of Odysseus</t>
  </si>
  <si>
    <t>Frontier Tales from Ancient Greece</t>
  </si>
  <si>
    <t>Memories of Odysseus E-BOOK</t>
  </si>
  <si>
    <t>Hartog, Francois</t>
  </si>
  <si>
    <t>978-0-7486-3379-1</t>
  </si>
  <si>
    <t>Nonviolence in Political Theory</t>
  </si>
  <si>
    <t>Nonviolence in Political Theory E-BOOK</t>
  </si>
  <si>
    <t>Atack, Iain</t>
  </si>
  <si>
    <t>978-1-4744-0693-2</t>
  </si>
  <si>
    <t>Fighting France</t>
  </si>
  <si>
    <t>From Dunkerque to Belfort</t>
  </si>
  <si>
    <t>Fighting France E-BOOK</t>
  </si>
  <si>
    <t>Wharton, Edith / Kelly, Alice</t>
  </si>
  <si>
    <t>LCO002000 LITERARY COLLECTIONS / American / General</t>
  </si>
  <si>
    <t>978-1-4744-7065-0</t>
  </si>
  <si>
    <t>The Rise of Humanism in Classical Islam and the Christian West</t>
  </si>
  <si>
    <t>The Rise of Humanism in Classical Islam and the Chris E-BOOK</t>
  </si>
  <si>
    <t>978-1-4744-4450-7</t>
  </si>
  <si>
    <t>The Filmmaker’s Philosopher</t>
  </si>
  <si>
    <t>Merab Mamardashvili and Russian Cinema</t>
  </si>
  <si>
    <t>The Filmmaker’s Philosopher E-BOOK</t>
  </si>
  <si>
    <t>DeBlasio, Alyssa</t>
  </si>
  <si>
    <t>978-1-4744-6342-3</t>
  </si>
  <si>
    <t>Shakespeare's Essays</t>
  </si>
  <si>
    <t>Sampling Montaigne from Hamlet to The Tempest</t>
  </si>
  <si>
    <t>Shakespeare's Essays E-BOOK</t>
  </si>
  <si>
    <t>Platt, Peter G.</t>
  </si>
  <si>
    <t>978-0-7486-9261-3</t>
  </si>
  <si>
    <t>Claude Chabrol's Aesthetics of Opacity</t>
  </si>
  <si>
    <t>Claude Chabrol's Aesthetics of Opacity E-BOOK</t>
  </si>
  <si>
    <t>Dousteyssier-Khoze, Catherine</t>
  </si>
  <si>
    <t>978-1-4744-5618-0</t>
  </si>
  <si>
    <t>Contemporary Perspectives on Revelation and Qu’ranic Hermeneutics</t>
  </si>
  <si>
    <t>An Analysis of Four Discourses</t>
  </si>
  <si>
    <t>Contemporary Perspectives on Revelation and Qu’ranic  E-BOOK</t>
  </si>
  <si>
    <t>Akbar, Ali</t>
  </si>
  <si>
    <t>PHI036000 PHILOSOPHY / Hermeneutics</t>
  </si>
  <si>
    <t>978-0-7486-7640-8</t>
  </si>
  <si>
    <t>Shane Meadows</t>
  </si>
  <si>
    <t>Critical Essays</t>
  </si>
  <si>
    <t>Shane Meadows E-BOOK</t>
  </si>
  <si>
    <t>Williams, Melanie / Fradley, Martin / Godfrey, Sarah</t>
  </si>
  <si>
    <t>978-0-7486-7912-6</t>
  </si>
  <si>
    <t>In the Company of Nurses</t>
  </si>
  <si>
    <t>The History of the British Army Nursing Service in the Great War</t>
  </si>
  <si>
    <t>In the Company of Nurses E-BOOK</t>
  </si>
  <si>
    <t>McEwen, Yvonne</t>
  </si>
  <si>
    <t>978-0-7486-7437-4</t>
  </si>
  <si>
    <t>The Modern Scottish Novel</t>
  </si>
  <si>
    <t>Narrative and the National Imagination</t>
  </si>
  <si>
    <t>The Modern Scottish Novel E-BOOK</t>
  </si>
  <si>
    <t>978-1-4744-0358-0</t>
  </si>
  <si>
    <t>Journey to Poland</t>
  </si>
  <si>
    <t>Documentary Landscapes of the Holocaust</t>
  </si>
  <si>
    <t>Journey to Poland E-BOOK</t>
  </si>
  <si>
    <t>Cinquegrani, Maurizio</t>
  </si>
  <si>
    <t>HIS010010 HISTORY / Europe / Eastern</t>
  </si>
  <si>
    <t>978-1-4744-1100-4</t>
  </si>
  <si>
    <t>Universe and Inner Self in Early Indian and Early Greek Thought</t>
  </si>
  <si>
    <t>Universe and Inner Self in Early Indian and Early Gre E-BOOK</t>
  </si>
  <si>
    <t>Seaford, Richard</t>
  </si>
  <si>
    <t>978-0-7486-9487-7</t>
  </si>
  <si>
    <t>Classes of Ladies of Cloistered Spaces</t>
  </si>
  <si>
    <t>Writing Feminist History through Biography in Fin-de-siecle Egypt</t>
  </si>
  <si>
    <t>Classes of Ladies of Cloistered Spaces E-BOOK</t>
  </si>
  <si>
    <t>Booth, Marilyn</t>
  </si>
  <si>
    <t>CSCU DEI P&amp;C 2023 | Edinburgh University Press Complete eBook-Package 2014-2015</t>
  </si>
  <si>
    <t>978-0-7486-7834-1</t>
  </si>
  <si>
    <t>Language Planning as a Sociolinguistic Experiment</t>
  </si>
  <si>
    <t>The Case of Modern Norwegian</t>
  </si>
  <si>
    <t>Language Planning as a Sociolinguistic Experiment E-BOOK</t>
  </si>
  <si>
    <t>Jahr, Ernst Håkon</t>
  </si>
  <si>
    <t>978-1-4744-8141-0</t>
  </si>
  <si>
    <t>Variable Objects</t>
  </si>
  <si>
    <t>Shakespeare and Speculative Appropriation</t>
  </si>
  <si>
    <t>Variable Objects E-BOOK</t>
  </si>
  <si>
    <t>Fazel, Valerie M. / Geddes, Louise</t>
  </si>
  <si>
    <t>978-0-7486-7964-5</t>
  </si>
  <si>
    <t>The Contemporary Television Series</t>
  </si>
  <si>
    <t>The Contemporary Television Series E-BOOK</t>
  </si>
  <si>
    <t>Hammond, Michael / Mazdon, Lucy</t>
  </si>
  <si>
    <t>978-0-7486-4732-3</t>
  </si>
  <si>
    <t>The Modernist Party</t>
  </si>
  <si>
    <t>The Modernist Party E-BOOK</t>
  </si>
  <si>
    <t>McLoughlin, Kate</t>
  </si>
  <si>
    <t>978-0-7486-9197-5</t>
  </si>
  <si>
    <t>The Literature of Pity</t>
  </si>
  <si>
    <t>The Literature of Pity E-BOOK</t>
  </si>
  <si>
    <t>978-0-7486-3022-6</t>
  </si>
  <si>
    <t>The Political Mind</t>
  </si>
  <si>
    <t>or 'How to Think Differently'</t>
  </si>
  <si>
    <t>The Political Mind E-BOOK</t>
  </si>
  <si>
    <t>Laird, Kieran</t>
  </si>
  <si>
    <t>978-1-4744-7038-4</t>
  </si>
  <si>
    <t>Matters of the Mind</t>
  </si>
  <si>
    <t>Matters of the Mind E-BOOK</t>
  </si>
  <si>
    <t>Lyons, William</t>
  </si>
  <si>
    <t>978-0-7486-3077-6</t>
  </si>
  <si>
    <t>Rituals of Islamic Monarchy</t>
  </si>
  <si>
    <t>Accession and Succession in the First Muslim Empire</t>
  </si>
  <si>
    <t>Rituals of Islamic Monarchy E-BOOK</t>
  </si>
  <si>
    <t>Marsham, Andrew</t>
  </si>
  <si>
    <t>978-1-4744-2055-6</t>
  </si>
  <si>
    <t>Sinn Féin and the IRA</t>
  </si>
  <si>
    <t>From Revolution to Moderation</t>
  </si>
  <si>
    <t>Sinn Féin and the IRA E-BOOK</t>
  </si>
  <si>
    <t>Whiting, Matthew</t>
  </si>
  <si>
    <t>978-1-4744-6448-2</t>
  </si>
  <si>
    <t>Islamic Inscriptions</t>
  </si>
  <si>
    <t>Islamic Inscriptions E-BOOK</t>
  </si>
  <si>
    <t>Blair, Sheila</t>
  </si>
  <si>
    <t>ART019000 ART / Asian / General</t>
  </si>
  <si>
    <t>978-1-4744-3621-2</t>
  </si>
  <si>
    <t>British Avant-Garde Fiction of the 1960s</t>
  </si>
  <si>
    <t>British Avant-Garde Fiction of the 1960s E-BOOK</t>
  </si>
  <si>
    <t>Mitchell, Kaye / Williams, Nonia</t>
  </si>
  <si>
    <t>978-1-4744-6426-0</t>
  </si>
  <si>
    <t>Third Way Discourse</t>
  </si>
  <si>
    <t>European Ideologies in the Twentieth Century</t>
  </si>
  <si>
    <t>Third Way Discourse E-BOOK</t>
  </si>
  <si>
    <t>Bastow, Steve / Martin, James</t>
  </si>
  <si>
    <t>978-0-7486-8585-1</t>
  </si>
  <si>
    <t>Bannockburns</t>
  </si>
  <si>
    <t>Scottish Independence and Literary Imagination, 1314-2014</t>
  </si>
  <si>
    <t>Bannockburns E-BOOK</t>
  </si>
  <si>
    <t>978-1-4744-7077-3</t>
  </si>
  <si>
    <t>African Philosophy in Search of Identity</t>
  </si>
  <si>
    <t>African Philosophy in Search of Identity E-BOOK</t>
  </si>
  <si>
    <t>Masolo, D A</t>
  </si>
  <si>
    <t>978-0-7486-4894-8</t>
  </si>
  <si>
    <t>The Scottish Diaspora</t>
  </si>
  <si>
    <t>The Scottish Diaspora E-BOOK</t>
  </si>
  <si>
    <t>Morton, Graeme / Bueltmann, Tanja / Hinson, Andrew</t>
  </si>
  <si>
    <t>978-1-4744-1342-8</t>
  </si>
  <si>
    <t>Nationhood, Migration and Global Politics</t>
  </si>
  <si>
    <t>Nationhood, Migration and Global Politics E-BOOK</t>
  </si>
  <si>
    <t>978-0-7486-9427-3</t>
  </si>
  <si>
    <t>War and the Mind</t>
  </si>
  <si>
    <t>Ford Madox Ford's Parade's End, Modernism, and Psychology</t>
  </si>
  <si>
    <t>War and the Mind E-BOOK</t>
  </si>
  <si>
    <t>Chantler, Ashley / Hawkes, Rob</t>
  </si>
  <si>
    <t>978-1-4744-2903-0</t>
  </si>
  <si>
    <t>Cinema Between Media</t>
  </si>
  <si>
    <t>An Intermediality Approach</t>
  </si>
  <si>
    <t>Cinema Between Media E-BOOK</t>
  </si>
  <si>
    <t>Bruhn, Jørgen / Gjelsvik, Anne</t>
  </si>
  <si>
    <t>978-1-4744-7152-7</t>
  </si>
  <si>
    <t>The First World War and Popular Cinema</t>
  </si>
  <si>
    <t>1914 to the Present</t>
  </si>
  <si>
    <t>The First World War and Popular Cinema E-BOOK</t>
  </si>
  <si>
    <t>Paris, Michael</t>
  </si>
  <si>
    <t>Edinburgh University Press Archive eBook-Package Pre-2000 | MUN EBA Selections 2023</t>
  </si>
  <si>
    <t>978-0-7486-9492-1</t>
  </si>
  <si>
    <t>Undead Apocalypse</t>
  </si>
  <si>
    <t>Vampires and Zombies in the 21st Century</t>
  </si>
  <si>
    <t>Undead Apocalypse E-BOOK</t>
  </si>
  <si>
    <t>Abbott, Stacey</t>
  </si>
  <si>
    <t>978-1-4744-3823-0</t>
  </si>
  <si>
    <t>How ISIS Fights</t>
  </si>
  <si>
    <t>Military Tactics in Iraq, Syria, Libya and Egypt</t>
  </si>
  <si>
    <t>How ISIS Fights E-BOOK</t>
  </si>
  <si>
    <t>POL059000 POLITICAL SCIENCE / World / Middle Eastern</t>
  </si>
  <si>
    <t>EBOOK PACKAGE COMPLETE 2021 | EBOOK PACKAGE COMPLETE 2021 English | EBOOK PACKAGE Political Science 2021 | EBOOK PACKAGE Political Science 2021 English | Edinburgh University Press Complete eBook-Package 2021</t>
  </si>
  <si>
    <t>978-0-7486-2714-1</t>
  </si>
  <si>
    <t>The Edinburgh Companion to Ancient Greece and Rome</t>
  </si>
  <si>
    <t>The Edinburgh Companion to Ancient Greece and Rome E-BOOK</t>
  </si>
  <si>
    <t>Sparkes, Brian / Bispham, Edward / Harrison, Thomas</t>
  </si>
  <si>
    <t>978-0-7486-3091-2</t>
  </si>
  <si>
    <t>Death, 'Deathlessness' and Existenz in Karl Jaspers' Philosophy</t>
  </si>
  <si>
    <t>Death, 'Deathlessness' and Existenz in Karl Jaspers'  E-BOOK</t>
  </si>
  <si>
    <t>Page, Filiz</t>
  </si>
  <si>
    <t>PHI006000 PHILOSOPHY / Movements / Existentialism</t>
  </si>
  <si>
    <t>978-1-4744-3749-3</t>
  </si>
  <si>
    <t>The Ethics and Practice of Refugee Repatriation</t>
  </si>
  <si>
    <t>The Ethics and Practice of Refugee Repatriation E-BOOK</t>
  </si>
  <si>
    <t>Gerver, Mollie</t>
  </si>
  <si>
    <t>978-0-7486-2659-5</t>
  </si>
  <si>
    <t>Twentieth-Century German Political Thought</t>
  </si>
  <si>
    <t>Twentieth-Century German Political Thought E-BOOK</t>
  </si>
  <si>
    <t>978-1-4744-7226-5</t>
  </si>
  <si>
    <t>Sibawayh on ?imalah (Inclination)</t>
  </si>
  <si>
    <t>Text, Translation, Notes and Analysis</t>
  </si>
  <si>
    <t>Sibawayh on ?imalah (Inclination) E-BOOK</t>
  </si>
  <si>
    <t>Sara, Solomon I.</t>
  </si>
  <si>
    <t>978-1-4744-4996-0</t>
  </si>
  <si>
    <t>Language, Ideology and Sociopolitical Change in the Arabic-speaking World</t>
  </si>
  <si>
    <t>A Study of the Discourse of Arabic Language Academies</t>
  </si>
  <si>
    <t>Language, Ideology and Sociopolitical Change in the A E-BOOK</t>
  </si>
  <si>
    <t>Lian, Chaoqun</t>
  </si>
  <si>
    <t>978-0-7486-4213-7</t>
  </si>
  <si>
    <t>Wittgenstein and Political Theory</t>
  </si>
  <si>
    <t>The View from Somewhere</t>
  </si>
  <si>
    <t>Wittgenstein and Political Theory E-BOOK</t>
  </si>
  <si>
    <t>Robinson, Christopher C.</t>
  </si>
  <si>
    <t>978-0-7486-5635-6</t>
  </si>
  <si>
    <t>Small-Gauge Storytelling</t>
  </si>
  <si>
    <t>Discovering the Amateur Fiction Film</t>
  </si>
  <si>
    <t>Small-Gauge Storytelling E-BOOK</t>
  </si>
  <si>
    <t>Shand, Ryan / Craven, Ian</t>
  </si>
  <si>
    <t>978-0-7486-4265-6</t>
  </si>
  <si>
    <t>Literature, Cinema and Politics 1930-1945</t>
  </si>
  <si>
    <t>Reading Between the Frames</t>
  </si>
  <si>
    <t>Literature, Cinema and Politics 1930-1945 E-BOOK</t>
  </si>
  <si>
    <t>Feigel, Lara</t>
  </si>
  <si>
    <t>978-0-7486-3182-7</t>
  </si>
  <si>
    <t>The Media in Scotland</t>
  </si>
  <si>
    <t>The Media in Scotland E-BOOK</t>
  </si>
  <si>
    <t>Blain, Neil / Hutchison, David</t>
  </si>
  <si>
    <t>978-0-7486-9920-9</t>
  </si>
  <si>
    <t>French and Spanish Queer Film</t>
  </si>
  <si>
    <t>Audiences, Communities and Cultural Exchange</t>
  </si>
  <si>
    <t>French and Spanish Queer Film E-BOOK</t>
  </si>
  <si>
    <t>Perriam, Chris / Waldron, Darren</t>
  </si>
  <si>
    <t>978-1-4744-6581-6</t>
  </si>
  <si>
    <t>Edmund Gosse</t>
  </si>
  <si>
    <t>Father and Son</t>
  </si>
  <si>
    <t>Edmund Gosse E-BOOK</t>
  </si>
  <si>
    <t>Cockshut, A O J</t>
  </si>
  <si>
    <t>978-1-4744-2096-9</t>
  </si>
  <si>
    <t>Rural Modernity in Britain</t>
  </si>
  <si>
    <t>A Critical Intervention</t>
  </si>
  <si>
    <t>Rural Modernity in Britain E-BOOK</t>
  </si>
  <si>
    <t>Bluemel, Kristin / McCluskey, Michael</t>
  </si>
  <si>
    <t>978-1-4744-6429-1</t>
  </si>
  <si>
    <t>Liberalism And The 'Politics Of Difference'</t>
  </si>
  <si>
    <t>Liberalism And The 'Politics Of Difference' E-BOOK</t>
  </si>
  <si>
    <t>Baumeister, Andrea</t>
  </si>
  <si>
    <t>978-1-4744-0125-8</t>
  </si>
  <si>
    <t>The Afterlives of Georges Perec</t>
  </si>
  <si>
    <t>The Afterlives of Georges Perec E-BOOK</t>
  </si>
  <si>
    <t>Wilken, Rowan / Clemens, Justin</t>
  </si>
  <si>
    <t>Design</t>
  </si>
  <si>
    <t>Studies, Professional Practice</t>
  </si>
  <si>
    <t>DES004000 DESIGN / Essays</t>
  </si>
  <si>
    <t>978-1-4744-7111-4</t>
  </si>
  <si>
    <t>Slavery in America</t>
  </si>
  <si>
    <t>Slavery in America E-BOOK</t>
  </si>
  <si>
    <t>Morgan, Kenneth</t>
  </si>
  <si>
    <t>978-0-7486-6931-8</t>
  </si>
  <si>
    <t>Regional Modernisms</t>
  </si>
  <si>
    <t>Regional Modernisms E-BOOK</t>
  </si>
  <si>
    <t>Alexander, Neal / Moran, James</t>
  </si>
  <si>
    <t>978-1-4744-9027-6</t>
  </si>
  <si>
    <t>The Politics of Islam</t>
  </si>
  <si>
    <t>The Muslim Brothers and the State in the Arab Gulf</t>
  </si>
  <si>
    <t>The Politics of Islam E-BOOK</t>
  </si>
  <si>
    <t xml:space="preserve">Başkan, Birol </t>
  </si>
  <si>
    <t>HIS026010 HISTORY / Middle East / Arabian Peninsula</t>
  </si>
  <si>
    <t>978-1-4744-7137-4</t>
  </si>
  <si>
    <t>Scots at School</t>
  </si>
  <si>
    <t>Scots at School E-BOOK</t>
  </si>
  <si>
    <t>Northcroft, David</t>
  </si>
  <si>
    <t>978-0-7486-3578-8</t>
  </si>
  <si>
    <t>Language and Identities</t>
  </si>
  <si>
    <t>Language and Identities E-BOOK</t>
  </si>
  <si>
    <t>Llamas, Carmen / Watt, Dominic</t>
  </si>
  <si>
    <t>978-0-7486-9101-2</t>
  </si>
  <si>
    <t>Phonetic Transcription in Theory and Practice</t>
  </si>
  <si>
    <t>Phonetic Transcription in Theory and Practice E-BOOK</t>
  </si>
  <si>
    <t>Heselwood, Barry</t>
  </si>
  <si>
    <t>LAN011000 LANGUAGE ARTS &amp; DISCIPLINES / Linguistics / Phonetics &amp; Phonology</t>
  </si>
  <si>
    <t>978-1-4744-7046-9</t>
  </si>
  <si>
    <t>Eastern Influences on Western Philosophy</t>
  </si>
  <si>
    <t>Eastern Influences on Western Philosophy E-BOOK</t>
  </si>
  <si>
    <t>978-1-4744-6574-8</t>
  </si>
  <si>
    <t>An Introduction to Wittgenstein's Philosophy of Religion</t>
  </si>
  <si>
    <t>An Introduction to Wittgenstein's Philosophy of Relig E-BOOK</t>
  </si>
  <si>
    <t>Clack, Brian</t>
  </si>
  <si>
    <t>978-1-4744-0982-7</t>
  </si>
  <si>
    <t>The Evolution of Scotland’s Towns</t>
  </si>
  <si>
    <t>Creation, Growth and Fragmentation</t>
  </si>
  <si>
    <t>The Evolution of Scotland’s Towns E-BOOK</t>
  </si>
  <si>
    <t>Dennison, Patricia</t>
  </si>
  <si>
    <t>978-0-7486-4219-9</t>
  </si>
  <si>
    <t>Living Islamic History</t>
  </si>
  <si>
    <t>Studies in Honour of Professor Carole Hillenbrand</t>
  </si>
  <si>
    <t>Living Islamic History E-BOOK</t>
  </si>
  <si>
    <t>978-1-4744-6860-2</t>
  </si>
  <si>
    <t>Scottish Country Houses, 1600-1914</t>
  </si>
  <si>
    <t>Scottish Country Houses, 1600-1914 E-BOOK</t>
  </si>
  <si>
    <t>Gow, Ian / Rowan, Alistair</t>
  </si>
  <si>
    <t>978-1-4744-6757-5</t>
  </si>
  <si>
    <t>World Englishes at the Grassroots</t>
  </si>
  <si>
    <t>World Englishes at the Grassroots E-BOOK</t>
  </si>
  <si>
    <t>Meierkord, Christiane / Schneider, Edgar W.</t>
  </si>
  <si>
    <t>978-0-7486-3559-7</t>
  </si>
  <si>
    <t>Arabic Today</t>
  </si>
  <si>
    <t>A Student, Business and Professional Course in Spoken and Written Arabic</t>
  </si>
  <si>
    <t>Arabic Today E-BOOK</t>
  </si>
  <si>
    <t>978-1-4744-6539-7</t>
  </si>
  <si>
    <t>Philosophies of Art and Beauty</t>
  </si>
  <si>
    <t>Introducing Aesthetics</t>
  </si>
  <si>
    <t>Philosophies of Art and Beauty E-BOOK</t>
  </si>
  <si>
    <t>Bredin, Hugh / Santoro-Brienza, Liberato</t>
  </si>
  <si>
    <t>978-0-7486-7266-0</t>
  </si>
  <si>
    <t>A History of Scottish Women's Writing</t>
  </si>
  <si>
    <t>A History of Scottish Women's Writing E-BOOK</t>
  </si>
  <si>
    <t>Gifford, Douglas / McMillan, Dorothy</t>
  </si>
  <si>
    <t>978-0-7486-3710-2</t>
  </si>
  <si>
    <t>The Edinburgh Companion to the Gaelic Language</t>
  </si>
  <si>
    <t>The Edinburgh Companion to the Gaelic Language E-BOOK</t>
  </si>
  <si>
    <t>Watson, Moray / Macleod, Michelle</t>
  </si>
  <si>
    <t>978-1-4744-1819-5</t>
  </si>
  <si>
    <t>Time and Tide</t>
  </si>
  <si>
    <t>The Feminist and Cultural Politics of a Modern Magazine</t>
  </si>
  <si>
    <t>Time and Tide E-BOOK</t>
  </si>
  <si>
    <t>Clay, Catherine</t>
  </si>
  <si>
    <t>978-0-7486-4641-8</t>
  </si>
  <si>
    <t>Afromodernisms</t>
  </si>
  <si>
    <t>Paris, Harlem and the Avant-Garde</t>
  </si>
  <si>
    <t>Afromodernisms E-BOOK</t>
  </si>
  <si>
    <t>Sweeney, Fionnghuala / Marsh, Kate</t>
  </si>
  <si>
    <t>978-0-7486-7534-0</t>
  </si>
  <si>
    <t>What is Education?</t>
  </si>
  <si>
    <t>What is Education? E-BOOK</t>
  </si>
  <si>
    <t>Bartlett, A. J. / Clemens, Justin</t>
  </si>
  <si>
    <t>EDU040000 EDUCATION / Philosophy, Theory &amp; Social Aspects</t>
  </si>
  <si>
    <t>978-1-4744-6997-5</t>
  </si>
  <si>
    <t>Rome in Late Antiquity</t>
  </si>
  <si>
    <t>Everyday Life and Urban Change, AD 312-609</t>
  </si>
  <si>
    <t>Rome in Late Antiquity E-BOOK</t>
  </si>
  <si>
    <t>Lançon, Bertrand</t>
  </si>
  <si>
    <t>978-1-4744-5413-1</t>
  </si>
  <si>
    <t>Reading the Road, from Shakespeare’s Crossways to Bunyan’s Highways</t>
  </si>
  <si>
    <t>Reading the Road, from Shakespeare’s Crossways to Bun E-BOOK</t>
  </si>
  <si>
    <t>Hopkins, Lisa / Angus, Bill</t>
  </si>
  <si>
    <t>978-0-7486-4165-9</t>
  </si>
  <si>
    <t>Contemporary Political Movements and the Thought of Jacques Rancière</t>
  </si>
  <si>
    <t>Equality in Action</t>
  </si>
  <si>
    <t>Contemporary Political Movements and the Thought of J E-BOOK</t>
  </si>
  <si>
    <t>978-1-4744-0565-2</t>
  </si>
  <si>
    <t>Female Stars of British Cinema</t>
  </si>
  <si>
    <t>The Women in Question</t>
  </si>
  <si>
    <t>Female Stars of British Cinema E-BOOK</t>
  </si>
  <si>
    <t>978-1-4744-6929-6</t>
  </si>
  <si>
    <t>On Determinism and Freedom</t>
  </si>
  <si>
    <t>On Determinism and Freedom E-BOOK</t>
  </si>
  <si>
    <t>978-1-4744-4734-8</t>
  </si>
  <si>
    <t>The Life and Work of W. Montgomery Watt</t>
  </si>
  <si>
    <t>The Life and Work of W. Montgomery Watt E-BOOK</t>
  </si>
  <si>
    <t>BIO018000 BIOGRAPHY &amp; AUTOBIOGRAPHY / Religious</t>
  </si>
  <si>
    <t>978-0-7486-9680-2</t>
  </si>
  <si>
    <t>Delivering Energy Law and Policy in the EU and the US</t>
  </si>
  <si>
    <t>Delivering Energy Law and Policy in the EU and the US E-BOOK</t>
  </si>
  <si>
    <t>Heffron, Raphael J. / Little, Gavin F. M.</t>
  </si>
  <si>
    <t>Colorado State University 2023 EBA Selections | Colorado State University EBA Selections 2023 | Edinburgh University Press Complete eBook-Package 2016 | Pick and Choose Law eBook Package BU 2022 | Pick and Choose eBook Package Cornell Eng Law 2000-2021 | U Chicago P&amp;C UPL Single Titles 2024 | UCB LAW SCHOOL Pick &amp; Choose 2022 | WUSTL 2022 Part 2 Law P&amp;C eBook Package | Yale P&amp;C Law Package 2023</t>
  </si>
  <si>
    <t>978-0-7486-4665-4</t>
  </si>
  <si>
    <t>Zizek and Communist Strategy</t>
  </si>
  <si>
    <t>On the Disavowed Foundations of Global Capitalism</t>
  </si>
  <si>
    <t>Zizek and Communist Strategy E-BOOK</t>
  </si>
  <si>
    <t>McMillan, Chris</t>
  </si>
  <si>
    <t>978-0-7486-8532-5</t>
  </si>
  <si>
    <t>Tactile Poetics</t>
  </si>
  <si>
    <t>Touch and Contemporary Writing</t>
  </si>
  <si>
    <t>Tactile Poetics E-BOOK</t>
  </si>
  <si>
    <t>Jackson, Sarah</t>
  </si>
  <si>
    <t>978-0-585-08672-9</t>
  </si>
  <si>
    <t>Understanding Human Goods</t>
  </si>
  <si>
    <t>A Theory of Ethics</t>
  </si>
  <si>
    <t>Understanding Human Goods E-BOOK</t>
  </si>
  <si>
    <t>978-0-7486-4529-9</t>
  </si>
  <si>
    <t>The Arabic Language</t>
  </si>
  <si>
    <t>The Arabic Language E-BOOK</t>
  </si>
  <si>
    <t>Versteegh, Kees</t>
  </si>
  <si>
    <t>978-0-7486-7799-3</t>
  </si>
  <si>
    <t>Language Acquisition and Change</t>
  </si>
  <si>
    <t>A Morphosyntactic Perspective</t>
  </si>
  <si>
    <t>Language Acquisition and Change E-BOOK</t>
  </si>
  <si>
    <t>Rinke, Esther / Meisel, Jurgen / Elsig, Martin</t>
  </si>
  <si>
    <t>978-1-4744-1920-8</t>
  </si>
  <si>
    <t>Visceral Screens</t>
  </si>
  <si>
    <t>Mediation and Matter in Horror Cinema</t>
  </si>
  <si>
    <t>Visceral Screens E-BOOK</t>
  </si>
  <si>
    <t>Cameron, Allan</t>
  </si>
  <si>
    <t>978-0-7486-3776-8</t>
  </si>
  <si>
    <t>Philosophy and Love</t>
  </si>
  <si>
    <t>From Plato to Popular Culture</t>
  </si>
  <si>
    <t>Philosophy and Love E-BOOK</t>
  </si>
  <si>
    <t>Secomb, Linnell</t>
  </si>
  <si>
    <t>978-1-4744-2256-7</t>
  </si>
  <si>
    <t>Digital Resistance in the Middle East</t>
  </si>
  <si>
    <t>New Media Activism in Everyday Life</t>
  </si>
  <si>
    <t>Digital Resistance in the Middle East E-BOOK</t>
  </si>
  <si>
    <t>Wheeler, Deborah L.</t>
  </si>
  <si>
    <t>978-1-4744-7846-5</t>
  </si>
  <si>
    <t>Positive Atheism</t>
  </si>
  <si>
    <t>Bayle, Meslier, d’Holbach, Diderot</t>
  </si>
  <si>
    <t>Positive Atheism E-BOOK</t>
  </si>
  <si>
    <t>Devellennes, Charles</t>
  </si>
  <si>
    <t>978-0-7486-9081-7</t>
  </si>
  <si>
    <t>The Emergence of Irish Gothic Fiction</t>
  </si>
  <si>
    <t>History, Origins, Theories</t>
  </si>
  <si>
    <t>The Emergence of Irish Gothic Fiction E-BOOK</t>
  </si>
  <si>
    <t>Killeen, Jarlath</t>
  </si>
  <si>
    <t>978-1-4744-6906-7</t>
  </si>
  <si>
    <t>A Brief History of Citizenship</t>
  </si>
  <si>
    <t>A Brief History of Citizenship E-BOOK</t>
  </si>
  <si>
    <t>Heater, Derek</t>
  </si>
  <si>
    <t>978-1-4744-1193-6</t>
  </si>
  <si>
    <t>A Foucauldian Interpretation of Modern Law</t>
  </si>
  <si>
    <t>From Sovereignty to Normalisation and Beyond</t>
  </si>
  <si>
    <t>A Foucauldian Interpretation of Modern Law E-BOOK</t>
  </si>
  <si>
    <t>Martire, Jacopo</t>
  </si>
  <si>
    <t>Edinburgh University Press Complete eBook-Package 2017 | Pick and Choose Law eBook Package BU 2022 | Pick and Choose eBook Package Cornell Eng Law 2000-2021 | Stanford 2023 Law Package P&amp;C | UCB LAW SCHOOL Pick &amp; Choose 2022 | WUSTL 2022 Part 2 Law P&amp;C eBook Package | Yale P&amp;C Law Package 2023</t>
  </si>
  <si>
    <t>978-0-7486-7895-2</t>
  </si>
  <si>
    <t>Psychoanalysis is an Antiphilosophy</t>
  </si>
  <si>
    <t>Psychoanalysis is an Antiphilosophy E-BOOK</t>
  </si>
  <si>
    <t>Clemens, Justin</t>
  </si>
  <si>
    <t>978-1-4744-2992-4</t>
  </si>
  <si>
    <t>Modernism, Music and the Politics of Aesthetics</t>
  </si>
  <si>
    <t>Modernism, Music and the Politics of Aesthetics E-BOOK</t>
  </si>
  <si>
    <t>Moss, Gemma</t>
  </si>
  <si>
    <t>978-1-4744-6971-5</t>
  </si>
  <si>
    <t>Poetics of Imagining</t>
  </si>
  <si>
    <t>Modern to Postmodern</t>
  </si>
  <si>
    <t>Poetics of Imagining E-BOOK</t>
  </si>
  <si>
    <t>Kearney, Richard</t>
  </si>
  <si>
    <t>978-0-7486-9824-0</t>
  </si>
  <si>
    <t>The Rise and Fall of the UK Film Council</t>
  </si>
  <si>
    <t>The Rise and Fall of the UK Film Council E-BOOK</t>
  </si>
  <si>
    <t>Schlesinger, Philip / Doyle, Gillian / Boyle, Raymond</t>
  </si>
  <si>
    <t>978-1-4744-6900-5</t>
  </si>
  <si>
    <t>A Companion to Environmental Thought</t>
  </si>
  <si>
    <t>A Companion to Environmental Thought E-BOOK</t>
  </si>
  <si>
    <t>Hay, Peter</t>
  </si>
  <si>
    <t>978-0-7486-7237-0</t>
  </si>
  <si>
    <t>Islamic Banking and Financial Crisis</t>
  </si>
  <si>
    <t>Reputation, Stability and Risks</t>
  </si>
  <si>
    <t>Islamic Banking and Financial Crisis E-BOOK</t>
  </si>
  <si>
    <t>Wilson, Rodney / Ahmed, Habib / Asutay, Mehmet</t>
  </si>
  <si>
    <t>978-1-4744-0909-4</t>
  </si>
  <si>
    <t>Contact</t>
  </si>
  <si>
    <t>The Interaction of Closely Related Linguistic Varieties and the History of English</t>
  </si>
  <si>
    <t>Contact E-BOOK</t>
  </si>
  <si>
    <t>Millar, Robert McColl</t>
  </si>
  <si>
    <t>978-1-4744-7136-7</t>
  </si>
  <si>
    <t>Truth Matters</t>
  </si>
  <si>
    <t>Realism, Anti-Realism and Response-Dependence</t>
  </si>
  <si>
    <t>Truth Matters E-BOOK</t>
  </si>
  <si>
    <t>978-1-4744-7207-4</t>
  </si>
  <si>
    <t>Poetry And Contemporary Culture</t>
  </si>
  <si>
    <t>The Question of Value</t>
  </si>
  <si>
    <t>Poetry And Contemporary Culture E-BOOK</t>
  </si>
  <si>
    <t>Roberts, A.M. / Allison, Jonathan</t>
  </si>
  <si>
    <t>978-1-4744-4602-0</t>
  </si>
  <si>
    <t>Morphological Perspectives</t>
  </si>
  <si>
    <t>Papers in Honour of Greville G. Corbett</t>
  </si>
  <si>
    <t>Morphological Perspectives E-BOOK</t>
  </si>
  <si>
    <t>Hippisley, Andrew / Baerman, Matthew / Bond, Oliver</t>
  </si>
  <si>
    <t>Morphology</t>
  </si>
  <si>
    <t>LAN009020 LANGUAGE ARTS &amp; DISCIPLINES / Linguistics / Morphology</t>
  </si>
  <si>
    <t>978-0-7486-2886-5</t>
  </si>
  <si>
    <t>The Ethics of Writing</t>
  </si>
  <si>
    <t>Authorship and Legacy in Plato and Nietzsche</t>
  </si>
  <si>
    <t>The Ethics of Writing E-BOOK</t>
  </si>
  <si>
    <t>978-1-4744-7266-1</t>
  </si>
  <si>
    <t>Philosophy and Literature</t>
  </si>
  <si>
    <t>Philosophy and Literature E-BOOK</t>
  </si>
  <si>
    <t>Skilleas, Ole Martin</t>
  </si>
  <si>
    <t>978-0-7486-3103-2</t>
  </si>
  <si>
    <t>Derrida</t>
  </si>
  <si>
    <t>Negotiating the Legacy</t>
  </si>
  <si>
    <t>Derrida E-BOOK</t>
  </si>
  <si>
    <t>Suetsugu, Marie</t>
  </si>
  <si>
    <t>978-1-4744-9685-8</t>
  </si>
  <si>
    <t>Nazi Wireless Propaganda</t>
  </si>
  <si>
    <t>Lord Haw-Haw and British Public Opinion in the Second World War</t>
  </si>
  <si>
    <t>Nazi Wireless Propaganda E-BOOK</t>
  </si>
  <si>
    <t>Doherty, Martin A.</t>
  </si>
  <si>
    <t>978-1-4744-9710-7</t>
  </si>
  <si>
    <t>The History of Gothic Fiction</t>
  </si>
  <si>
    <t>The History of Gothic Fiction E-BOOK</t>
  </si>
  <si>
    <t>Ellis, Markman</t>
  </si>
  <si>
    <t>978-0-585-15470-1</t>
  </si>
  <si>
    <t>Michel Foucault</t>
  </si>
  <si>
    <t>Michel Foucault E-BOOK</t>
  </si>
  <si>
    <t>Barker, Philip</t>
  </si>
  <si>
    <t>978-1-4744-7301-9</t>
  </si>
  <si>
    <t>The Hand</t>
  </si>
  <si>
    <t>A Philosophical Inquiry into Human Being</t>
  </si>
  <si>
    <t>The Hand E-BOOK</t>
  </si>
  <si>
    <t>Tallis, Raymond</t>
  </si>
  <si>
    <t>978-1-4744-8580-7</t>
  </si>
  <si>
    <t>Biopolitics After Truth</t>
  </si>
  <si>
    <t>Knowledge, Power and Democratic Life</t>
  </si>
  <si>
    <t>Biopolitics After Truth E-BOOK</t>
  </si>
  <si>
    <t>978-1-4744-7248-7</t>
  </si>
  <si>
    <t>American Science Fiction and the Cold War</t>
  </si>
  <si>
    <t>Literature and Film</t>
  </si>
  <si>
    <t>American Science Fiction and the Cold War E-BOOK</t>
  </si>
  <si>
    <t>Seed, David</t>
  </si>
  <si>
    <t>978-1-4744-0432-7</t>
  </si>
  <si>
    <t>Revisiting Star Studies</t>
  </si>
  <si>
    <t>Cultures, Themes and Methods</t>
  </si>
  <si>
    <t>Revisiting Star Studies E-BOOK</t>
  </si>
  <si>
    <t>Qiong Yu, Sabrina / Austin, Guy</t>
  </si>
  <si>
    <t>978-0-7486-4320-2</t>
  </si>
  <si>
    <t>Islamic Conversion and Christian Resistance on the Early Modern Stage</t>
  </si>
  <si>
    <t>Islamic Conversion and Christian Resistance on the Ea E-BOOK</t>
  </si>
  <si>
    <t>Degenhardt, Jane Hwang</t>
  </si>
  <si>
    <t>978-0-7486-9461-7</t>
  </si>
  <si>
    <t>Cinema of the Dark Side</t>
  </si>
  <si>
    <t>Atrocity and the Ethics of Film Spectatorship</t>
  </si>
  <si>
    <t>Cinema of the Dark Side E-BOOK</t>
  </si>
  <si>
    <t>Chaudhuri, Shohini</t>
  </si>
  <si>
    <t>978-0-7486-9286-6</t>
  </si>
  <si>
    <t>The Native Woodlands of Scotland</t>
  </si>
  <si>
    <t>Ecology, Conservation and Management</t>
  </si>
  <si>
    <t>The Native Woodlands of Scotland E-BOOK</t>
  </si>
  <si>
    <t>Wilson, Scott</t>
  </si>
  <si>
    <t>978-1-4744-7039-1</t>
  </si>
  <si>
    <t>Columba's Island</t>
  </si>
  <si>
    <t>Iona from Past to Present</t>
  </si>
  <si>
    <t>Columba's Island E-BOOK</t>
  </si>
  <si>
    <t>978-0-7486-3195-7</t>
  </si>
  <si>
    <t>Deleuze's Philosophical Lineage</t>
  </si>
  <si>
    <t>Deleuze's Philosophical Lineage E-BOOK</t>
  </si>
  <si>
    <t>Jones, Graham / Roffe, Jon</t>
  </si>
  <si>
    <t>978-0-7486-9105-0</t>
  </si>
  <si>
    <t>The Making of the Tunisian Revolution</t>
  </si>
  <si>
    <t>Contexts, Architects, Prospects</t>
  </si>
  <si>
    <t>The Making of the Tunisian Revolution E-BOOK</t>
  </si>
  <si>
    <t>978-0-7486-4705-7</t>
  </si>
  <si>
    <t>The Judicial Imagination</t>
  </si>
  <si>
    <t>Writing After Nuremberg</t>
  </si>
  <si>
    <t>The Judicial Imagination E-BOOK</t>
  </si>
  <si>
    <t>Stonebridge, Lyndsey</t>
  </si>
  <si>
    <t>978-0-7486-7334-6</t>
  </si>
  <si>
    <t>European Film Theory and Cinema</t>
  </si>
  <si>
    <t>European Film Theory and Cinema E-BOOK</t>
  </si>
  <si>
    <t>978-0-7486-5421-5</t>
  </si>
  <si>
    <t>The Written Word in the Medieval Arabic Lands</t>
  </si>
  <si>
    <t>A Social and Cultural History of Reading Practices</t>
  </si>
  <si>
    <t>The Written Word in the Medieval Arabic Lands E-BOOK</t>
  </si>
  <si>
    <t>Hirschler, Konrad</t>
  </si>
  <si>
    <t>978-1-4744-7312-5</t>
  </si>
  <si>
    <t>Language Contact</t>
  </si>
  <si>
    <t>Language Contact E-BOOK</t>
  </si>
  <si>
    <t>Thomason, Sarah G.</t>
  </si>
  <si>
    <t>978-1-4744-6822-0</t>
  </si>
  <si>
    <t>Richard the Lionheart</t>
  </si>
  <si>
    <t>Richard the Lionheart E-BOOK</t>
  </si>
  <si>
    <t>Flori, Jean / Editions Payot</t>
  </si>
  <si>
    <t>978-1-4744-1927-7</t>
  </si>
  <si>
    <t>Islamists and the Politics of the Arab Uprisings</t>
  </si>
  <si>
    <t>Governance, Pluralisation and Contention</t>
  </si>
  <si>
    <t>Islamists and the Politics of the Arab Uprisings E-BOOK</t>
  </si>
  <si>
    <t>Kraetzschmar, Hendrik / Rivetti, Paola</t>
  </si>
  <si>
    <t>POL009000 POLITICAL SCIENCE / Comparative Politics</t>
  </si>
  <si>
    <t>978-1-4744-6845-9</t>
  </si>
  <si>
    <t>Lochiel of the '45</t>
  </si>
  <si>
    <t>The Jacobite Chief and the Prince</t>
  </si>
  <si>
    <t>Lochiel of the '45 E-BOOK</t>
  </si>
  <si>
    <t>Gibson, John S</t>
  </si>
  <si>
    <t>978-0-7486-3313-5</t>
  </si>
  <si>
    <t>Cinematic Journeys</t>
  </si>
  <si>
    <t>Film and Movement</t>
  </si>
  <si>
    <t>Cinematic Journeys E-BOOK</t>
  </si>
  <si>
    <t>Eleftheriotis, Dimitris</t>
  </si>
  <si>
    <t>978-1-4744-3943-5</t>
  </si>
  <si>
    <t>Byron and Marginality</t>
  </si>
  <si>
    <t>Byron and Marginality E-BOOK</t>
  </si>
  <si>
    <t>Lennartz, Norbert</t>
  </si>
  <si>
    <t>978-1-4744-4920-5</t>
  </si>
  <si>
    <t>Deleuze's Philosophical Lineage II</t>
  </si>
  <si>
    <t>Deleuze's Philosophical Lineage II E-BOOK</t>
  </si>
  <si>
    <t>978-0-7486-2654-0</t>
  </si>
  <si>
    <t>Linguistic Awareness in Multilinguals</t>
  </si>
  <si>
    <t>English as a Third Language</t>
  </si>
  <si>
    <t>Linguistic Awareness in Multilinguals E-BOOK</t>
  </si>
  <si>
    <t>Jessner, Ulrike</t>
  </si>
  <si>
    <t>978-1-4744-6422-2</t>
  </si>
  <si>
    <t>The Kingdom of the Scots</t>
  </si>
  <si>
    <t>Government, church and society from the eleventh to the fourteenth century</t>
  </si>
  <si>
    <t>The Kingdom of the Scots E-BOOK</t>
  </si>
  <si>
    <t>Barrow, G W S</t>
  </si>
  <si>
    <t>978-0-7486-3672-3</t>
  </si>
  <si>
    <t>The Politics of Military Occupation</t>
  </si>
  <si>
    <t>The Politics of Military Occupation E-BOOK</t>
  </si>
  <si>
    <t>978-1-4744-2721-0</t>
  </si>
  <si>
    <t>The Celts</t>
  </si>
  <si>
    <t>A History From Earliest Times to the Present</t>
  </si>
  <si>
    <t>The Celts E-BOOK</t>
  </si>
  <si>
    <t>Maier, Bernhard / Windle, Kevin</t>
  </si>
  <si>
    <t>978-1-4744-6830-5</t>
  </si>
  <si>
    <t>Angela Carter</t>
  </si>
  <si>
    <t>Writing from the Front Line</t>
  </si>
  <si>
    <t>Angela Carter E-BOOK</t>
  </si>
  <si>
    <t>Gamble, Sarah</t>
  </si>
  <si>
    <t>978-0-7486-5647-9</t>
  </si>
  <si>
    <t>From Empire to the World</t>
  </si>
  <si>
    <t>Migrant London and Paris in the Cinema</t>
  </si>
  <si>
    <t>From Empire to the World E-BOOK</t>
  </si>
  <si>
    <t>Guha, Malini</t>
  </si>
  <si>
    <t>978-1-4744-6851-0</t>
  </si>
  <si>
    <t>Clone City</t>
  </si>
  <si>
    <t>Crisis and Renewal in Contemporary Scottish Architecture</t>
  </si>
  <si>
    <t>Clone City E-BOOK</t>
  </si>
  <si>
    <t>Page, David / Glendinning, Miles</t>
  </si>
  <si>
    <t>978-0-7486-4222-9</t>
  </si>
  <si>
    <t>Zizek and Politics</t>
  </si>
  <si>
    <t>Zizek and Politics E-BOOK</t>
  </si>
  <si>
    <t>Sharpe, Matthew / Boucher, Geoff M.</t>
  </si>
  <si>
    <t>978-1-4744-4872-7</t>
  </si>
  <si>
    <t>Shakespeare's Body Parts</t>
  </si>
  <si>
    <t>Figuring Sovereignty in the History Plays</t>
  </si>
  <si>
    <t>Shakespeare's Body Parts E-BOOK</t>
  </si>
  <si>
    <t>Griffiths, Huw</t>
  </si>
  <si>
    <t>978-1-4744-7262-3</t>
  </si>
  <si>
    <t>Contemporary Critical Theorists</t>
  </si>
  <si>
    <t>From Lacan to Said</t>
  </si>
  <si>
    <t>Contemporary Critical Theorists E-BOOK</t>
  </si>
  <si>
    <t>978-1-4744-2357-1</t>
  </si>
  <si>
    <t>Global Statesman</t>
  </si>
  <si>
    <t>How Gordon Brown Took New Labour to the World</t>
  </si>
  <si>
    <t>Global Statesman E-BOOK</t>
  </si>
  <si>
    <t>Webber, David M.</t>
  </si>
  <si>
    <t>978-1-4744-4799-7</t>
  </si>
  <si>
    <t>Reading Victorian Literature</t>
  </si>
  <si>
    <t>Essays in Honour of J. Hillis Miller</t>
  </si>
  <si>
    <t>Reading Victorian Literature E-BOOK</t>
  </si>
  <si>
    <t>Szuba, Monika / Wolfreys, Julian</t>
  </si>
  <si>
    <t xml:space="preserve">LIT024040 LITERARY CRITICISM / Modern / 19th Century </t>
  </si>
  <si>
    <t>978-0-7486-7698-9</t>
  </si>
  <si>
    <t>An Alternative Internet</t>
  </si>
  <si>
    <t>Radical Media, Politics and Creativity</t>
  </si>
  <si>
    <t>An Alternative Internet E-BOOK</t>
  </si>
  <si>
    <t>Atton, Chris</t>
  </si>
  <si>
    <t>Networking</t>
  </si>
  <si>
    <t>COM060000 COMPUTERS / Internet / General</t>
  </si>
  <si>
    <t>EBA_BACKALL; EBA_CL_CHCOMSGSEN; EBA_EBACKALL; EBA_EBKALL; EBA_ECL_CHCOMSGSEN; EBA_EEBKALL; EBA_ESTMALL; EBA_EXCL; EBA_PPALL; EBA_STMALL</t>
  </si>
  <si>
    <t>978-0-7486-2672-4</t>
  </si>
  <si>
    <t>Citizenship in Britain</t>
  </si>
  <si>
    <t>A History</t>
  </si>
  <si>
    <t>Citizenship in Britain E-BOOK</t>
  </si>
  <si>
    <t>978-0-7486-4749-1</t>
  </si>
  <si>
    <t>Samuel Beckett</t>
  </si>
  <si>
    <t>Laughing Matters, Comic Timing</t>
  </si>
  <si>
    <t>Samuel Beckett E-BOOK</t>
  </si>
  <si>
    <t>Salisbury, Laura</t>
  </si>
  <si>
    <t>978-1-4744-0710-6</t>
  </si>
  <si>
    <t>Multiculturalism and Interculturalism</t>
  </si>
  <si>
    <t>Debating the Dividing Lines</t>
  </si>
  <si>
    <t>Multiculturalism and Interculturalism E-BOOK</t>
  </si>
  <si>
    <t>Zapata-Barrero, Ricard / Meer, Nasar / Modood, Tariq</t>
  </si>
  <si>
    <t>978-0-7486-2951-0</t>
  </si>
  <si>
    <t>Global Environmental History</t>
  </si>
  <si>
    <t>10,000 BC to AD 2000</t>
  </si>
  <si>
    <t>Global Environmental History E-BOOK</t>
  </si>
  <si>
    <t>978-1-4744-6580-9</t>
  </si>
  <si>
    <t>Camp</t>
  </si>
  <si>
    <t>Queer Aesthetics and the Performing Subject: A Reader</t>
  </si>
  <si>
    <t>Camp E-BOOK</t>
  </si>
  <si>
    <t>Cleto, Fabio</t>
  </si>
  <si>
    <t>Sociology of Gender and the Body</t>
  </si>
  <si>
    <t>SOC032000 SOCIAL SCIENCE / Gender Studies</t>
  </si>
  <si>
    <t>Edinburgh University Press Archive eBook-Package Pre-2000 | U Chicago P&amp;C UPL Single Titles 2024</t>
  </si>
  <si>
    <t>978-0-7486-2935-0</t>
  </si>
  <si>
    <t>Nationalism and Ethnosymbolism</t>
  </si>
  <si>
    <t>History, Culture and Ethnicity in the Formation of Nations</t>
  </si>
  <si>
    <t>Nationalism and Ethnosymbolism E-BOOK</t>
  </si>
  <si>
    <t>Leoussi, Athena / Grosby, Steven</t>
  </si>
  <si>
    <t>978-0-7486-9796-0</t>
  </si>
  <si>
    <t>The Cinema of Theo Angelopoulos</t>
  </si>
  <si>
    <t>The Cinema of Theo Angelopoulos E-BOOK</t>
  </si>
  <si>
    <t>Koutsourakis, Angelos / Steven, Mark</t>
  </si>
  <si>
    <t>978-0-7486-9203-3</t>
  </si>
  <si>
    <t>The Besieged Ego</t>
  </si>
  <si>
    <t>Doppelgangers and Split Identity Onscreen</t>
  </si>
  <si>
    <t>The Besieged Ego E-BOOK</t>
  </si>
  <si>
    <t>Ruddell, Caroline</t>
  </si>
  <si>
    <t>978-1-4744-0889-9</t>
  </si>
  <si>
    <t>Muslim Cosmopolitanism</t>
  </si>
  <si>
    <t>Southeast Asian Islam in Comparative Perspective</t>
  </si>
  <si>
    <t>Muslim Cosmopolitanism E-BOOK</t>
  </si>
  <si>
    <t>Aljunied, Khairudin</t>
  </si>
  <si>
    <t>978-1-4744-7405-4</t>
  </si>
  <si>
    <t>Experimental and Independent Italian Cinema</t>
  </si>
  <si>
    <t>Legacies and Transformations into the Twenty-First Century</t>
  </si>
  <si>
    <t>Experimental and Independent Italian Cinema E-BOOK</t>
  </si>
  <si>
    <t>Cristiano, Anthony / Coen, Carlo</t>
  </si>
  <si>
    <t>978-0-7486-2639-7</t>
  </si>
  <si>
    <t>Gender in Scottish History Since 1700</t>
  </si>
  <si>
    <t>Gender in Scottish History Since 1700 E-BOOK</t>
  </si>
  <si>
    <t>Yeo, Eileen</t>
  </si>
  <si>
    <t>978-1-4744-2794-4</t>
  </si>
  <si>
    <t>The Contemporary Western</t>
  </si>
  <si>
    <t>An American Genre Post-9/11</t>
  </si>
  <si>
    <t>The Contemporary Western E-BOOK</t>
  </si>
  <si>
    <t>White, John</t>
  </si>
  <si>
    <t>HIS036070 HISTORY / United States / 21st Century</t>
  </si>
  <si>
    <t>978-1-4744-2996-2</t>
  </si>
  <si>
    <t>Framing Empire</t>
  </si>
  <si>
    <t>Postcolonial Adaptations of Victorian Literature in Hollywood</t>
  </si>
  <si>
    <t>Framing Empire E-BOOK</t>
  </si>
  <si>
    <t>Hollyfield, Jerod Ra’Del</t>
  </si>
  <si>
    <t>978-0-7486-9945-2</t>
  </si>
  <si>
    <t>Breach of the Peace</t>
  </si>
  <si>
    <t>Breach of the Peace E-BOOK</t>
  </si>
  <si>
    <t>Ferguson, Pamela R.</t>
  </si>
  <si>
    <t>978-0-7486-9913-1</t>
  </si>
  <si>
    <t>Women and the Gothic</t>
  </si>
  <si>
    <t>An Edinburgh Companion</t>
  </si>
  <si>
    <t>Women and the Gothic E-BOOK</t>
  </si>
  <si>
    <t xml:space="preserve">Zlosnik, Sue / Horner, Avril </t>
  </si>
  <si>
    <t>Edinburgh Companions to the Gothic</t>
  </si>
  <si>
    <t>978-1-4744-6890-9</t>
  </si>
  <si>
    <t>The Linguistics of History</t>
  </si>
  <si>
    <t>The Linguistics of History E-BOOK</t>
  </si>
  <si>
    <t>978-0-7486-5087-3</t>
  </si>
  <si>
    <t>Imagining the Cape Colony</t>
  </si>
  <si>
    <t>History, Literature, and the South African Nation</t>
  </si>
  <si>
    <t>Imagining the Cape Colony E-BOOK</t>
  </si>
  <si>
    <t>978-0-7486-7547-0</t>
  </si>
  <si>
    <t>Travellers' Tales of Wonder</t>
  </si>
  <si>
    <t>Chatwin, Naipaul, Sebald</t>
  </si>
  <si>
    <t>Travellers' Tales of Wonder E-BOOK</t>
  </si>
  <si>
    <t>Cooke, Simon</t>
  </si>
  <si>
    <t>978-1-4744-5110-9</t>
  </si>
  <si>
    <t>Nasty Business</t>
  </si>
  <si>
    <t>The Marketing and Distribution of the Video Nasties</t>
  </si>
  <si>
    <t>Nasty Business E-BOOK</t>
  </si>
  <si>
    <t>McKenna, Mark</t>
  </si>
  <si>
    <t>978-0-7486-4493-3</t>
  </si>
  <si>
    <t>Internet Arabic</t>
  </si>
  <si>
    <t>Internet Arabic E-BOOK</t>
  </si>
  <si>
    <t>Diouri, Mourad</t>
  </si>
  <si>
    <t>Essential Middle Eastern Vocabularies</t>
  </si>
  <si>
    <t>978-0-7486-4757-6</t>
  </si>
  <si>
    <t>The Seljuqs</t>
  </si>
  <si>
    <t>Politics, Society and Culture</t>
  </si>
  <si>
    <t>The Seljuqs E-BOOK</t>
  </si>
  <si>
    <t>Lange, Christian / Mecit, Songül</t>
  </si>
  <si>
    <t>978-0-7486-2938-1</t>
  </si>
  <si>
    <t>Kant's Aesthetic Epistemology</t>
  </si>
  <si>
    <t>Form and World</t>
  </si>
  <si>
    <t>Kant's Aesthetic Epistemology E-BOOK</t>
  </si>
  <si>
    <t>Hughes, Fiona</t>
  </si>
  <si>
    <t>978-1-4744-7590-7</t>
  </si>
  <si>
    <t>Post-Horror</t>
  </si>
  <si>
    <t>Art, Genre and Cultural Elevation</t>
  </si>
  <si>
    <t>Post-Horror E-BOOK</t>
  </si>
  <si>
    <t>978-1-4744-7070-4</t>
  </si>
  <si>
    <t>On Black Men</t>
  </si>
  <si>
    <t>On Black Men E-BOOK</t>
  </si>
  <si>
    <t>Marriott, David</t>
  </si>
  <si>
    <t>978-1-4744-0830-1</t>
  </si>
  <si>
    <t>Lacan and Deleuze</t>
  </si>
  <si>
    <t>A Disjunctive Synthesis</t>
  </si>
  <si>
    <t>Lacan and Deleuze E-BOOK</t>
  </si>
  <si>
    <t>Nedoh, Boštjan / Zevnik, Andreja</t>
  </si>
  <si>
    <t>978-0-7486-7054-3</t>
  </si>
  <si>
    <t>Muriel Rukeyser and Documentary</t>
  </si>
  <si>
    <t>The Poetics of Connection</t>
  </si>
  <si>
    <t>Muriel Rukeyser and Documentary E-BOOK</t>
  </si>
  <si>
    <t>Gander, Catherine</t>
  </si>
  <si>
    <t>978-0-7486-2964-0</t>
  </si>
  <si>
    <t>New Cultural Studies</t>
  </si>
  <si>
    <t>Adventures in Theory</t>
  </si>
  <si>
    <t>New Cultural Studies E-BOOK</t>
  </si>
  <si>
    <t>Hall, Gary / Birchall, Clare</t>
  </si>
  <si>
    <t>978-1-4744-2294-9</t>
  </si>
  <si>
    <t>Interpassivity</t>
  </si>
  <si>
    <t>The Aesthetics of Delegated Enjoyment</t>
  </si>
  <si>
    <t>Interpassivity E-BOOK</t>
  </si>
  <si>
    <t>Pfaller, Robert</t>
  </si>
  <si>
    <t>Incitements</t>
  </si>
  <si>
    <t>ART050000 ART / Subjects &amp; Themes / General</t>
  </si>
  <si>
    <t>978-0-7486-2878-0</t>
  </si>
  <si>
    <t>Deleuze and Horror Film</t>
  </si>
  <si>
    <t>Deleuze and Horror Film E-BOOK</t>
  </si>
  <si>
    <t>978-1-4744-2942-9</t>
  </si>
  <si>
    <t>Who's in the Money?</t>
  </si>
  <si>
    <t>The Great Depression Musicals and Hollywood’s New Deal</t>
  </si>
  <si>
    <t>Who's in the Money? E-BOOK</t>
  </si>
  <si>
    <t>Cohen, Harvey G.</t>
  </si>
  <si>
    <t>Traditions in American Cinema</t>
  </si>
  <si>
    <t>978-1-4744-7112-1</t>
  </si>
  <si>
    <t>William Pitt and the French Revolution, 1785-1795</t>
  </si>
  <si>
    <t>William Pitt and the French Revolution, 1785-1795 E-BOOK</t>
  </si>
  <si>
    <t>Mori, Jennifer</t>
  </si>
  <si>
    <t>978-1-4744-6982-1</t>
  </si>
  <si>
    <t>Encyclopedias about Muslim Civilisations</t>
  </si>
  <si>
    <t>Encyclopedias about Muslim Civilisations E-BOOK</t>
  </si>
  <si>
    <t>Khanbaghi, Aptin</t>
  </si>
  <si>
    <t>Muslim Civilisations Abstracts</t>
  </si>
  <si>
    <t>Library and Information Science, other</t>
  </si>
  <si>
    <t>REF010000 REFERENCE / Encyclopedias</t>
  </si>
  <si>
    <t>978-0-7486-2917-6</t>
  </si>
  <si>
    <t>Cinema and Sensation</t>
  </si>
  <si>
    <t>French Film and the Art of Transgression</t>
  </si>
  <si>
    <t>Cinema and Sensation E-BOOK</t>
  </si>
  <si>
    <t>Beugnet, Martine</t>
  </si>
  <si>
    <t>978-1-4744-6596-0</t>
  </si>
  <si>
    <t>The Lyotard Reader and Guide</t>
  </si>
  <si>
    <t>The Lyotard Reader and Guide E-BOOK</t>
  </si>
  <si>
    <t>Crome, Keith / Williams, James</t>
  </si>
  <si>
    <t>978-0-7486-6957-8</t>
  </si>
  <si>
    <t>In Search of the Way</t>
  </si>
  <si>
    <t>Legal Philosophy of the Classic Chinese Thinkers</t>
  </si>
  <si>
    <t>In Search of the Way E-BOOK</t>
  </si>
  <si>
    <t>Chang, Wejen</t>
  </si>
  <si>
    <t>978-0-7486-3685-3</t>
  </si>
  <si>
    <t>Renaissance Literatures and Postcolonial Studies</t>
  </si>
  <si>
    <t>Renaissance Literatures and Postcolonial Studies E-BOOK</t>
  </si>
  <si>
    <t>Raman, Shankar</t>
  </si>
  <si>
    <t>Postcolonial Literary Studies</t>
  </si>
  <si>
    <t>978-1-4744-6827-5</t>
  </si>
  <si>
    <t>The Foundation of Rome</t>
  </si>
  <si>
    <t>The Foundation of Rome E-BOOK</t>
  </si>
  <si>
    <t>Fraschetti, Augusto</t>
  </si>
  <si>
    <t>978-1-4744-0243-9</t>
  </si>
  <si>
    <t>Illness as Many Narratives</t>
  </si>
  <si>
    <t>Arts, Medicine and Culture</t>
  </si>
  <si>
    <t>Illness as Many Narratives E-BOOK</t>
  </si>
  <si>
    <t>Bolaki, Stella</t>
  </si>
  <si>
    <t>978-0-7486-9245-3</t>
  </si>
  <si>
    <t>US Independent Film After 1989</t>
  </si>
  <si>
    <t>Possible Films</t>
  </si>
  <si>
    <t>US Independent Film After 1989 E-BOOK</t>
  </si>
  <si>
    <t>Perkins, Claire / Verevis, Constantine</t>
  </si>
  <si>
    <t>978-1-4744-1316-9</t>
  </si>
  <si>
    <t>Shakespeare and Judgment</t>
  </si>
  <si>
    <t>Shakespeare and Judgment E-BOOK</t>
  </si>
  <si>
    <t>978-1-4744-1713-6</t>
  </si>
  <si>
    <t>Islamisation</t>
  </si>
  <si>
    <t>Comparative Perspectives from History</t>
  </si>
  <si>
    <t>Islamisation E-BOOK</t>
  </si>
  <si>
    <t>Peacock, A. C. S.</t>
  </si>
  <si>
    <t>978-1-4744-4534-4</t>
  </si>
  <si>
    <t>Evil in the Western Philosophical Tradition</t>
  </si>
  <si>
    <t>Evil in the Western Philosophical Tradition E-BOOK</t>
  </si>
  <si>
    <t>978-1-4744-9048-1</t>
  </si>
  <si>
    <t>A Philosophy of Practising</t>
  </si>
  <si>
    <t>A Philosophy of Practising E-BOOK</t>
  </si>
  <si>
    <t>Pont, Antonia</t>
  </si>
  <si>
    <t>ART060000 ART / Performance</t>
  </si>
  <si>
    <t>978-0-7486-4323-3</t>
  </si>
  <si>
    <t>Bollywood in the Age of New Media</t>
  </si>
  <si>
    <t>The Geo-televisual Aesthetic</t>
  </si>
  <si>
    <t>Bollywood in the Age of New Media E-BOOK</t>
  </si>
  <si>
    <t>Basu, Anustup</t>
  </si>
  <si>
    <t>978-1-4744-0883-7</t>
  </si>
  <si>
    <t>Cicero's Law</t>
  </si>
  <si>
    <t>Rethinking Roman Law of the Late Republic</t>
  </si>
  <si>
    <t>Cicero's Law E-BOOK</t>
  </si>
  <si>
    <t>978-1-4744-5020-1</t>
  </si>
  <si>
    <t>Roman Law for Scots Law Students</t>
  </si>
  <si>
    <t>Roman Law for Scots Law Students E-BOOK</t>
  </si>
  <si>
    <t>Anderson, Craig</t>
  </si>
  <si>
    <t>LAW000000 LAW / General</t>
  </si>
  <si>
    <t>978-1-4744-7140-4</t>
  </si>
  <si>
    <t>German Idealism</t>
  </si>
  <si>
    <t>German Idealism E-BOOK</t>
  </si>
  <si>
    <t>O'Connor, Brian / Mohr, Georg</t>
  </si>
  <si>
    <t>978-0-7486-4021-8</t>
  </si>
  <si>
    <t>Border Politics</t>
  </si>
  <si>
    <t>The Limits of Sovereign Power</t>
  </si>
  <si>
    <t>Border Politics E-BOOK</t>
  </si>
  <si>
    <t>Vaughan-Williams, Nick</t>
  </si>
  <si>
    <t>978-1-4744-0220-0</t>
  </si>
  <si>
    <t>Jean Rhys</t>
  </si>
  <si>
    <t>Jean Rhys E-BOOK</t>
  </si>
  <si>
    <t>Johnson, Erica / Moran, Patricia</t>
  </si>
  <si>
    <t>978-1-4744-6330-0</t>
  </si>
  <si>
    <t>Samuel Beckett and Technology</t>
  </si>
  <si>
    <t>Samuel Beckett and Technology E-BOOK</t>
  </si>
  <si>
    <t>Kiryushina, Galina / Adar, Einat  / Nixon, Mark</t>
  </si>
  <si>
    <t>978-0-7486-4481-0</t>
  </si>
  <si>
    <t>Spinoza Beyond Philosophy</t>
  </si>
  <si>
    <t>Spinoza Beyond Philosophy E-BOOK</t>
  </si>
  <si>
    <t>978-1-4744-5560-2</t>
  </si>
  <si>
    <t>Teaching Social Justice Through Shakespeare</t>
  </si>
  <si>
    <t>Why Renaissance Literature Matters Now</t>
  </si>
  <si>
    <t>Teaching Social Justice Through Shakespeare E-BOOK</t>
  </si>
  <si>
    <t>Eklund, Hillary / Hyman, Wendy Beth</t>
  </si>
  <si>
    <t>978-0-585-15912-6</t>
  </si>
  <si>
    <t>Landmarks in English Literature</t>
  </si>
  <si>
    <t>Landmarks in English Literature E-BOOK</t>
  </si>
  <si>
    <t>978-1-4744-2619-0</t>
  </si>
  <si>
    <t>Vagabond Fictions</t>
  </si>
  <si>
    <t>Gender and Experiment in British Women’s Writing, 1945-1970</t>
  </si>
  <si>
    <t>Vagabond Fictions E-BOOK</t>
  </si>
  <si>
    <t>Sweeney, Carole</t>
  </si>
  <si>
    <t>978-1-4744-3612-0</t>
  </si>
  <si>
    <t>The Two cines con niño</t>
  </si>
  <si>
    <t>Genre and the Child Protagonist in Over Fifty Years of Spanish Film (1955-2010)</t>
  </si>
  <si>
    <t>The Two cines con niño E-BOOK</t>
  </si>
  <si>
    <t>Hogan, Erin K.</t>
  </si>
  <si>
    <t>978-0-7486-4508-4</t>
  </si>
  <si>
    <t>Difference and Disability in the Medieval Islamic World</t>
  </si>
  <si>
    <t>Blighted Bodies</t>
  </si>
  <si>
    <t>Difference and Disability in the Medieval Islamic Wor E-BOOK</t>
  </si>
  <si>
    <t>Richardson, Kristina</t>
  </si>
  <si>
    <t>978-1-4744-4856-7</t>
  </si>
  <si>
    <t>A Sociolinguistic History of Scotland</t>
  </si>
  <si>
    <t>A Sociolinguistic History of Scotland E-BOOK</t>
  </si>
  <si>
    <t>978-1-4744-8133-5</t>
  </si>
  <si>
    <t>The Collected Works of Kenneth White, Volume 2</t>
  </si>
  <si>
    <t>Mappings: Landscape, Mindscape, Wordscape</t>
  </si>
  <si>
    <t>The Collected Works of Kenneth White, Volume 2 E-BOOK</t>
  </si>
  <si>
    <t>978-1-4744-3570-3</t>
  </si>
  <si>
    <t>Face-to-Face in Shakespearean Drama</t>
  </si>
  <si>
    <t>Ethics, Performance, Philosophy</t>
  </si>
  <si>
    <t>Face-to-Face in Shakespearean Drama E-BOOK</t>
  </si>
  <si>
    <t xml:space="preserve">James Smith, Matthew / Reinhard Lupton, Julia </t>
  </si>
  <si>
    <t>978-1-4744-7147-3</t>
  </si>
  <si>
    <t>Post-war Cinema and Modernity</t>
  </si>
  <si>
    <t>A Film Reader</t>
  </si>
  <si>
    <t>Post-war Cinema and Modernity E-BOOK</t>
  </si>
  <si>
    <t>978-0-7486-7916-4</t>
  </si>
  <si>
    <t>The Edinburgh History of Education in Scotland</t>
  </si>
  <si>
    <t>The Edinburgh History of Education in Scotland E-BOOK</t>
  </si>
  <si>
    <t>Freeman, Mark / Anderson, Robert / Paterson, Lindsay</t>
  </si>
  <si>
    <t>978-1-4744-6706-3</t>
  </si>
  <si>
    <t>Specters of World Literature</t>
  </si>
  <si>
    <t>Orientalism, Modernity, and the Novel in the Middle East</t>
  </si>
  <si>
    <t>Specters of World Literature E-BOOK</t>
  </si>
  <si>
    <t>Mattar, Karim</t>
  </si>
  <si>
    <t>978-1-4744-2575-9</t>
  </si>
  <si>
    <t>Screening Divinity</t>
  </si>
  <si>
    <t>Screening Divinity E-BOOK</t>
  </si>
  <si>
    <t>Maurice, Lisa</t>
  </si>
  <si>
    <t>Screening Antiquity</t>
  </si>
  <si>
    <t>978-0-7486-3122-3</t>
  </si>
  <si>
    <t>The Cultural Work of Empire</t>
  </si>
  <si>
    <t>The Seven Years' War and the Imagining of the Shandean State</t>
  </si>
  <si>
    <t>The Cultural Work of Empire E-BOOK</t>
  </si>
  <si>
    <t>Watts, Carol</t>
  </si>
  <si>
    <t>978-1-4744-4312-8</t>
  </si>
  <si>
    <t>Language Revitalisation in Gaelic Scotland</t>
  </si>
  <si>
    <t>Linguistic Practice and Ideology</t>
  </si>
  <si>
    <t>Language Revitalisation in Gaelic Scotland E-BOOK</t>
  </si>
  <si>
    <t>Dunmore, Stuart S.</t>
  </si>
  <si>
    <t>EDU005000 EDUCATION / Bilingual Education</t>
  </si>
  <si>
    <t>978-1-4744-4868-0</t>
  </si>
  <si>
    <t>The Conversational Enlightenment</t>
  </si>
  <si>
    <t>The Reconception of Rhetoric in Eighteenth-Century Thought</t>
  </si>
  <si>
    <t>The Conversational Enlightenment E-BOOK</t>
  </si>
  <si>
    <t>HIS037020 HISTORY / Renaissance</t>
  </si>
  <si>
    <t>978-1-4744-6268-6</t>
  </si>
  <si>
    <t>Brigid Brophy</t>
  </si>
  <si>
    <t>Avant-Garde Writer, Critic, Activist</t>
  </si>
  <si>
    <t>Brigid Brophy E-BOOK</t>
  </si>
  <si>
    <t>Canning, Richard / Kimber, Gerri</t>
  </si>
  <si>
    <t>LCO016000 LITERARY COLLECTIONS / LGBT</t>
  </si>
  <si>
    <t>978-0-7486-8569-1</t>
  </si>
  <si>
    <t>Wyndham Lewis</t>
  </si>
  <si>
    <t>Wyndham Lewis E-BOOK</t>
  </si>
  <si>
    <t>Gąsiorek, Andrzej / Waddell, Nathan</t>
  </si>
  <si>
    <t>978-0-7486-4216-8</t>
  </si>
  <si>
    <t>Land, Law and People in Medieval Scotland</t>
  </si>
  <si>
    <t>Land, Law and People in Medieval Scotland E-BOOK</t>
  </si>
  <si>
    <t>978-0-7486-4093-5</t>
  </si>
  <si>
    <t>George Mackay Brown and the Philosophy of Community</t>
  </si>
  <si>
    <t>George Mackay Brown and the Philosophy of Community E-BOOK</t>
  </si>
  <si>
    <t>Baker, Timothy</t>
  </si>
  <si>
    <t>978-0-7486-3179-7</t>
  </si>
  <si>
    <t>Masculinity and Popular Television</t>
  </si>
  <si>
    <t>Masculinity and Popular Television E-BOOK</t>
  </si>
  <si>
    <t>Feasey, Rebecca</t>
  </si>
  <si>
    <t>978-1-4744-5342-4</t>
  </si>
  <si>
    <t>Process Philosophy and Political Liberalism</t>
  </si>
  <si>
    <t>Rawls, Whitehead, Hartshorne</t>
  </si>
  <si>
    <t>Process Philosophy and Political Liberalism E-BOOK</t>
  </si>
  <si>
    <t>Dombrowski, Daniel A.</t>
  </si>
  <si>
    <t>Zoology</t>
  </si>
  <si>
    <t>NAT039000 NATURE / Animal Rights</t>
  </si>
  <si>
    <t>978-0-585-06080-4</t>
  </si>
  <si>
    <t>The Plato Reader</t>
  </si>
  <si>
    <t>The Plato Reader E-BOOK</t>
  </si>
  <si>
    <t xml:space="preserve">Chappell, Christian Sophia Grace </t>
  </si>
  <si>
    <t>978-1-4744-6592-2</t>
  </si>
  <si>
    <t>The Political Mapping of Cyberspace</t>
  </si>
  <si>
    <t>The Political Mapping of Cyberspace E-BOOK</t>
  </si>
  <si>
    <t>Crampton, Jeremy</t>
  </si>
  <si>
    <t>978-1-4744-7305-7</t>
  </si>
  <si>
    <t>Hedonistic Utilitarianism</t>
  </si>
  <si>
    <t>Hedonistic Utilitarianism E-BOOK</t>
  </si>
  <si>
    <t>978-1-4744-3594-9</t>
  </si>
  <si>
    <t>Shakespeare in the North</t>
  </si>
  <si>
    <t>Place, Politics and Performance in England and Scotland</t>
  </si>
  <si>
    <t>Shakespeare in the North E-BOOK</t>
  </si>
  <si>
    <t>Hansen, Adam</t>
  </si>
  <si>
    <t>978-0-7486-4090-4</t>
  </si>
  <si>
    <t>Darwin's Bards</t>
  </si>
  <si>
    <t>British and American Poetry in the Age of Evolution</t>
  </si>
  <si>
    <t>Darwin's Bards E-BOOK</t>
  </si>
  <si>
    <t>Holmes, John</t>
  </si>
  <si>
    <t>978-1-4744-6995-1</t>
  </si>
  <si>
    <t>The Modern Theories</t>
  </si>
  <si>
    <t>Kunin, Seth</t>
  </si>
  <si>
    <t>978-1-4744-1822-5</t>
  </si>
  <si>
    <t>Antonia White and Manic-Depressive Illness</t>
  </si>
  <si>
    <t>Antonia White and Manic-Depressive Illness E-BOOK</t>
  </si>
  <si>
    <t>Moran, Patricia</t>
  </si>
  <si>
    <t>978-1-4744-7193-0</t>
  </si>
  <si>
    <t>Ever to Excel</t>
  </si>
  <si>
    <t>An Illustrated History of the University of St Andrews</t>
  </si>
  <si>
    <t>Ever to Excel E-BOOK</t>
  </si>
  <si>
    <t>Reid, Norman</t>
  </si>
  <si>
    <t>978-0-7486-8142-6</t>
  </si>
  <si>
    <t>The Modern Scottish Diaspora</t>
  </si>
  <si>
    <t>Contemporary Debates and Perspectives</t>
  </si>
  <si>
    <t>The Modern Scottish Diaspora E-BOOK</t>
  </si>
  <si>
    <t>Leith, Murray Stewart / Sim, Duncan</t>
  </si>
  <si>
    <t>978-1-4744-7298-2</t>
  </si>
  <si>
    <t>The Dangerous Trade</t>
  </si>
  <si>
    <t>Spies, Spymasters and the Making of Europe</t>
  </si>
  <si>
    <t>The Dangerous Trade E-BOOK</t>
  </si>
  <si>
    <t>Szechi, Daniel</t>
  </si>
  <si>
    <t>978-1-4744-7293-7</t>
  </si>
  <si>
    <t>The Arabic Language and National Identity</t>
  </si>
  <si>
    <t>A Study in Ideology</t>
  </si>
  <si>
    <t>The Arabic Language and National Identity E-BOOK</t>
  </si>
  <si>
    <t>978-1-4744-7037-7</t>
  </si>
  <si>
    <t>Scottish Government and Politics</t>
  </si>
  <si>
    <t>Scottish Government and Politics E-BOOK</t>
  </si>
  <si>
    <t>Lynch, Peter</t>
  </si>
  <si>
    <t>978-1-4744-6855-8</t>
  </si>
  <si>
    <t>The Beckett Critical Reader</t>
  </si>
  <si>
    <t>Archives, Theories and Translations</t>
  </si>
  <si>
    <t>The Beckett Critical Reader E-BOOK</t>
  </si>
  <si>
    <t>978-1-4744-3293-1</t>
  </si>
  <si>
    <t>Intelligence and Metadrama in the Early Modern Theatre</t>
  </si>
  <si>
    <t>Intelligence and Metadrama in the Early Modern Theatr E-BOOK</t>
  </si>
  <si>
    <t>978-1-4744-3071-5</t>
  </si>
  <si>
    <t>Marquis de Sade and Continental Philosophy</t>
  </si>
  <si>
    <t>Marquis de Sade and Continental Philosophy E-BOOK</t>
  </si>
  <si>
    <t>Lauwaert, Lode</t>
  </si>
  <si>
    <t>978-0-7486-9215-6</t>
  </si>
  <si>
    <t>The Decadent Short Story</t>
  </si>
  <si>
    <t>An Annotated Anthology</t>
  </si>
  <si>
    <t>The Decadent Short Story E-BOOK</t>
  </si>
  <si>
    <t>Boyiopoulos, Kostas / Choi, Yoonjoung / Brinton Tildesley, Matthew</t>
  </si>
  <si>
    <t>978-0-7486-8032-0</t>
  </si>
  <si>
    <t>Arabic in the Fray</t>
  </si>
  <si>
    <t>Language Ideology and Cultural Politics</t>
  </si>
  <si>
    <t>Arabic in the Fray E-BOOK</t>
  </si>
  <si>
    <t>978-1-4744-6945-6</t>
  </si>
  <si>
    <t>Mothers and Daughters in the Twentieth Century</t>
  </si>
  <si>
    <t>A Literary Anthology</t>
  </si>
  <si>
    <t>Mothers and Daughters in the Twentieth Century E-BOOK</t>
  </si>
  <si>
    <t>Ingman, Heather</t>
  </si>
  <si>
    <t>978-0-7486-4503-9</t>
  </si>
  <si>
    <t>The Man of Wiles in Popular Arabic Literature</t>
  </si>
  <si>
    <t>A Study of a Medieval Arab Hero</t>
  </si>
  <si>
    <t>The Man of Wiles in Popular Arabic Literature E-BOOK</t>
  </si>
  <si>
    <t>Lyons, M. C.</t>
  </si>
  <si>
    <t>978-1-4744-2783-8</t>
  </si>
  <si>
    <t>Spectacular Science, Technology and Superstition in the Age of Shakespeare</t>
  </si>
  <si>
    <t>Spectacular Science, Technology and Superstition in t E-BOOK</t>
  </si>
  <si>
    <t>Chiari, Sophie / Popelard, Mickaël</t>
  </si>
  <si>
    <t>978-0-7486-3767-6</t>
  </si>
  <si>
    <t>The Carbon Footprint Wars</t>
  </si>
  <si>
    <t>What Might Happen If We Retreat From Globalization?</t>
  </si>
  <si>
    <t>The Carbon Footprint Wars E-BOOK</t>
  </si>
  <si>
    <t>978-1-4744-3019-7</t>
  </si>
  <si>
    <t>Twenty-First-Century Children’s Gothic</t>
  </si>
  <si>
    <t>From the Wanderer to Nomadic Subject</t>
  </si>
  <si>
    <t>Twenty-First-Century Children’s Gothic E-BOOK</t>
  </si>
  <si>
    <t>Germaine Buckley, Chloé</t>
  </si>
  <si>
    <t>978-0-7486-3528-3</t>
  </si>
  <si>
    <t>The Literary Cold War, 1945 to Vietnam</t>
  </si>
  <si>
    <t>The Literary Cold War, 1945 to Vietnam E-BOOK</t>
  </si>
  <si>
    <t>Piette, Adam</t>
  </si>
  <si>
    <t>978-0-7486-3758-4</t>
  </si>
  <si>
    <t>Intermittency</t>
  </si>
  <si>
    <t>The Concept of Historical Reason in Recent French Philosophy</t>
  </si>
  <si>
    <t>Intermittency E-BOOK</t>
  </si>
  <si>
    <t>Gibson, Andrew</t>
  </si>
  <si>
    <t>978-1-4744-6847-3</t>
  </si>
  <si>
    <t>The World, the Flesh and the Subject</t>
  </si>
  <si>
    <t>Continental Themes in Philosophy of Mind and Body</t>
  </si>
  <si>
    <t>The World, the Flesh and the Subject E-BOOK</t>
  </si>
  <si>
    <t>Gilbert, Paul / Lennon, Kathleen</t>
  </si>
  <si>
    <t>PHI015000 PHILOSOPHY / Mind &amp; Body</t>
  </si>
  <si>
    <t>978-0-7486-9991-9</t>
  </si>
  <si>
    <t>Abbas Kiarostami and Film-Philosophy</t>
  </si>
  <si>
    <t>Abbas Kiarostami and Film-Philosophy E-BOOK</t>
  </si>
  <si>
    <t>Abbott, Mathew</t>
  </si>
  <si>
    <t>978-1-4744-6888-6</t>
  </si>
  <si>
    <t>The Making and Unmaking of the Nation c.1100-1707: Volume 3 Readings, c1100-1500</t>
  </si>
  <si>
    <t>MacDonald, Alan / Harris, Bob</t>
  </si>
  <si>
    <t>978-1-4744-6810-7</t>
  </si>
  <si>
    <t>The Edinburgh Companion to Contemporary Liberalism</t>
  </si>
  <si>
    <t>The Edinburgh Companion to Contemporary Liberalism E-BOOK</t>
  </si>
  <si>
    <t>Evans, Mark</t>
  </si>
  <si>
    <t>978-1-4744-4181-0</t>
  </si>
  <si>
    <t>Modern Hadith Studies</t>
  </si>
  <si>
    <t>Continuing Debates and New Approaches</t>
  </si>
  <si>
    <t>Modern Hadith Studies E-BOOK</t>
  </si>
  <si>
    <t>Dann, Michael / Abu-Alabbas, Belal / Melchert, Christopher</t>
  </si>
  <si>
    <t>978-1-4744-3246-7</t>
  </si>
  <si>
    <t>The Contemporary Poetry Archive</t>
  </si>
  <si>
    <t>Essays and Interventions</t>
  </si>
  <si>
    <t>The Contemporary Poetry Archive E-BOOK</t>
  </si>
  <si>
    <t>Warner, Ahren / Anderson, Linda / Byers, Mark</t>
  </si>
  <si>
    <t>978-0-7486-9852-3</t>
  </si>
  <si>
    <t>How Much For A Leg?</t>
  </si>
  <si>
    <t>Assessing the Process of Assessment of Non-Pecuniary Personal Injury Damages in Scotland</t>
  </si>
  <si>
    <t>How Much For A Leg? E-BOOK</t>
  </si>
  <si>
    <t>Stewart, William J.</t>
  </si>
  <si>
    <t>LAW097000 LAW / Personal Injury</t>
  </si>
  <si>
    <t>Edinburgh University Press Backlist eBook-Package 2013-2000 | Pick and Choose Law eBook Package BU 2022 | Pick and Choose eBook Package Cornell Eng Law 2000-2021 | Pick and Choose eBook package UC Irvine Law 2022 | UCB LAW SCHOOL Pick &amp; Choose 2022 | WUSTL 2022 Part 2 Law P&amp;C eBook Package | Yale P&amp;C Law Package 2023</t>
  </si>
  <si>
    <t>978-1-4744-2388-5</t>
  </si>
  <si>
    <t>Anxious Men</t>
  </si>
  <si>
    <t>Masculinity in American Fiction of the Mid-Twentieth Century</t>
  </si>
  <si>
    <t>Anxious Men E-BOOK</t>
  </si>
  <si>
    <t>Baldwin, Clive</t>
  </si>
  <si>
    <t>978-1-4744-7278-4</t>
  </si>
  <si>
    <t>Women, Political Philosophy and Politics</t>
  </si>
  <si>
    <t>Women, Political Philosophy and Politics E-BOOK</t>
  </si>
  <si>
    <t>Sperling, Liz</t>
  </si>
  <si>
    <t>978-1-4744-2472-1</t>
  </si>
  <si>
    <t>Meat Markets</t>
  </si>
  <si>
    <t>The Cultural History of Bloody London</t>
  </si>
  <si>
    <t>Meat Markets E-BOOK</t>
  </si>
  <si>
    <t>Geier, Ted</t>
  </si>
  <si>
    <t>978-0-7486-3653-2</t>
  </si>
  <si>
    <t>A Guide to Speech Production and Perception</t>
  </si>
  <si>
    <t>A Guide to Speech Production and Perception E-BOOK</t>
  </si>
  <si>
    <t>Tatham, Mark / Morton, Katherine</t>
  </si>
  <si>
    <t>978-1-4744-5528-2</t>
  </si>
  <si>
    <t>The Architecture of Scotland, 1660-1750</t>
  </si>
  <si>
    <t>The Architecture of Scotland, 1660-1750 E-BOOK</t>
  </si>
  <si>
    <t>MacKechnie, Aonghus / Humm, Louisa / Lowrey, John</t>
  </si>
  <si>
    <t>978-1-4744-6792-6</t>
  </si>
  <si>
    <t>Sexual Politics</t>
  </si>
  <si>
    <t>Sexual Politics E-BOOK</t>
  </si>
  <si>
    <t>Dunphy, Richard</t>
  </si>
  <si>
    <t>978-1-4744-2743-2</t>
  </si>
  <si>
    <t>Modernism, Fashion and Interwar Women Writers</t>
  </si>
  <si>
    <t>Modernism, Fashion and Interwar Women Writers E-BOOK</t>
  </si>
  <si>
    <t>Plock, Vike Martina</t>
  </si>
  <si>
    <t>978-1-4744-7055-1</t>
  </si>
  <si>
    <t>Legal Systems of Scottish Churches</t>
  </si>
  <si>
    <t>Legal Systems of Scottish Churches E-BOOK</t>
  </si>
  <si>
    <t>MacLean, Marjory</t>
  </si>
  <si>
    <t>Edinburgh University Press Backlist eBook-Package 2013-2000 | Pick and Choose Law eBook Package BU 2022 | Pick and Choose Law eBook WUSTL 2022 Part 1 | Pick and Choose eBook Package Cornell Eng Law 2000-2021 | Stanford 2023 Law Package P&amp;C | UCB LAW SCHOOL Pick &amp; Choose 2022 | Yale P&amp;C Law Package 2023</t>
  </si>
  <si>
    <t>978-1-4744-4730-0</t>
  </si>
  <si>
    <t>Thinking with Deleuze</t>
  </si>
  <si>
    <t>Thinking with Deleuze E-BOOK</t>
  </si>
  <si>
    <t>Bogue, Ronald</t>
  </si>
  <si>
    <t>978-0-7486-3307-4</t>
  </si>
  <si>
    <t>Modern Nostalgia</t>
  </si>
  <si>
    <t>Siegfried Sassoon, Trauma and the Second World War</t>
  </si>
  <si>
    <t>Modern Nostalgia E-BOOK</t>
  </si>
  <si>
    <t>Hemmings, Robert</t>
  </si>
  <si>
    <t>978-0-7486-4755-2</t>
  </si>
  <si>
    <t>The Emergence of Minorities in the Middle East</t>
  </si>
  <si>
    <t>The Politics of Community in French Mandate Syria</t>
  </si>
  <si>
    <t>The Emergence of Minorities in the Middle East E-BOOK</t>
  </si>
  <si>
    <t>White, Benjamin Thomas</t>
  </si>
  <si>
    <t>978-1-4744-7071-1</t>
  </si>
  <si>
    <t>An Introduction to Medieval Philosophy</t>
  </si>
  <si>
    <t>An Introduction to Medieval Philosophy E-BOOK</t>
  </si>
  <si>
    <t>978-1-4744-3308-2</t>
  </si>
  <si>
    <t>Indian Documentary Film and Filmmakers</t>
  </si>
  <si>
    <t>Independence in Practice</t>
  </si>
  <si>
    <t>Indian Documentary Film and Filmmakers E-BOOK</t>
  </si>
  <si>
    <t>Kishore, Shweta</t>
  </si>
  <si>
    <t>978-1-4744-1345-9</t>
  </si>
  <si>
    <t>Swedish Military Intelligence</t>
  </si>
  <si>
    <t>Producing Knowledge</t>
  </si>
  <si>
    <t>Swedish Military Intelligence E-BOOK</t>
  </si>
  <si>
    <t>Eriksson, Gunilla</t>
  </si>
  <si>
    <t>978-1-4744-1895-9</t>
  </si>
  <si>
    <t>Acinemas</t>
  </si>
  <si>
    <t>Lyotard's Philosophy of Film</t>
  </si>
  <si>
    <t>Acinemas E-BOOK</t>
  </si>
  <si>
    <t>Jones, Graham / Woodward, Ashley</t>
  </si>
  <si>
    <t>978-0-7486-3573-3</t>
  </si>
  <si>
    <t>The Bazaar and Other Stories</t>
  </si>
  <si>
    <t>The Bazaar and Other Stories E-BOOK</t>
  </si>
  <si>
    <t>Prose</t>
  </si>
  <si>
    <t>978-0-7486-5618-9</t>
  </si>
  <si>
    <t>Poetic Language</t>
  </si>
  <si>
    <t>Theory and Practice from the Renaissance to the Present</t>
  </si>
  <si>
    <t>Poetic Language E-BOOK</t>
  </si>
  <si>
    <t>Jones, Tom</t>
  </si>
  <si>
    <t>978-1-4744-2825-5</t>
  </si>
  <si>
    <t>Multicultural Governance in a Mobile World</t>
  </si>
  <si>
    <t>Multicultural Governance in a Mobile World E-BOOK</t>
  </si>
  <si>
    <t>Triandafyllidou, Anna</t>
  </si>
  <si>
    <t>978-1-4744-2922-1</t>
  </si>
  <si>
    <t>101 Problems and Solutions in Historical Linguistics</t>
  </si>
  <si>
    <t>A Workbook</t>
  </si>
  <si>
    <t>101 Problems and Solutions in Historical Linguistics E-BOOK</t>
  </si>
  <si>
    <t>Blust, Robert</t>
  </si>
  <si>
    <t>978-0-7486-9682-6</t>
  </si>
  <si>
    <t>What is Veiling?</t>
  </si>
  <si>
    <t>What is Veiling? E-BOOK</t>
  </si>
  <si>
    <t>Amer, Sahar</t>
  </si>
  <si>
    <t>Colorado State University 2023 EBA Selections | Colorado State University EBA Selections 2023 | Edinburgh University Press Complete eBook-Package 2014-2015</t>
  </si>
  <si>
    <t>978-1-4744-8220-2</t>
  </si>
  <si>
    <t>The Production of Meaning in Islamic Architecture and Ornament</t>
  </si>
  <si>
    <t>The Production of Meaning in Islamic Architecture and E-BOOK</t>
  </si>
  <si>
    <t>Tabbaa, Yasser</t>
  </si>
  <si>
    <t>Collected Papers in Islamic Art</t>
  </si>
  <si>
    <t>ARC002000 ARCHITECTURE / Decoration &amp; Ornament</t>
  </si>
  <si>
    <t>978-0-7486-7772-6</t>
  </si>
  <si>
    <t>Agamben and the Politics of Human Rights</t>
  </si>
  <si>
    <t>Statelessness, Images, Violence</t>
  </si>
  <si>
    <t>Agamben and the Politics of Human Rights E-BOOK</t>
  </si>
  <si>
    <t>Lechte, John / Newman, Saul</t>
  </si>
  <si>
    <t>978-1-4744-6048-4</t>
  </si>
  <si>
    <t>Beckett Beyond the Normal</t>
  </si>
  <si>
    <t>Beckett Beyond the Normal E-BOOK</t>
  </si>
  <si>
    <t>Kennedy, Seán</t>
  </si>
  <si>
    <t>978-1-4744-5506-0</t>
  </si>
  <si>
    <t>Readies for Bob Brown's Machine</t>
  </si>
  <si>
    <t>A Critical Facsimile Edition</t>
  </si>
  <si>
    <t>Readies for Bob Brown's Machine E-BOOK</t>
  </si>
  <si>
    <t>White, Eric / Brown, Bob / Saper, Craig J.</t>
  </si>
  <si>
    <t>978-1-4744-5078-2</t>
  </si>
  <si>
    <t>Felix Guattari's Schizoanalytic Ecology</t>
  </si>
  <si>
    <t>Felix Guattari's Schizoanalytic Ecology E-BOOK</t>
  </si>
  <si>
    <t>978-1-4744-6806-0</t>
  </si>
  <si>
    <t>Barbarossa</t>
  </si>
  <si>
    <t>The Axis and the Allies</t>
  </si>
  <si>
    <t>Barbarossa E-BOOK</t>
  </si>
  <si>
    <t>Erickson, John / Dilks, David</t>
  </si>
  <si>
    <t>978-1-4744-6182-5</t>
  </si>
  <si>
    <t>Fashion on the Red Carpet</t>
  </si>
  <si>
    <t>A History of the Oscars®, Fashion and Globalisation</t>
  </si>
  <si>
    <t>Fashion on the Red Carpet E-BOOK</t>
  </si>
  <si>
    <t>Lundén, Elizabeth Castaldo</t>
  </si>
  <si>
    <t>Film and Fashions</t>
  </si>
  <si>
    <t xml:space="preserve">Product Design, Interiors, Materials </t>
  </si>
  <si>
    <t>DES005000 DESIGN / Fashion &amp; Accessories</t>
  </si>
  <si>
    <t>978-0-7486-3116-2</t>
  </si>
  <si>
    <t>Changing Identities, Ancient Roots</t>
  </si>
  <si>
    <t>The History of West Dunbartonshire from Earliest Times</t>
  </si>
  <si>
    <t>Changing Identities, Ancient Roots E-BOOK</t>
  </si>
  <si>
    <t>Brown, Ian</t>
  </si>
  <si>
    <t>978-1-4744-4121-6</t>
  </si>
  <si>
    <t>Illicit and Unnatural Practices</t>
  </si>
  <si>
    <t>The Law, Sex and Society in Scotland since 1900</t>
  </si>
  <si>
    <t>Illicit and Unnatural Practices E-BOOK</t>
  </si>
  <si>
    <t>Davidson, Roger</t>
  </si>
  <si>
    <t>978-0-7486-8088-7</t>
  </si>
  <si>
    <t>Just War Theory</t>
  </si>
  <si>
    <t>A Reappraisal</t>
  </si>
  <si>
    <t>Just War Theory E-BOOK</t>
  </si>
  <si>
    <t>978-1-4744-0048-0</t>
  </si>
  <si>
    <t>Spanish Erotic Cinema</t>
  </si>
  <si>
    <t>Spanish Erotic Cinema E-BOOK</t>
  </si>
  <si>
    <t>Fouz-Hernandez, Santiago</t>
  </si>
  <si>
    <t>978-0-7486-4668-5</t>
  </si>
  <si>
    <t>The Truth About William Shakespeare</t>
  </si>
  <si>
    <t>Fact, Fiction and Modern Biographies</t>
  </si>
  <si>
    <t>The Truth About William Shakespeare E-BOOK</t>
  </si>
  <si>
    <t>978-0-585-07018-6</t>
  </si>
  <si>
    <t>Terms of Endearment</t>
  </si>
  <si>
    <t>Hollywood Romantic Comedy of the 1980s and 1990s</t>
  </si>
  <si>
    <t>Terms of Endearment E-BOOK</t>
  </si>
  <si>
    <t>Evans, Peter William / Deleyto, Celestino</t>
  </si>
  <si>
    <t>978-0-7486-8379-6</t>
  </si>
  <si>
    <t>Legally Married</t>
  </si>
  <si>
    <t>Love and Law in the UK and the US</t>
  </si>
  <si>
    <t>Legally Married E-BOOK</t>
  </si>
  <si>
    <t>Peterson, Scot / McLean, Iain</t>
  </si>
  <si>
    <t>Edinburgh University Press Backlist eBook-Package 2013-2000 | Pick and Choose Law eBook Package BU 2022 | Pick and Choose Law eBook WUSTL 2022 Part 1 | Pick and Choose eBook Package Cornell Eng Law 2000-2021 | Pick and Choose eBook package UC Irvine Law 2022 | UCB LAW SCHOOL Pick &amp; Choose 2022 | Yale P&amp;C Law Package 2023</t>
  </si>
  <si>
    <t>978-0-7486-2912-1</t>
  </si>
  <si>
    <t>Democracy</t>
  </si>
  <si>
    <t>Problems and Perspectives</t>
  </si>
  <si>
    <t>Democracy E-BOOK</t>
  </si>
  <si>
    <t>Axtmann, Roland</t>
  </si>
  <si>
    <t>978-0-7486-2960-2</t>
  </si>
  <si>
    <t>Pierre Batcheff and Stardom in 1920s French Cinema</t>
  </si>
  <si>
    <t>Pierre Batcheff and Stardom in 1920s French Cinema E-BOOK</t>
  </si>
  <si>
    <t>Powrie, Phil / Rebillard, Eric</t>
  </si>
  <si>
    <t>PER008010 PERFORMING ARTS / Radio / History &amp; Criticism</t>
  </si>
  <si>
    <t>978-0-7486-4706-4</t>
  </si>
  <si>
    <t>Levinas and the Postcolonial</t>
  </si>
  <si>
    <t>Race, Nation, Other</t>
  </si>
  <si>
    <t>Levinas and the Postcolonial E-BOOK</t>
  </si>
  <si>
    <t>Drabinski, John</t>
  </si>
  <si>
    <t>978-1-4744-7167-1</t>
  </si>
  <si>
    <t>Romanticism</t>
  </si>
  <si>
    <t>Theory: Gender: News From Nowhere 1</t>
  </si>
  <si>
    <t>Romanticism E-BOOK</t>
  </si>
  <si>
    <t>Pinkney, Tony</t>
  </si>
  <si>
    <t>978-1-4744-1486-9</t>
  </si>
  <si>
    <t>Twenty-First-Century Popular Fiction</t>
  </si>
  <si>
    <t>Twenty-First-Century Popular Fiction E-BOOK</t>
  </si>
  <si>
    <t>Murphy, Bernice / Matterson, Stephen</t>
  </si>
  <si>
    <t>978-1-4744-0590-4</t>
  </si>
  <si>
    <t>Chow Yun-fat and Territories of Hong Kong Stardom</t>
  </si>
  <si>
    <t>Chow Yun-fat and Territories of Hong Kong Stardom E-BOOK</t>
  </si>
  <si>
    <t>Feng, Lin</t>
  </si>
  <si>
    <t>978-0-7486-6583-9</t>
  </si>
  <si>
    <t>The Crisis of Social Democracy in Europe</t>
  </si>
  <si>
    <t>The Crisis of Social Democracy in Europe E-BOOK</t>
  </si>
  <si>
    <t>Keating, Michael / McCrone, David</t>
  </si>
  <si>
    <t>978-0-7486-7596-8</t>
  </si>
  <si>
    <t>Bilingualism as Interactional Practices</t>
  </si>
  <si>
    <t>Bilingualism as Interactional Practices E-BOOK</t>
  </si>
  <si>
    <t>Gafaranga, Joseph</t>
  </si>
  <si>
    <t>978-0-7486-2725-7</t>
  </si>
  <si>
    <t>The Philosophy of John Duns Scotus</t>
  </si>
  <si>
    <t>The Philosophy of John Duns Scotus E-BOOK</t>
  </si>
  <si>
    <t>Vos, Antonie</t>
  </si>
  <si>
    <t>978-1-4744-5047-8</t>
  </si>
  <si>
    <t>The Archaeology of Afghanistan</t>
  </si>
  <si>
    <t>From Earliest Times to the Timurid Period: New Edition</t>
  </si>
  <si>
    <t>The Archaeology of Afghanistan E-BOOK</t>
  </si>
  <si>
    <t>Hammond, Norman / Allchin, Raymond  / Ball, Warwick</t>
  </si>
  <si>
    <t>978-1-4744-6410-9</t>
  </si>
  <si>
    <t>The Fiction of Postmodernity</t>
  </si>
  <si>
    <t>The Fiction of Postmodernity E-BOOK</t>
  </si>
  <si>
    <t>Baker, Stephen</t>
  </si>
  <si>
    <t>978-0-7486-8253-9</t>
  </si>
  <si>
    <t>Haptic Modernism</t>
  </si>
  <si>
    <t>Touch and the Tactile in Modernist Writing</t>
  </si>
  <si>
    <t>Haptic Modernism E-BOOK</t>
  </si>
  <si>
    <t>Garrington, Abbie</t>
  </si>
  <si>
    <t>978-1-4744-6864-0</t>
  </si>
  <si>
    <t>Medieval Scotland</t>
  </si>
  <si>
    <t>Crown, Lordship &amp; Community</t>
  </si>
  <si>
    <t>Medieval Scotland E-BOOK</t>
  </si>
  <si>
    <t>Stringer, Keith / Grant, Alexander</t>
  </si>
  <si>
    <t>978-1-4744-2154-6</t>
  </si>
  <si>
    <t>Language, Politics and Society in the Middle East</t>
  </si>
  <si>
    <t>Essays in Honour of Yasir Suleiman</t>
  </si>
  <si>
    <t>Language, Politics and Society in the Middle East E-BOOK</t>
  </si>
  <si>
    <t>Mendel, Yonatan / AlNajjar, Abeer</t>
  </si>
  <si>
    <t>978-0-585-44177-1</t>
  </si>
  <si>
    <t>Scotland's Landscape</t>
  </si>
  <si>
    <t>Endangered Icon</t>
  </si>
  <si>
    <t>Scotland's Landscape E-BOOK</t>
  </si>
  <si>
    <t>Paterson, Anna</t>
  </si>
  <si>
    <t>978-1-4744-7286-9</t>
  </si>
  <si>
    <t>Scottish Theatre Since the Seventies</t>
  </si>
  <si>
    <t>Scottish Theatre Since the Seventies E-BOOK</t>
  </si>
  <si>
    <t>Stevenson, Randall / Wallace, Gavin</t>
  </si>
  <si>
    <t>PER011020 PERFORMING ARTS / Theater / History &amp; Criticism</t>
  </si>
  <si>
    <t>978-1-4744-7234-0</t>
  </si>
  <si>
    <t>Open Scotland?</t>
  </si>
  <si>
    <t>Journalists, Spin Doctors and Lobbyists</t>
  </si>
  <si>
    <t>Open Scotland? E-BOOK</t>
  </si>
  <si>
    <t>Dinan, William / Schlesinger, Philip / Miller, David</t>
  </si>
  <si>
    <t>978-1-4744-2159-1</t>
  </si>
  <si>
    <t>The Edinburgh Companion to Scots</t>
  </si>
  <si>
    <t>The Edinburgh Companion to Scots E-BOOK</t>
  </si>
  <si>
    <t>Stuart-Smith, Jane / Corbett, John / McClure, J. Derrick</t>
  </si>
  <si>
    <t>978-0-7486-4369-1</t>
  </si>
  <si>
    <t>Romani in Britain</t>
  </si>
  <si>
    <t>The Afterlife of a Language</t>
  </si>
  <si>
    <t>Romani in Britain E-BOOK</t>
  </si>
  <si>
    <t>Matras, Yaron</t>
  </si>
  <si>
    <t>978-1-4744-5806-1</t>
  </si>
  <si>
    <t>The Poetics of Friendship in Early Modern Spain</t>
  </si>
  <si>
    <t>A Study in Literary Form</t>
  </si>
  <si>
    <t>The Poetics of Friendship in Early Modern Spain E-BOOK</t>
  </si>
  <si>
    <t>Gilbert-Santamaria, Donald</t>
  </si>
  <si>
    <t>978-0-7486-9544-7</t>
  </si>
  <si>
    <t>Islamic Reform in Twentieth-Century Africa</t>
  </si>
  <si>
    <t>Islamic Reform in Twentieth-Century Africa E-BOOK</t>
  </si>
  <si>
    <t>Loimeier, Roman</t>
  </si>
  <si>
    <t>978-0-7486-2818-6</t>
  </si>
  <si>
    <t>Victoriana - Histories, Fictions, Criticism</t>
  </si>
  <si>
    <t>Victoriana - Histories, Fictions, Criticism E-BOOK</t>
  </si>
  <si>
    <t>Kaplan, Cora</t>
  </si>
  <si>
    <t>978-0-7486-1083-9</t>
  </si>
  <si>
    <t>Discourse in Late Modernity</t>
  </si>
  <si>
    <t>Rethinking Critical Discourse Analysis</t>
  </si>
  <si>
    <t>Discourse in Late Modernity E-BOOK</t>
  </si>
  <si>
    <t>Chouliaraki, Lilie / Fairclough, Norman</t>
  </si>
  <si>
    <t>Critical Discourse Analysis</t>
  </si>
  <si>
    <t>978-1-4744-7260-9</t>
  </si>
  <si>
    <t>An Environmental History of Great Britain</t>
  </si>
  <si>
    <t>An Environmental History of Great Britain E-BOOK</t>
  </si>
  <si>
    <t>978-0-7486-2990-9</t>
  </si>
  <si>
    <t>Text World Theory</t>
  </si>
  <si>
    <t>Text World Theory E-BOOK</t>
  </si>
  <si>
    <t>978-1-4744-1124-0</t>
  </si>
  <si>
    <t>Postfeminism</t>
  </si>
  <si>
    <t>Cultural Texts and Theories</t>
  </si>
  <si>
    <t>Postfeminism E-BOOK</t>
  </si>
  <si>
    <t>Genz, Stéphanie / Brabon, Benjamin</t>
  </si>
  <si>
    <t>978-1-4744-8384-1</t>
  </si>
  <si>
    <t>Samuel Beckett and Translation</t>
  </si>
  <si>
    <t>Samuel Beckett and Translation E-BOOK</t>
  </si>
  <si>
    <t>García, Mar Garre / Fernández, José Francisco</t>
  </si>
  <si>
    <t>978-0-7486-3225-1</t>
  </si>
  <si>
    <t>The European Union</t>
  </si>
  <si>
    <t>The European Union E-BOOK</t>
  </si>
  <si>
    <t>Watts, Duncan</t>
  </si>
  <si>
    <t>978-1-4744-1133-2</t>
  </si>
  <si>
    <t>Worldly Shakespeare</t>
  </si>
  <si>
    <t>The Theatre of Our Good Will</t>
  </si>
  <si>
    <t>Worldly Shakespeare E-BOOK</t>
  </si>
  <si>
    <t>Wilson, Richard</t>
  </si>
  <si>
    <t>978-1-4744-5716-3</t>
  </si>
  <si>
    <t>Performing Robert Burns</t>
  </si>
  <si>
    <t>Enactments and Representations of the ‘National Bard’</t>
  </si>
  <si>
    <t>Performing Robert Burns E-BOOK</t>
  </si>
  <si>
    <t>Brown, Ian / Carruthers, Gerard</t>
  </si>
  <si>
    <t>978-0-7486-6601-0</t>
  </si>
  <si>
    <t>Trauma Fiction</t>
  </si>
  <si>
    <t>Trauma Fiction E-BOOK</t>
  </si>
  <si>
    <t>978-0-7486-4166-6</t>
  </si>
  <si>
    <t>Cultural Studies and the Study of Popular Culture</t>
  </si>
  <si>
    <t>Cultural Studies and the Study of Popular Culture E-BOOK</t>
  </si>
  <si>
    <t>978-0-7486-3043-1</t>
  </si>
  <si>
    <t>Scottish Newspapers, Language and Identity</t>
  </si>
  <si>
    <t>Scottish Newspapers, Language and Identity E-BOOK</t>
  </si>
  <si>
    <t>Douglas, Fiona</t>
  </si>
  <si>
    <t>978-0-7486-3149-0</t>
  </si>
  <si>
    <t>Assessing the George W. Bush Presidency</t>
  </si>
  <si>
    <t>A Tale of Two Terms</t>
  </si>
  <si>
    <t>Assessing the George W. Bush Presidency E-BOOK</t>
  </si>
  <si>
    <t>Wroe, Andrew / Herbert, Jon</t>
  </si>
  <si>
    <t>978-0-7486-3946-5</t>
  </si>
  <si>
    <t>James Joyce</t>
  </si>
  <si>
    <t>James Joyce E-BOOK</t>
  </si>
  <si>
    <t>Spinks, Lee</t>
  </si>
  <si>
    <t>978-1-4744-7362-0</t>
  </si>
  <si>
    <t>Glossalalia - An Alphabet of Critical Keywords</t>
  </si>
  <si>
    <t>Glossalalia - An Alphabet of Critical Keywords E-BOOK</t>
  </si>
  <si>
    <t>978-0-585-06059-0</t>
  </si>
  <si>
    <t>French Revolutions, 1815-1914</t>
  </si>
  <si>
    <t>French Revolutions, 1815-1914 E-BOOK</t>
  </si>
  <si>
    <t>Gemie, Sharif</t>
  </si>
  <si>
    <t>978-0-7486-4746-0</t>
  </si>
  <si>
    <t>Deleuze and Film</t>
  </si>
  <si>
    <t>Deleuze and Film E-BOOK</t>
  </si>
  <si>
    <t>Martin-Jones, David / Brown, William</t>
  </si>
  <si>
    <t>Deleuze Connections</t>
  </si>
  <si>
    <t>978-1-4744-0921-6</t>
  </si>
  <si>
    <t>Islam and Colonialism</t>
  </si>
  <si>
    <t>Becoming Modern in Indonesia and Malaya</t>
  </si>
  <si>
    <t>Islam and Colonialism E-BOOK</t>
  </si>
  <si>
    <t>Ali, Muhamad</t>
  </si>
  <si>
    <t>978-1-4744-3537-6</t>
  </si>
  <si>
    <t>Lesbian Cinema after Queer Theory</t>
  </si>
  <si>
    <t>Lesbian Cinema after Queer Theory E-BOOK</t>
  </si>
  <si>
    <t>Bradbury-Rance, Clara</t>
  </si>
  <si>
    <t>978-0-7486-9414-3</t>
  </si>
  <si>
    <t>Post-1990 Documentary</t>
  </si>
  <si>
    <t>Reconfiguring Independence</t>
  </si>
  <si>
    <t>Post-1990 Documentary E-BOOK</t>
  </si>
  <si>
    <t>Deprez, Camille / Pernin, Judith</t>
  </si>
  <si>
    <t>978-0-7486-4455-1</t>
  </si>
  <si>
    <t>British Government and Politics</t>
  </si>
  <si>
    <t>A Comparative Guide</t>
  </si>
  <si>
    <t>British Government and Politics E-BOOK</t>
  </si>
  <si>
    <t>Politics Study Guides</t>
  </si>
  <si>
    <t>978-1-4744-7277-7</t>
  </si>
  <si>
    <t>Nations and Nationalism</t>
  </si>
  <si>
    <t>Nations and Nationalism E-BOOK</t>
  </si>
  <si>
    <t>Spencer, Philip / Wollman, Howard</t>
  </si>
  <si>
    <t>978-1-4744-7257-9</t>
  </si>
  <si>
    <t>New Korean Cinema</t>
  </si>
  <si>
    <t>New Korean Cinema E-BOOK</t>
  </si>
  <si>
    <t>Shin, Chi-Yun / Stringer, Julian</t>
  </si>
  <si>
    <t>Colorado State University EBA Selections 2023 | Edinburgh University Press Backlist eBook-Package 2013-2000 | U Chicago P&amp;C UPL Single Titles 2024</t>
  </si>
  <si>
    <t>978-1-4744-1941-3</t>
  </si>
  <si>
    <t>Campus Talk, Volume 2</t>
  </si>
  <si>
    <t>Campus Talk, Volume 2 E-BOOK</t>
  </si>
  <si>
    <t>Germanic Languages</t>
  </si>
  <si>
    <t>English</t>
  </si>
  <si>
    <t>FOR007000 FOREIGN LANGUAGE STUDY / English as a Second Language</t>
  </si>
  <si>
    <t>978-1-4744-6936-4</t>
  </si>
  <si>
    <t>Scotland's Best Churches</t>
  </si>
  <si>
    <t>Scotland's Best Churches E-BOOK</t>
  </si>
  <si>
    <t>Hume, John R</t>
  </si>
  <si>
    <t>978-1-4744-6950-0</t>
  </si>
  <si>
    <t>Contemporary Feminist Theories</t>
  </si>
  <si>
    <t>Contemporary Feminist Theories E-BOOK</t>
  </si>
  <si>
    <t>Jackson, Stevi / Jones, Jackie</t>
  </si>
  <si>
    <t>978-1-4744-7342-2</t>
  </si>
  <si>
    <t>Being English in Scotland</t>
  </si>
  <si>
    <t>Being English in Scotland E-BOOK</t>
  </si>
  <si>
    <t>Watson, Murray</t>
  </si>
  <si>
    <t>978-0-7486-4449-0</t>
  </si>
  <si>
    <t>From Tartan to Tartanry</t>
  </si>
  <si>
    <t>Scottish Culture, History and Myth</t>
  </si>
  <si>
    <t>From Tartan to Tartanry E-BOOK</t>
  </si>
  <si>
    <t>978-0-7486-6459-7</t>
  </si>
  <si>
    <t>Challenging Multiculturalism</t>
  </si>
  <si>
    <t>European Models of Diversity</t>
  </si>
  <si>
    <t>Challenging Multiculturalism E-BOOK</t>
  </si>
  <si>
    <t>978-0-7486-2700-4</t>
  </si>
  <si>
    <t>Eleftherios Venizelos</t>
  </si>
  <si>
    <t>The Trials of Statesmanship</t>
  </si>
  <si>
    <t>Eleftherios Venizelos E-BOOK</t>
  </si>
  <si>
    <t>Kitromilides, Paschalis M. / Kitromilides, Paschalis M.</t>
  </si>
  <si>
    <t>South Eastern Europe</t>
  </si>
  <si>
    <t>HIS042000 HISTORY / Europe / Greece (see also Ancient / Greece)</t>
  </si>
  <si>
    <t>978-1-4744-1352-7</t>
  </si>
  <si>
    <t>The Student's Guide to Shakespeare</t>
  </si>
  <si>
    <t>The Student's Guide to Shakespeare E-BOOK</t>
  </si>
  <si>
    <t>McKenzie, William</t>
  </si>
  <si>
    <t>978-0-585-15913-3</t>
  </si>
  <si>
    <t>Landmarks in European Literature</t>
  </si>
  <si>
    <t>Landmarks in European Literature E-BOOK</t>
  </si>
  <si>
    <t>978-1-4744-8715-3</t>
  </si>
  <si>
    <t>Walter Scott and Short Fiction</t>
  </si>
  <si>
    <t>Walter Scott and Short Fiction E-BOOK</t>
  </si>
  <si>
    <t>Cook, Daniel</t>
  </si>
  <si>
    <t>978-1-4744-1977-2</t>
  </si>
  <si>
    <t>American Grand Strategy under Obama</t>
  </si>
  <si>
    <t>Competing Discourses</t>
  </si>
  <si>
    <t>American Grand Strategy under Obama E-BOOK</t>
  </si>
  <si>
    <t>Löfflmann, Georg</t>
  </si>
  <si>
    <t>978-0-7486-3215-2</t>
  </si>
  <si>
    <t>Shakespeare in Theory and Practice</t>
  </si>
  <si>
    <t>Shakespeare in Theory and Practice E-BOOK</t>
  </si>
  <si>
    <t>978-0-7486-8550-9</t>
  </si>
  <si>
    <t>Selling the Splat Pack</t>
  </si>
  <si>
    <t>The DVD Revolution and the American Horror Film</t>
  </si>
  <si>
    <t>Selling the Splat Pack E-BOOK</t>
  </si>
  <si>
    <t>Bernard, Mark</t>
  </si>
  <si>
    <t>978-0-7486-8156-3</t>
  </si>
  <si>
    <t>Modernist and Avant-Garde Performance</t>
  </si>
  <si>
    <t>Modernist and Avant-Garde Performance E-BOOK</t>
  </si>
  <si>
    <t>Warden, Claire</t>
  </si>
  <si>
    <t>DRA000000 DRAMA / General</t>
  </si>
  <si>
    <t>978-1-4744-7314-9</t>
  </si>
  <si>
    <t>An Introduction to Gaelic Poetry</t>
  </si>
  <si>
    <t>An Introduction to Gaelic Poetry E-BOOK</t>
  </si>
  <si>
    <t>Thomson, Derrick</t>
  </si>
  <si>
    <t>978-0-7486-2946-6</t>
  </si>
  <si>
    <t>American Documentary Film</t>
  </si>
  <si>
    <t>Projecting the Nation</t>
  </si>
  <si>
    <t>American Documentary Film E-BOOK</t>
  </si>
  <si>
    <t>Geiger, Jeffrey</t>
  </si>
  <si>
    <t>978-0-585-12185-7</t>
  </si>
  <si>
    <t>Ronald Dworkin</t>
  </si>
  <si>
    <t>Ronald Dworkin E-BOOK</t>
  </si>
  <si>
    <t>Guest, Stephen</t>
  </si>
  <si>
    <t>Edinburgh University Press Archive eBook-Package Pre-2000 | Yale P&amp;C Law Package 2023</t>
  </si>
  <si>
    <t>978-0-585-15640-8</t>
  </si>
  <si>
    <t>Innovation, Incentive and Reward</t>
  </si>
  <si>
    <t>Intellectual Property Law and Policy: Hume Papers on Public Policy 5.3</t>
  </si>
  <si>
    <t>Innovation, Incentive and Reward E-BOOK</t>
  </si>
  <si>
    <t>MacQueen, Hector / Main, Brian G.</t>
  </si>
  <si>
    <t>Hume Papers on Public Policy</t>
  </si>
  <si>
    <t>POL028000 POLITICAL SCIENCE / Public Policy / General</t>
  </si>
  <si>
    <t>978-1-4744-9701-5</t>
  </si>
  <si>
    <t>Beyond New Age</t>
  </si>
  <si>
    <t>Exploring Alternative Spirituality</t>
  </si>
  <si>
    <t>Beyond New Age E-BOOK</t>
  </si>
  <si>
    <t>Sutcliffe, Steven / Bowman, Marion</t>
  </si>
  <si>
    <t>978-1-4744-4366-1</t>
  </si>
  <si>
    <t>Cultural Encounters with the Arabian Nights in Nineteenth-Century Britain</t>
  </si>
  <si>
    <t>Cultural Encounters with the Arabian Nights in Ninete E-BOOK</t>
  </si>
  <si>
    <t>Dickson, Melissa</t>
  </si>
  <si>
    <t>Edinburgh Critical Studies in Victorian Culture</t>
  </si>
  <si>
    <t>978-1-4744-4329-6</t>
  </si>
  <si>
    <t>The Cultural Memory of Georgian Glasgow</t>
  </si>
  <si>
    <t>The Cultural Memory of Georgian Glasgow E-BOOK</t>
  </si>
  <si>
    <t>Lamont, Craig</t>
  </si>
  <si>
    <t>978-1-4744-3008-1</t>
  </si>
  <si>
    <t>Ovid and Adaptation in Early Modern English Theatre</t>
  </si>
  <si>
    <t>Ovid and Adaptation in Early Modern English Theatre E-BOOK</t>
  </si>
  <si>
    <t>Starks, Lisa</t>
  </si>
  <si>
    <t>978-1-4744-0249-1</t>
  </si>
  <si>
    <t>James Joyce and Cinematicity</t>
  </si>
  <si>
    <t>Before and After Film</t>
  </si>
  <si>
    <t>James Joyce and Cinematicity E-BOOK</t>
  </si>
  <si>
    <t>Williams, Keith</t>
  </si>
  <si>
    <t>978-1-4744-4598-6</t>
  </si>
  <si>
    <t>The Henri Meschonnic Reader</t>
  </si>
  <si>
    <t>A Poetics of Society</t>
  </si>
  <si>
    <t>The Henri Meschonnic Reader E-BOOK</t>
  </si>
  <si>
    <t xml:space="preserve">Pajević, Marko / Meschonnic, Henri / Boulanger, Pier-Pascale </t>
  </si>
  <si>
    <t>978-1-4744-4113-1</t>
  </si>
  <si>
    <t>Phases of the Moon</t>
  </si>
  <si>
    <t>A Cultural History of the Werewolf Film</t>
  </si>
  <si>
    <t>Phases of the Moon E-BOOK</t>
  </si>
  <si>
    <t>Mann, Craig Ian</t>
  </si>
  <si>
    <t>978-1-4744-0310-8</t>
  </si>
  <si>
    <t>Islamic Law and Empire in Ottoman Cairo</t>
  </si>
  <si>
    <t>Islamic Law and Empire in Ottoman Cairo E-BOOK</t>
  </si>
  <si>
    <t>Baldwin, James</t>
  </si>
  <si>
    <t>978-1-4744-6042-2</t>
  </si>
  <si>
    <t>Frederick Douglass in Britain and Ireland, 1845-1895</t>
  </si>
  <si>
    <t>Frederick Douglass in Britain and Ireland, 1845-1895 E-BOOK</t>
  </si>
  <si>
    <t>Murray, Hannah-Rose / McKivigan, John R.</t>
  </si>
  <si>
    <t>BIO010000 BIOGRAPHY &amp; AUTOBIOGRAPHY / Political</t>
  </si>
  <si>
    <t>978-1-4744-6552-6</t>
  </si>
  <si>
    <t>An Introduction to Kant's Critique of Judgement</t>
  </si>
  <si>
    <t>An Introduction to Kant's Critique of Judgement E-BOOK</t>
  </si>
  <si>
    <t>Burnham, Douglas</t>
  </si>
  <si>
    <t>978-1-4744-0151-7</t>
  </si>
  <si>
    <t>Essential Skills in Arabic</t>
  </si>
  <si>
    <t>From Intermediate to Advanced</t>
  </si>
  <si>
    <t>Essential Skills in Arabic E-BOOK</t>
  </si>
  <si>
    <t>Lahlali, El Mustapha / Kesseiri, Radia</t>
  </si>
  <si>
    <t>978-1-4744-6798-8</t>
  </si>
  <si>
    <t>Edinburgh - The Making of a Capital City</t>
  </si>
  <si>
    <t>Edinburgh - The Making of a Capital City E-BOOK</t>
  </si>
  <si>
    <t>Edwards, Brian / Jenkins, Paul</t>
  </si>
  <si>
    <t>978-1-4744-4390-6</t>
  </si>
  <si>
    <t>Sixties British Cinema Reconsidered</t>
  </si>
  <si>
    <t>Sixties British Cinema Reconsidered E-BOOK</t>
  </si>
  <si>
    <t>Mayne, Laura / Petrie, Duncan / Williams, Melanie</t>
  </si>
  <si>
    <t>978-1-4744-0224-8</t>
  </si>
  <si>
    <t>Secretaries and Statecraft in the Early Modern World</t>
  </si>
  <si>
    <t>Secretaries and Statecraft in the Early Modern World E-BOOK</t>
  </si>
  <si>
    <t>Dover, Paul M.</t>
  </si>
  <si>
    <t>978-1-4744-7149-7</t>
  </si>
  <si>
    <t>Literary Criticism in Medieval Arabic Islamic Culture</t>
  </si>
  <si>
    <t>The Making of a Tradition</t>
  </si>
  <si>
    <t>Literary Criticism in Medieval Arabic Islamic Culture E-BOOK</t>
  </si>
  <si>
    <t>978-1-4744-2718-0</t>
  </si>
  <si>
    <t>A Guide to Using Corpora for English Language Learners</t>
  </si>
  <si>
    <t>A Guide to Using Corpora for English Language Learner E-BOOK</t>
  </si>
  <si>
    <t>Poole, Robert</t>
  </si>
  <si>
    <t>978-0-7486-7626-2</t>
  </si>
  <si>
    <t>Conditions of Thought</t>
  </si>
  <si>
    <t>Deleuze and Transcendental Ideas</t>
  </si>
  <si>
    <t>Conditions of Thought E-BOOK</t>
  </si>
  <si>
    <t>Voss, Daniela</t>
  </si>
  <si>
    <t>Plateaus - New Directions in Deleuze Studies</t>
  </si>
  <si>
    <t>978-0-7486-3204-6</t>
  </si>
  <si>
    <t>A Military History of Scotland</t>
  </si>
  <si>
    <t>A Military History of Scotland E-BOOK</t>
  </si>
  <si>
    <t>Strickland, Matthew / Spiers, Edward M. / Crang, Jeremy</t>
  </si>
  <si>
    <t>978-0-7486-7617-0</t>
  </si>
  <si>
    <t>Men's Cinema</t>
  </si>
  <si>
    <t>Masculinity and Mise-en-Scene in Hollywood</t>
  </si>
  <si>
    <t>Men's Cinema E-BOOK</t>
  </si>
  <si>
    <t>Bruzzi, Stella</t>
  </si>
  <si>
    <t>978-0-7486-9357-3</t>
  </si>
  <si>
    <t>George Cukor</t>
  </si>
  <si>
    <t>Hollywood Master</t>
  </si>
  <si>
    <t>George Cukor E-BOOK</t>
  </si>
  <si>
    <t>Pomerance, Murray / Palmer, R. Barton</t>
  </si>
  <si>
    <t>978-1-4744-0003-9</t>
  </si>
  <si>
    <t>Animalities</t>
  </si>
  <si>
    <t>Literary and Cultural Studies Beyond the Human</t>
  </si>
  <si>
    <t>Animalities E-BOOK</t>
  </si>
  <si>
    <t>Lundblad, Michael</t>
  </si>
  <si>
    <t>978-0-7486-3066-0</t>
  </si>
  <si>
    <t>Contemporary American Drama</t>
  </si>
  <si>
    <t>Contemporary American Drama E-BOOK</t>
  </si>
  <si>
    <t>Saddik, Annette</t>
  </si>
  <si>
    <t>Edinburgh Critical Guides to Literature</t>
  </si>
  <si>
    <t>978-0-7486-9278-1</t>
  </si>
  <si>
    <t>Ambiguous Citizenship in an Age of Global Migration</t>
  </si>
  <si>
    <t>Ambiguous Citizenship in an Age of Global Migration E-BOOK</t>
  </si>
  <si>
    <t>Mhurchú, Aoileann Ní</t>
  </si>
  <si>
    <t>978-0-7486-9746-5</t>
  </si>
  <si>
    <t>Extreme Asia</t>
  </si>
  <si>
    <t>The Rise of Cult Cinema from the Far East</t>
  </si>
  <si>
    <t>Extreme Asia E-BOOK</t>
  </si>
  <si>
    <t>Martin, Daniel</t>
  </si>
  <si>
    <t>978-0-7486-3153-7</t>
  </si>
  <si>
    <t>American Culture in the 1970s</t>
  </si>
  <si>
    <t>American Culture in the 1970s E-BOOK</t>
  </si>
  <si>
    <t>Kaufman, Will</t>
  </si>
  <si>
    <t>Twentieth-Century American Culture</t>
  </si>
  <si>
    <t>978-1-4744-6170-2</t>
  </si>
  <si>
    <t>The Edinburgh Companion to Sidonius Apollinaris</t>
  </si>
  <si>
    <t>The Edinburgh Companion to Sidonius Apollinaris E-BOOK</t>
  </si>
  <si>
    <t>van Waarden, Joop / Kelly, Gavin</t>
  </si>
  <si>
    <t>978-1-4744-6787-2</t>
  </si>
  <si>
    <t>Men of Influence</t>
  </si>
  <si>
    <t>Stalin's Diplomats in Europe, 1930-1939</t>
  </si>
  <si>
    <t>Men of Influence E-BOOK</t>
  </si>
  <si>
    <t>Editions Payot / Dullin, Sabine / Veasey, Richard</t>
  </si>
  <si>
    <t>978-1-4744-0886-8</t>
  </si>
  <si>
    <t>Reassessing Legal Humanism and its Claims</t>
  </si>
  <si>
    <t>Petere Fontes?</t>
  </si>
  <si>
    <t>Reassessing Legal Humanism and its Claims E-BOOK</t>
  </si>
  <si>
    <t>du Plessis, Paul J. / Cairns, John W.</t>
  </si>
  <si>
    <t>Edinburgh Studies in Law</t>
  </si>
  <si>
    <t>978-1-4744-2414-1</t>
  </si>
  <si>
    <t>Short Films from a Small Nation</t>
  </si>
  <si>
    <t>Danish Informational Cinema 1935–1965</t>
  </si>
  <si>
    <t>Short Films from a Small Nation E-BOOK</t>
  </si>
  <si>
    <t>Thomson, C. Claire</t>
  </si>
  <si>
    <t>Traditions in World Cinema</t>
  </si>
  <si>
    <t>978-1-4744-7594-5</t>
  </si>
  <si>
    <t>New Media and the Rise of the Popular Woman Writer, 1832–1860</t>
  </si>
  <si>
    <t>New Media and the Rise of the Popular Woman Writer, 1 E-BOOK</t>
  </si>
  <si>
    <t>Easley, Alexis</t>
  </si>
  <si>
    <t>Gender and Literature</t>
  </si>
  <si>
    <t>LCO019000 LITERARY COLLECTIONS / Women Authors</t>
  </si>
  <si>
    <t>978-1-4744-8096-3</t>
  </si>
  <si>
    <t>Archaeology and the Emergence of Greece</t>
  </si>
  <si>
    <t>Archaeology and the Emergence of Greece E-BOOK</t>
  </si>
  <si>
    <t>978-1-4744-0706-9</t>
  </si>
  <si>
    <t>The Practices of Global Ethics</t>
  </si>
  <si>
    <t>Historical Backgrounds, Current Issues, and Future Prospects</t>
  </si>
  <si>
    <t>The Practices of Global Ethics E-BOOK</t>
  </si>
  <si>
    <t>Twiss, Sumner B. / Bird, Frederick / Pedersen, Kusumita</t>
  </si>
  <si>
    <t>978-1-4744-1551-4</t>
  </si>
  <si>
    <t>The Invention of Palestinian Citizenship, 1918-1947</t>
  </si>
  <si>
    <t>The Invention of Palestinian Citizenship, 1918-1947 E-BOOK</t>
  </si>
  <si>
    <t>Banko, Lauren</t>
  </si>
  <si>
    <t>978-1-4744-4431-6</t>
  </si>
  <si>
    <t>Sharīʿa in the Russian Empire</t>
  </si>
  <si>
    <t>The Reach and Limits of Islamic Law in Central Eurasia, 1550-1917</t>
  </si>
  <si>
    <t>Sharīʿa in the Russian Empire E-BOOK</t>
  </si>
  <si>
    <t>Sartori, Paolo / Ross, Danielle</t>
  </si>
  <si>
    <t>978-1-4744-4892-5</t>
  </si>
  <si>
    <t>Ovidian Transversions</t>
  </si>
  <si>
    <t>‘Iphis and Ianthe’, 1300-1650</t>
  </si>
  <si>
    <t>Ovidian Transversions E-BOOK</t>
  </si>
  <si>
    <t>McCracken, Peggy / Traub, Valerie / Badir, Patricia</t>
  </si>
  <si>
    <t>Conversions</t>
  </si>
  <si>
    <t>978-1-4744-7367-5</t>
  </si>
  <si>
    <t>Friends in York</t>
  </si>
  <si>
    <t>The Dynamics of Quaker Revival,1780-1860</t>
  </si>
  <si>
    <t>Friends in York E-BOOK</t>
  </si>
  <si>
    <t>Wright, Sheila</t>
  </si>
  <si>
    <t>HIS037030 HISTORY / Modern / General</t>
  </si>
  <si>
    <t>978-0-7486-8080-1</t>
  </si>
  <si>
    <t>Key Thinkers in Linguistics and the Philosophy of Language</t>
  </si>
  <si>
    <t>Key Thinkers in Linguistics and the Philosophy of Lan E-BOOK</t>
  </si>
  <si>
    <t>978-0-7486-3721-8</t>
  </si>
  <si>
    <t>Mediated Business Interactions</t>
  </si>
  <si>
    <t>Intercultural Communication Between Speakers of Spanish</t>
  </si>
  <si>
    <t>Mediated Business Interactions E-BOOK</t>
  </si>
  <si>
    <t>Márquez Reiter, Rosina</t>
  </si>
  <si>
    <t>978-1-4744-3437-9</t>
  </si>
  <si>
    <t>The United States Through Arab Eyes</t>
  </si>
  <si>
    <t>An Anthology of Writings (1876-1914)</t>
  </si>
  <si>
    <t>The United States Through Arab Eyes E-BOOK</t>
  </si>
  <si>
    <t>Matar, Nabil</t>
  </si>
  <si>
    <t>978-0-7486-4374-5</t>
  </si>
  <si>
    <t>Academic General Practice in the UK Medical Schools, 1948–2000</t>
  </si>
  <si>
    <t>A Short History</t>
  </si>
  <si>
    <t>Academic General Practice in the UK Medical Schools,  E-BOOK</t>
  </si>
  <si>
    <t>Howie, John / Whitfield, Michael</t>
  </si>
  <si>
    <t>978-0-7486-2702-8</t>
  </si>
  <si>
    <t>Christian Philosophy A–Z</t>
  </si>
  <si>
    <t>Christian Philosophy A–Z E-BOOK</t>
  </si>
  <si>
    <t>Hill, Daniel / Rauser, Randal</t>
  </si>
  <si>
    <t>Philosophy A-Z</t>
  </si>
  <si>
    <t>978-1-4744-1035-9</t>
  </si>
  <si>
    <t>The Philosophical Foundations of the Late Schelling</t>
  </si>
  <si>
    <t>The Turn to the Positive</t>
  </si>
  <si>
    <t>The Philosophical Foundations of the Late Schelling E-BOOK</t>
  </si>
  <si>
    <t>McGrath, Sean J.</t>
  </si>
  <si>
    <t>New Perspectives in Ontology</t>
  </si>
  <si>
    <t>978-0-7486-5587-8</t>
  </si>
  <si>
    <t>Returning to Revolution</t>
  </si>
  <si>
    <t>Deleuze, Guattari and Zapatismo</t>
  </si>
  <si>
    <t>Returning to Revolution E-BOOK</t>
  </si>
  <si>
    <t>978-1-4744-7159-6</t>
  </si>
  <si>
    <t>The Contemporary American Crime Novel</t>
  </si>
  <si>
    <t>Race, Ethnicity, Gender, Class</t>
  </si>
  <si>
    <t>The Contemporary American Crime Novel E-BOOK</t>
  </si>
  <si>
    <t>Pepper, Andrew</t>
  </si>
  <si>
    <t>978-0-7486-4697-5</t>
  </si>
  <si>
    <t>9/11 and the Literature of Terror</t>
  </si>
  <si>
    <t>9/11 and the Literature of Terror E-BOOK</t>
  </si>
  <si>
    <t>Randall, Martin</t>
  </si>
  <si>
    <t>978-0-7486-3082-0</t>
  </si>
  <si>
    <t>Red Scotland!</t>
  </si>
  <si>
    <t>The Rise and Fall of the Radical Left, c. 1872 to 1932</t>
  </si>
  <si>
    <t>Red Scotland! E-BOOK</t>
  </si>
  <si>
    <t>Kenefick, William</t>
  </si>
  <si>
    <t>978-0-7486-6804-5</t>
  </si>
  <si>
    <t>The Cinema and Cinema-Going in Scotland, 1896-1950</t>
  </si>
  <si>
    <t>The Cinema and Cinema-Going in Scotland, 1896-1950 E-BOOK</t>
  </si>
  <si>
    <t>Griffiths, Trevor</t>
  </si>
  <si>
    <t>978-1-4744-1523-1</t>
  </si>
  <si>
    <t>Troubled Everyday</t>
  </si>
  <si>
    <t>The Aesthetics of Violence and the Everyday in European Art Cinema</t>
  </si>
  <si>
    <t>Troubled Everyday E-BOOK</t>
  </si>
  <si>
    <t>Taylor, Alison</t>
  </si>
  <si>
    <t>978-1-4744-0147-0</t>
  </si>
  <si>
    <t>Intelligence Arabic</t>
  </si>
  <si>
    <t>Intelligence Arabic E-BOOK</t>
  </si>
  <si>
    <t>Manning, Julie / Kendall, Elisabeth</t>
  </si>
  <si>
    <t>978-0-7486-8574-5</t>
  </si>
  <si>
    <t>The Neolithic of Mainland Scotland</t>
  </si>
  <si>
    <t>The Neolithic of Mainland Scotland E-BOOK</t>
  </si>
  <si>
    <t>Ralston, Ian B. M. / Brophy, Kenneth / MacGregor, Gavin</t>
  </si>
  <si>
    <t>978-0-585-44205-1</t>
  </si>
  <si>
    <t>Becoming Posthumous</t>
  </si>
  <si>
    <t>Life and Death in Literary and Cultural Studies</t>
  </si>
  <si>
    <t>Becoming Posthumous E-BOOK</t>
  </si>
  <si>
    <t>Tambling, Jeremy</t>
  </si>
  <si>
    <t>978-1-4744-1295-7</t>
  </si>
  <si>
    <t>Cold War Film Genres</t>
  </si>
  <si>
    <t>Cold War Film Genres E-BOOK</t>
  </si>
  <si>
    <t>Pettey, Homer B.</t>
  </si>
  <si>
    <t>978-1-4744-2181-2</t>
  </si>
  <si>
    <t>Eclipsed Cinema</t>
  </si>
  <si>
    <t>The Film Culture of Colonial Korea</t>
  </si>
  <si>
    <t>Eclipsed Cinema E-BOOK</t>
  </si>
  <si>
    <t>Kim, Dong Hoon</t>
  </si>
  <si>
    <t>Edinburgh Studies in East Asian Film</t>
  </si>
  <si>
    <t>978-1-4744-7251-7</t>
  </si>
  <si>
    <t>Cinematic Political Thought</t>
  </si>
  <si>
    <t>Narrating Race, Nation and Gender</t>
  </si>
  <si>
    <t>Cinematic Political Thought E-BOOK</t>
  </si>
  <si>
    <t>Shapiro, Michael</t>
  </si>
  <si>
    <t>Taking on the Political</t>
  </si>
  <si>
    <t>978-0-7486-8374-1</t>
  </si>
  <si>
    <t>Contemporary Japanese Cinema Since Hana-Bi</t>
  </si>
  <si>
    <t>Contemporary Japanese Cinema Since Hana-Bi E-BOOK</t>
  </si>
  <si>
    <t>Bingham, Adam</t>
  </si>
  <si>
    <t>978-1-4744-6960-9</t>
  </si>
  <si>
    <t>Wessex Poems</t>
  </si>
  <si>
    <t>Johnson, Trevor</t>
  </si>
  <si>
    <t>978-0-7486-9240-8</t>
  </si>
  <si>
    <t>The Correspondence of Thomas Reid</t>
  </si>
  <si>
    <t>The Correspondence of Thomas Reid E-BOOK</t>
  </si>
  <si>
    <t>Reid, Thomas / Wood, Paul</t>
  </si>
  <si>
    <t>The Edinburgh Edition of Thomas Reid</t>
  </si>
  <si>
    <t>978-1-4744-2862-0</t>
  </si>
  <si>
    <t>The Victorian Male Body</t>
  </si>
  <si>
    <t>The Victorian Male Body E-BOOK</t>
  </si>
  <si>
    <t>Parsons, Joanne Ella / Heholt, Ruth</t>
  </si>
  <si>
    <t>978-0-7486-3078-3</t>
  </si>
  <si>
    <t>Scottish Presbyterians and the Act of Union 1707</t>
  </si>
  <si>
    <t>Scottish Presbyterians and the Act of Union 1707 E-BOOK</t>
  </si>
  <si>
    <t>Stephen, Jeffrey</t>
  </si>
  <si>
    <t>978-1-3995-0409-6</t>
  </si>
  <si>
    <t>The Collected Poems of Katherine Mansfield</t>
  </si>
  <si>
    <t>The Collected Poems of Katherine Mansfield E-BOOK</t>
  </si>
  <si>
    <t>Davison, Claire / Mansfield, Katherine / Kimber, Gerri</t>
  </si>
  <si>
    <t>LCO005000 LITERARY COLLECTIONS / Australian &amp; Oceanian</t>
  </si>
  <si>
    <t>978-0-7486-4462-9</t>
  </si>
  <si>
    <t>American Autobiography</t>
  </si>
  <si>
    <t>American Autobiography E-BOOK</t>
  </si>
  <si>
    <t>McLennan, Rachael</t>
  </si>
  <si>
    <t>BAAS Paperbacks</t>
  </si>
  <si>
    <t>978-1-4744-7267-8</t>
  </si>
  <si>
    <t>Get Set for Nursing</t>
  </si>
  <si>
    <t>Get Set for Nursing E-BOOK</t>
  </si>
  <si>
    <t>Smith, Graeme</t>
  </si>
  <si>
    <t>Get Set for University</t>
  </si>
  <si>
    <t>Medicine</t>
  </si>
  <si>
    <t>Assistive Professions, Nursing</t>
  </si>
  <si>
    <t>MED058000 MEDICAL / Nursing / General</t>
  </si>
  <si>
    <t>EBA_BACKALL; EBA_CL_MDPM; EBA_EBACKALL; EBA_EBKALL; EBA_ECL_MDPM; EBA_EEBKALL; EBA_ESTMALL; EBA_PPALL; EBA_STMALL</t>
  </si>
  <si>
    <t>978-1-4744-5138-3</t>
  </si>
  <si>
    <t>Film Reboots</t>
  </si>
  <si>
    <t>Film Reboots E-BOOK</t>
  </si>
  <si>
    <t>Herbert, Daniel / Verevis, Constantine</t>
  </si>
  <si>
    <t>Screen Serialities</t>
  </si>
  <si>
    <t>978-1-4744-0291-0</t>
  </si>
  <si>
    <t>Extreme Cinema</t>
  </si>
  <si>
    <t>Affective Strategies in Transnational Media</t>
  </si>
  <si>
    <t>Extreme Cinema E-BOOK</t>
  </si>
  <si>
    <t>Kerner, Aaron / Knapp, Jonathan</t>
  </si>
  <si>
    <t>978-1-4744-1444-9</t>
  </si>
  <si>
    <t>Doris Lessing and the Forming of History</t>
  </si>
  <si>
    <t>Doris Lessing and the Forming of History E-BOOK</t>
  </si>
  <si>
    <t>Sperlinger, Tom / Brazil, Kevin / Sergeant, David</t>
  </si>
  <si>
    <t>978-1-4744-6189-4</t>
  </si>
  <si>
    <t>The Edinburgh History of Reading</t>
  </si>
  <si>
    <t>Common Readers</t>
  </si>
  <si>
    <t>The Edinburgh History of Reading E-BOOK</t>
  </si>
  <si>
    <t>Rose, Jonathan</t>
  </si>
  <si>
    <t>978-1-4744-6438-3</t>
  </si>
  <si>
    <t>Rereading Orphanhood</t>
  </si>
  <si>
    <t>Texts, Inheritance, Kin</t>
  </si>
  <si>
    <t>Rereading Orphanhood E-BOOK</t>
  </si>
  <si>
    <t>Warren, Diane / Peters, Laura</t>
  </si>
  <si>
    <t>978-0-7486-3613-6</t>
  </si>
  <si>
    <t>Italian Neorealist Cinema</t>
  </si>
  <si>
    <t>Italian Neorealist Cinema E-BOOK</t>
  </si>
  <si>
    <t>Haaland, Torunn</t>
  </si>
  <si>
    <t>978-1-4744-4620-4</t>
  </si>
  <si>
    <t>Making War on Bodies</t>
  </si>
  <si>
    <t>Militarisation, Aesthetics and Embodiment in International Politics</t>
  </si>
  <si>
    <t>Making War on Bodies E-BOOK</t>
  </si>
  <si>
    <t>Baker, Catherine</t>
  </si>
  <si>
    <t>Advances in Critical Military Studies</t>
  </si>
  <si>
    <t>978-0-7486-9563-8</t>
  </si>
  <si>
    <t>Independent Chinese Documentary</t>
  </si>
  <si>
    <t>Alternative Visions, Alternative Publics</t>
  </si>
  <si>
    <t>Independent Chinese Documentary E-BOOK</t>
  </si>
  <si>
    <t>Edwards, Dan</t>
  </si>
  <si>
    <t>978-0-7486-3478-1</t>
  </si>
  <si>
    <t>The International Film Musical</t>
  </si>
  <si>
    <t>The International Film Musical E-BOOK</t>
  </si>
  <si>
    <t>Creekmur, Corey / Mokdad, Linda</t>
  </si>
  <si>
    <t>978-1-4744-2309-0</t>
  </si>
  <si>
    <t>Vampires, Race, and Transnational Hollywoods</t>
  </si>
  <si>
    <t>Vampires, Race, and Transnational Hollywoods E-BOOK</t>
  </si>
  <si>
    <t>Hudson, Dale</t>
  </si>
  <si>
    <t>978-1-4744-2766-1</t>
  </si>
  <si>
    <t>Space in Modern Egyptian Fiction</t>
  </si>
  <si>
    <t>Space in Modern Egyptian Fiction E-BOOK</t>
  </si>
  <si>
    <t>Ramadan, Yasmine</t>
  </si>
  <si>
    <t>Edinburgh Studies in Modern Arabic Literature</t>
  </si>
  <si>
    <t>978-0-7486-5575-5</t>
  </si>
  <si>
    <t>Sociolinguistics and Mobile Communication</t>
  </si>
  <si>
    <t>Sociolinguistics and Mobile Communication E-BOOK</t>
  </si>
  <si>
    <t>Deumert, Ana</t>
  </si>
  <si>
    <t>Edinburgh Sociolinguistics</t>
  </si>
  <si>
    <t>978-1-4744-0111-1</t>
  </si>
  <si>
    <t>Espionage and Exile</t>
  </si>
  <si>
    <t>Fascism and Anti-Fascism in British Spy Fiction and Film</t>
  </si>
  <si>
    <t>Espionage and Exile E-BOOK</t>
  </si>
  <si>
    <t>Lassner, Phyllis</t>
  </si>
  <si>
    <t>978-1-4744-6541-0</t>
  </si>
  <si>
    <t>Devolution - Scottish Answers to Scottish Questions?</t>
  </si>
  <si>
    <t>Devolution - Scottish Answers to Scottish Questions? E-BOOK</t>
  </si>
  <si>
    <t>978-0-7486-7009-3</t>
  </si>
  <si>
    <t>Risk Management for Islamic Banks</t>
  </si>
  <si>
    <t>Risk Management for Islamic Banks E-BOOK</t>
  </si>
  <si>
    <t>Salem, Rania Abdelfattah</t>
  </si>
  <si>
    <t>Edinburgh Guides to Islamic Finance</t>
  </si>
  <si>
    <t>978-1-4744-4706-5</t>
  </si>
  <si>
    <t>Exploring Gender Diversity in the Ancient World</t>
  </si>
  <si>
    <t>Exploring Gender Diversity in the Ancient World E-BOOK</t>
  </si>
  <si>
    <t>Surtees, Allison / Dyer, Jennifer</t>
  </si>
  <si>
    <t>Intersectionality in Classical Antiquity</t>
  </si>
  <si>
    <t>CSCU DEI P&amp;C 2023 | Edinburgh University Press Complete eBook-Package 2020</t>
  </si>
  <si>
    <t>978-0-585-44166-5</t>
  </si>
  <si>
    <t>War Damage in Western Europe</t>
  </si>
  <si>
    <t>The Destruction of Historic Monuments During the Second World War</t>
  </si>
  <si>
    <t>War Damage in Western Europe E-BOOK</t>
  </si>
  <si>
    <t>Lambourne, Nicola</t>
  </si>
  <si>
    <t>Societies at War</t>
  </si>
  <si>
    <t>978-0-7486-7777-1</t>
  </si>
  <si>
    <t>Elements of Formal Semantics</t>
  </si>
  <si>
    <t>An Introduction to the Mathematical Theory of Meaning in Natural Language</t>
  </si>
  <si>
    <t>Elements of Formal Semantics E-BOOK</t>
  </si>
  <si>
    <t>Winter, Yoad</t>
  </si>
  <si>
    <t>Edinburgh Advanced Textbooks in Linguistics</t>
  </si>
  <si>
    <t>978-0-7486-9365-8</t>
  </si>
  <si>
    <t>The Consequences of Possession</t>
  </si>
  <si>
    <t>The Consequences of Possession E-BOOK</t>
  </si>
  <si>
    <t>Descheemaeker, Eric</t>
  </si>
  <si>
    <t>Edinburgh University Press Complete eBook-Package 2014-2015 | Pick and Choose Law eBook Package BU 2022 | Pick and Choose Law eBook WUSTL 2022 Part 1 | Pick and Choose eBook Package Cornell Eng Law 2000-2021 | UCB LAW SCHOOL Pick &amp; Choose 2022 | UNIVERSIDAD NACIONAL AUTÓNOMA DE MÉXICO Pick and Choose 2023 | Yale P&amp;C Law Package 2023</t>
  </si>
  <si>
    <t>978-0-7486-2897-1</t>
  </si>
  <si>
    <t>Sufism</t>
  </si>
  <si>
    <t>The Formative Period</t>
  </si>
  <si>
    <t>Sufism E-BOOK</t>
  </si>
  <si>
    <t>Karamustafa, Ahmet T.</t>
  </si>
  <si>
    <t>The New Edinburgh Islamic Surveys</t>
  </si>
  <si>
    <t>978-1-4744-7122-0</t>
  </si>
  <si>
    <t>Medicine Murder in Colonial Lesotho</t>
  </si>
  <si>
    <t>The Anatomy of a Moral Crisis</t>
  </si>
  <si>
    <t>Medicine Murder in Colonial Lesotho E-BOOK</t>
  </si>
  <si>
    <t>Murray, Colin / Sanders, Peter</t>
  </si>
  <si>
    <t>International African Library</t>
  </si>
  <si>
    <t>978-0-7486-9898-1</t>
  </si>
  <si>
    <t>Inheriting Gadamer</t>
  </si>
  <si>
    <t>New Directions in Philosophical Hermeneutics</t>
  </si>
  <si>
    <t>Inheriting Gadamer E-BOOK</t>
  </si>
  <si>
    <t>Warnke, Georgia</t>
  </si>
  <si>
    <t>978-1-4744-7288-3</t>
  </si>
  <si>
    <t>Men's Bodies</t>
  </si>
  <si>
    <t>Paragraph Volume 26 Issue 1-2</t>
  </si>
  <si>
    <t>Men's Bodies E-BOOK</t>
  </si>
  <si>
    <t>Paragraph Special Issues</t>
  </si>
  <si>
    <t>978-1-4744-6382-9</t>
  </si>
  <si>
    <t>Bourdieu and the Literary Field</t>
  </si>
  <si>
    <t>Paragraph Volume 35, Number 1</t>
  </si>
  <si>
    <t>Bourdieu and the Literary Field E-BOOK</t>
  </si>
  <si>
    <t>Ahearne, Jeremy / Speller, John</t>
  </si>
  <si>
    <t>978-1-4744-4609-9</t>
  </si>
  <si>
    <t>Early Readers</t>
  </si>
  <si>
    <t>Hammond, Mary</t>
  </si>
  <si>
    <t>978-0-7486-9868-4</t>
  </si>
  <si>
    <t>French-language Road Cinema</t>
  </si>
  <si>
    <t>Borders, Diasporas, Migration and 'New Europe'</t>
  </si>
  <si>
    <t>French-language Road Cinema E-BOOK</t>
  </si>
  <si>
    <t>Gott, Michael</t>
  </si>
  <si>
    <t>978-1-4744-1945-1</t>
  </si>
  <si>
    <t>Female Authorship and the Documentary Image</t>
  </si>
  <si>
    <t>Theory, Practice and Aesthetics</t>
  </si>
  <si>
    <t>Female Authorship and the Documentary Image E-BOOK</t>
  </si>
  <si>
    <t>978-1-4744-5747-7</t>
  </si>
  <si>
    <t>The Libyan Novel</t>
  </si>
  <si>
    <t>Humans, Animals and the Poetics of Vulnerability</t>
  </si>
  <si>
    <t>The Libyan Novel E-BOOK</t>
  </si>
  <si>
    <t>Olszok, Charis</t>
  </si>
  <si>
    <t>978-1-4744-1467-8</t>
  </si>
  <si>
    <t>Transgender and The Literary Imagination</t>
  </si>
  <si>
    <t>Changing Gender in Twentieth-Century Writing</t>
  </si>
  <si>
    <t>Transgender and The Literary Imagination E-BOOK</t>
  </si>
  <si>
    <t>978-1-4744-1130-1</t>
  </si>
  <si>
    <t>Architecture and Landscape in Medieval Anatolia, 1100-1500</t>
  </si>
  <si>
    <t>Architecture and Landscape in Medieval Anatolia, 1100 E-BOOK</t>
  </si>
  <si>
    <t>Blessing, Patricia / Goshgarian, Rachel</t>
  </si>
  <si>
    <t>978-1-4744-4821-5</t>
  </si>
  <si>
    <t>The Interaction of Borrowing and Word Formation</t>
  </si>
  <si>
    <t>The Interaction of Borrowing and Word Formation E-BOOK</t>
  </si>
  <si>
    <t>ten Hacken, Pius / Panocová, Renáta</t>
  </si>
  <si>
    <t>978-1-4744-1710-5</t>
  </si>
  <si>
    <t>The Archaeology of Greece and Rome</t>
  </si>
  <si>
    <t>Studies in Honour of Anthony Snodgrass</t>
  </si>
  <si>
    <t>The Archaeology of Greece and Rome E-BOOK</t>
  </si>
  <si>
    <t>Bintliff, John / Rutter, Keith</t>
  </si>
  <si>
    <t>978-1-4744-6432-1</t>
  </si>
  <si>
    <t>The Common Ground: Essays by Gillian Beer</t>
  </si>
  <si>
    <t>Beer, Gillian</t>
  </si>
  <si>
    <t>978-1-4744-8043-7</t>
  </si>
  <si>
    <t>ReFocus</t>
  </si>
  <si>
    <t>The Films of Jocelyne Saab: Films, Artworks and Cultural Events for the Arab World</t>
  </si>
  <si>
    <t>ReFocus E-BOOK</t>
  </si>
  <si>
    <t>Van de Peer, Stefanie / Rouxel, Mathilde</t>
  </si>
  <si>
    <t>ReFocus: The International Directors Series</t>
  </si>
  <si>
    <t>978-1-4744-7444-3</t>
  </si>
  <si>
    <t>TESOL Teacher Education</t>
  </si>
  <si>
    <t>A Reflective Approach</t>
  </si>
  <si>
    <t>TESOL Teacher Education E-BOOK</t>
  </si>
  <si>
    <t>Farrell, Thomas</t>
  </si>
  <si>
    <t>Edinburgh Textbooks in TESOL</t>
  </si>
  <si>
    <t>978-1-4744-6607-3</t>
  </si>
  <si>
    <t>Flora of Turkey, Volume 2</t>
  </si>
  <si>
    <t>Flora of Turkey, Volume 2 E-BOOK</t>
  </si>
  <si>
    <t>Davis, Peter</t>
  </si>
  <si>
    <t>Flora of Turkey</t>
  </si>
  <si>
    <t>SCI011000 SCIENCE / Life Sciences / Botany</t>
  </si>
  <si>
    <t>978-0-7486-9603-1</t>
  </si>
  <si>
    <t>Slow Cinema</t>
  </si>
  <si>
    <t>Slow Cinema E-BOOK</t>
  </si>
  <si>
    <t>de Luca, Tiago / Barradas Jorge, Nuno</t>
  </si>
  <si>
    <t>Edinburgh University Press Complete eBook-Package 2014-2015 | U Chicago P&amp;C UPL Single Titles 2024</t>
  </si>
  <si>
    <t>978-0-7486-2905-3</t>
  </si>
  <si>
    <t>Roman Imperialism</t>
  </si>
  <si>
    <t>Roman Imperialism E-BOOK</t>
  </si>
  <si>
    <t>Erskine, Andrew</t>
  </si>
  <si>
    <t>Debates and Documents in Ancient History</t>
  </si>
  <si>
    <t>978-0-7486-7262-2</t>
  </si>
  <si>
    <t>Feminist Destinations and Further Essays on Virginia Woolf</t>
  </si>
  <si>
    <t>Feminist Destinations and Further Essays on Virginia  E-BOOK</t>
  </si>
  <si>
    <t>Bowlby, Rachel</t>
  </si>
  <si>
    <t>978-1-4744-4814-7</t>
  </si>
  <si>
    <t>Romantic Periodicals in the Twenty-First Century</t>
  </si>
  <si>
    <t>Eleven Case Studies from Blackwood's Edinburgh Magazine</t>
  </si>
  <si>
    <t>Romantic Periodicals in the Twenty-First Century E-BOOK</t>
  </si>
  <si>
    <t>Mason, Nicholas / Mole, Tom</t>
  </si>
  <si>
    <t>Edinburgh Critical Studies in Romanticism</t>
  </si>
  <si>
    <t>Antiques and Collectibles</t>
  </si>
  <si>
    <t>ANT023000 ANTIQUES &amp; COLLECTIBLES / Magazines &amp; Newspapers</t>
  </si>
  <si>
    <t>978-0-7486-6445-0</t>
  </si>
  <si>
    <t>Urban North-Eastern English</t>
  </si>
  <si>
    <t>Tyneside to Teesside</t>
  </si>
  <si>
    <t>Urban North-Eastern English E-BOOK</t>
  </si>
  <si>
    <t>Llamas, Carmen / Beal, Joan / Burbano Elizondo, Lourdes</t>
  </si>
  <si>
    <t>Dialects of English</t>
  </si>
  <si>
    <t>978-0-7486-3145-2</t>
  </si>
  <si>
    <t>Heidegger's Being and Time</t>
  </si>
  <si>
    <t>An Edinburgh Philosophical Guide</t>
  </si>
  <si>
    <t>Heidegger's Being and Time E-BOOK</t>
  </si>
  <si>
    <t>Large, William</t>
  </si>
  <si>
    <t>Edinburgh Philosophical Guides</t>
  </si>
  <si>
    <t>978-1-4744-0903-2</t>
  </si>
  <si>
    <t>The Psychoanalysis of Sense</t>
  </si>
  <si>
    <t>Deleuze and the Lacanian School</t>
  </si>
  <si>
    <t>The Psychoanalysis of Sense E-BOOK</t>
  </si>
  <si>
    <t>Collett, Guillaume</t>
  </si>
  <si>
    <t>978-0-7486-2643-4</t>
  </si>
  <si>
    <t>Ancient Tyranny</t>
  </si>
  <si>
    <t>Ancient Tyranny E-BOOK</t>
  </si>
  <si>
    <t>Lewis, Sian</t>
  </si>
  <si>
    <t>978-0-7486-7019-2</t>
  </si>
  <si>
    <t>The Edinburgh Companion to Sir Walter Scott</t>
  </si>
  <si>
    <t>The Edinburgh Companion to Sir Walter Scott E-BOOK</t>
  </si>
  <si>
    <t>Robertson, Fiona</t>
  </si>
  <si>
    <t>Edinburgh Companions to Scottish Literature</t>
  </si>
  <si>
    <t>978-1-4744-2355-7</t>
  </si>
  <si>
    <t>South Asian Atlantic Literature, 1970-2010</t>
  </si>
  <si>
    <t>South Asian Atlantic Literature, 1970-2010 E-BOOK</t>
  </si>
  <si>
    <t>Maxey, Ruth</t>
  </si>
  <si>
    <t>Edinburgh Studies in Transatlantic Literatures</t>
  </si>
  <si>
    <t>LCO004000 LITERARY COLLECTIONS / Asian / General</t>
  </si>
  <si>
    <t>978-1-4744-4766-9</t>
  </si>
  <si>
    <t>The Cinema of Mia Hansen-Løve</t>
  </si>
  <si>
    <t>Candour and Vulnerability</t>
  </si>
  <si>
    <t>The Cinema of Mia Hansen-Løve E-BOOK</t>
  </si>
  <si>
    <t>Ince, Kate</t>
  </si>
  <si>
    <t>Visionaries: Thinking Through Female Filmmakers</t>
  </si>
  <si>
    <t>PER018000 PERFORMING ARTS / Individual Director (see also BIOGRAPHY &amp; AUTOBIOGRAPHY / Entertainment &amp; Performing Arts)</t>
  </si>
  <si>
    <t>978-0-7486-4137-6</t>
  </si>
  <si>
    <t>Luck Egalitarianism</t>
  </si>
  <si>
    <t>Equality, Responsibility, and Justice</t>
  </si>
  <si>
    <t>Luck Egalitarianism E-BOOK</t>
  </si>
  <si>
    <t>Knight, Carl</t>
  </si>
  <si>
    <t>978-1-4744-0053-4</t>
  </si>
  <si>
    <t>Elements in Political Science</t>
  </si>
  <si>
    <t>Elements in Political Science E-BOOK</t>
  </si>
  <si>
    <t>Sheehan, Michael / Bealey, Frank / Chapman, Richard A.</t>
  </si>
  <si>
    <t>978-1-4744-4640-2</t>
  </si>
  <si>
    <t>Animal Worlds</t>
  </si>
  <si>
    <t>Film, Philosophy and Time</t>
  </si>
  <si>
    <t>Animal Worlds E-BOOK</t>
  </si>
  <si>
    <t>McMahon, Laura</t>
  </si>
  <si>
    <t>NAT001000 NATURE / Animals</t>
  </si>
  <si>
    <t>978-0-7486-2851-3</t>
  </si>
  <si>
    <t>Nationalism</t>
  </si>
  <si>
    <t>Theories and Cases</t>
  </si>
  <si>
    <t>Nationalism E-BOOK</t>
  </si>
  <si>
    <t>Harris, Erika</t>
  </si>
  <si>
    <t>978-1-4744-4526-9</t>
  </si>
  <si>
    <t>The Politics of Armenian Migration to North America, 1885-1915</t>
  </si>
  <si>
    <t>Sojourners, Smugglers and Dubious Citizens</t>
  </si>
  <si>
    <t>The Politics of Armenian Migration to North America,  E-BOOK</t>
  </si>
  <si>
    <t xml:space="preserve">Gutman, David </t>
  </si>
  <si>
    <t>Edinburgh Studies on the Ottoman Empire</t>
  </si>
  <si>
    <t>978-0-7486-4546-6</t>
  </si>
  <si>
    <t>Henry Miller and How He Got That Way</t>
  </si>
  <si>
    <t>Henry Miller and How He Got That Way E-BOOK</t>
  </si>
  <si>
    <t>Masuga, Katy</t>
  </si>
  <si>
    <t>978-1-4744-0750-2</t>
  </si>
  <si>
    <t>Nancy and Visual Culture</t>
  </si>
  <si>
    <t>Nancy and Visual Culture E-BOOK</t>
  </si>
  <si>
    <t>Giunta, Carrie / Janus, Adrienne</t>
  </si>
  <si>
    <t>Critical Connections</t>
  </si>
  <si>
    <t>978-1-4744-4749-2</t>
  </si>
  <si>
    <t>Secularism in the Arab World</t>
  </si>
  <si>
    <t>Contexts, Ideas and Consequences</t>
  </si>
  <si>
    <t>Secularism in the Arab World E-BOOK</t>
  </si>
  <si>
    <t>Effective Open Access 04.09.2024</t>
  </si>
  <si>
    <t>al-Azmeh, Aziz  / Bond, David</t>
  </si>
  <si>
    <t>In Translation: Modern Muslim Thinkers</t>
  </si>
  <si>
    <t>978-1-4744-7340-8</t>
  </si>
  <si>
    <t>Hegel</t>
  </si>
  <si>
    <t>The Logic of Self-Consciousness and the Legacy of Subjective Freedom</t>
  </si>
  <si>
    <t>Hegel E-BOOK</t>
  </si>
  <si>
    <t>Ware, Robert B.</t>
  </si>
  <si>
    <t>978-0-7486-7929-4</t>
  </si>
  <si>
    <t>Essays in Criminal Law in Honour of Sir Gerald Gordon</t>
  </si>
  <si>
    <t>Essays in Criminal Law in Honour of Sir Gerald Gordon E-BOOK</t>
  </si>
  <si>
    <t>Farmer, Lindsay / Chalmers, James / Leverick, Fiona</t>
  </si>
  <si>
    <t>LAW089000 LAW / Government / State, Provincial &amp; Municipal</t>
  </si>
  <si>
    <t>978-1-4744-2329-8</t>
  </si>
  <si>
    <t>The Edinburgh Companion to Political Realism</t>
  </si>
  <si>
    <t>The Edinburgh Companion to Political Realism E-BOOK</t>
  </si>
  <si>
    <t>Schuett, Robert / Hollingworth, Miles</t>
  </si>
  <si>
    <t>978-0-7486-2687-8</t>
  </si>
  <si>
    <t>Crimes of Loyalty</t>
  </si>
  <si>
    <t>A History of the UDA</t>
  </si>
  <si>
    <t>Crimes of Loyalty E-BOOK</t>
  </si>
  <si>
    <t>Wood, Ian S.</t>
  </si>
  <si>
    <t>978-1-4744-3609-0</t>
  </si>
  <si>
    <t>Local States in an Imperial World</t>
  </si>
  <si>
    <t>Identity, Society and Politics in the Early Modern Deccan</t>
  </si>
  <si>
    <t>Local States in an Imperial World E-BOOK</t>
  </si>
  <si>
    <t>Fischel, Roy S.</t>
  </si>
  <si>
    <t>978-1-4744-3105-7</t>
  </si>
  <si>
    <t>Byzantine Military Tactics in Syria and Mesopotamia in the Tenth Century</t>
  </si>
  <si>
    <t>A Comparative Study</t>
  </si>
  <si>
    <t>Byzantine Military Tactics in Syria and Mesopotamia i E-BOOK</t>
  </si>
  <si>
    <t>Theotokis, Georgios</t>
  </si>
  <si>
    <t>978-0-7486-3196-4</t>
  </si>
  <si>
    <t>Deleuze and Politics</t>
  </si>
  <si>
    <t>Deleuze and Politics E-BOOK</t>
  </si>
  <si>
    <t>Buchanan, Ian / Thoburn, Nicholas</t>
  </si>
  <si>
    <t>978-1-4744-2725-8</t>
  </si>
  <si>
    <t>Scotland's Muslims</t>
  </si>
  <si>
    <t>Society, Politics and Identity</t>
  </si>
  <si>
    <t>Scotland's Muslims E-BOOK</t>
  </si>
  <si>
    <t>Hopkins, Peter</t>
  </si>
  <si>
    <t>978-0-7486-3343-2</t>
  </si>
  <si>
    <t>Citizenship in Contemporary Europe</t>
  </si>
  <si>
    <t>Citizenship in Contemporary Europe E-BOOK</t>
  </si>
  <si>
    <t>Lister, Michael / Pia, Emily</t>
  </si>
  <si>
    <t>978-0-7486-9775-5</t>
  </si>
  <si>
    <t>Trusts and Patrimonies</t>
  </si>
  <si>
    <t>Trusts and Patrimonies E-BOOK</t>
  </si>
  <si>
    <t>Valsan, Remus</t>
  </si>
  <si>
    <t>978-0-7486-9137-1</t>
  </si>
  <si>
    <t>Materials Development for TESOL</t>
  </si>
  <si>
    <t>Materials Development for TESOL E-BOOK</t>
  </si>
  <si>
    <t>Mishan, Freda / Timmis, Ivor</t>
  </si>
  <si>
    <t>978-1-4744-4686-0</t>
  </si>
  <si>
    <t>Land Reform in Scotland</t>
  </si>
  <si>
    <t>History, Law and Policy</t>
  </si>
  <si>
    <t>Land Reform in Scotland E-BOOK</t>
  </si>
  <si>
    <t>Glass, Jayne / Tindley, Annie / Combe, Malcolm</t>
  </si>
  <si>
    <t>Scotland's Land</t>
  </si>
  <si>
    <t>978-1-4744-5495-7</t>
  </si>
  <si>
    <t>Obama's Fractured Legacy</t>
  </si>
  <si>
    <t>The Politics and Policies of an Embattled Presidency</t>
  </si>
  <si>
    <t>Obama's Fractured Legacy E-BOOK</t>
  </si>
  <si>
    <t>Vergniolle de Chantal, François</t>
  </si>
  <si>
    <t>New Perspectives on the American Presidency</t>
  </si>
  <si>
    <t>978-0-7486-4329-5</t>
  </si>
  <si>
    <t>The Persistence of the Negative</t>
  </si>
  <si>
    <t>A Critique of Contemporary Continental Theory</t>
  </si>
  <si>
    <t>The Persistence of the Negative E-BOOK</t>
  </si>
  <si>
    <t>Noys, Benjamin</t>
  </si>
  <si>
    <t>978-0-7486-5623-3</t>
  </si>
  <si>
    <t>The Post-Romantic Predicament</t>
  </si>
  <si>
    <t>The Post-Romantic Predicament E-BOOK</t>
  </si>
  <si>
    <t>de Man, Paul / McQuillan, Martin</t>
  </si>
  <si>
    <t>The Frontiers of Theory</t>
  </si>
  <si>
    <t>978-0-7486-4911-2</t>
  </si>
  <si>
    <t>Astronomy and Astrology in the Islamic World</t>
  </si>
  <si>
    <t>Astronomy and Astrology in the Islamic World E-BOOK</t>
  </si>
  <si>
    <t>Blake, Stephen</t>
  </si>
  <si>
    <t>978-0-7486-3006-6</t>
  </si>
  <si>
    <t>Aesthetics A–Z</t>
  </si>
  <si>
    <t>Aesthetics A–Z E-BOOK</t>
  </si>
  <si>
    <t>Guter, Eran</t>
  </si>
  <si>
    <t>978-0-7486-4519-0</t>
  </si>
  <si>
    <t>Classroom Discourse and Teacher Development</t>
  </si>
  <si>
    <t>Classroom Discourse and Teacher Development E-BOOK</t>
  </si>
  <si>
    <t>Walsh, Steve</t>
  </si>
  <si>
    <t>Edinburgh Textbooks in Applied Linguistics</t>
  </si>
  <si>
    <t>EDU029050 EDUCATION / Teaching Methods &amp; Materials / Arts &amp; Humanities</t>
  </si>
  <si>
    <t>978-1-4744-2954-2</t>
  </si>
  <si>
    <t>Mallarmé and the Politics of Literature</t>
  </si>
  <si>
    <t>Sartre, Kristeva, Badiou, Rancière</t>
  </si>
  <si>
    <t>Mallarmé and the Politics of Literature E-BOOK</t>
  </si>
  <si>
    <t>Boncardo, Robert</t>
  </si>
  <si>
    <t>Crosscurrents</t>
  </si>
  <si>
    <t>978-1-4744-6230-3</t>
  </si>
  <si>
    <t>The Spiritual Vernacular of the Early Ottoman Frontier</t>
  </si>
  <si>
    <t>The Yazıcıoğlu Family</t>
  </si>
  <si>
    <t>The Spiritual Vernacular of the Early Ottoman Frontie E-BOOK</t>
  </si>
  <si>
    <t>Grenier, Carlos</t>
  </si>
  <si>
    <t>978-0-7486-4506-0</t>
  </si>
  <si>
    <t>Legal, Regulatory and Governance Issues in Islamic Finance</t>
  </si>
  <si>
    <t>Legal, Regulatory and Governance Issues in Islamic Fi E-BOOK</t>
  </si>
  <si>
    <t>978-0-7486-2895-7</t>
  </si>
  <si>
    <t>American Culture in the 1980s</t>
  </si>
  <si>
    <t>American Culture in the 1980s E-BOOK</t>
  </si>
  <si>
    <t>Thompson, Graham</t>
  </si>
  <si>
    <t>978-1-4744-7026-1</t>
  </si>
  <si>
    <t>Cultural Authority in the Age of Whitman</t>
  </si>
  <si>
    <t>A Transatlantic Perspective</t>
  </si>
  <si>
    <t>Cultural Authority in the Age of Whitman E-BOOK</t>
  </si>
  <si>
    <t>Leypoldt, Günter</t>
  </si>
  <si>
    <t>978-0-7486-2820-9</t>
  </si>
  <si>
    <t>From Caledonia to Pictland</t>
  </si>
  <si>
    <t>Scotland to 795</t>
  </si>
  <si>
    <t>From Caledonia to Pictland E-BOOK</t>
  </si>
  <si>
    <t>Fraser, James E.</t>
  </si>
  <si>
    <t>New Edinburgh History of Scotland</t>
  </si>
  <si>
    <t>978-0-7486-2626-7</t>
  </si>
  <si>
    <t>Traditions in World Cinema E-BOOK</t>
  </si>
  <si>
    <t>Schneider, Steven Jay / Badley, Linda / Palmer, R. Barton</t>
  </si>
  <si>
    <t>978-0-7486-3019-6</t>
  </si>
  <si>
    <t>A Glossary of Historical Linguistics</t>
  </si>
  <si>
    <t>A Glossary of Historical Linguistics E-BOOK</t>
  </si>
  <si>
    <t>Campbell, Lyle / Mixco, Mauricio J.</t>
  </si>
  <si>
    <t>Glossaries in Linguistics</t>
  </si>
  <si>
    <t>978-1-4744-6816-9</t>
  </si>
  <si>
    <t>Get Set for Politics</t>
  </si>
  <si>
    <t>Get Set for Politics E-BOOK</t>
  </si>
  <si>
    <t>Thomson, Alex / Faulks, Keith / Phillips, Ken</t>
  </si>
  <si>
    <t>978-0-7486-2719-6</t>
  </si>
  <si>
    <t>Deleuze and Philosophy</t>
  </si>
  <si>
    <t>Deleuze and Philosophy E-BOOK</t>
  </si>
  <si>
    <t>Boundas, Constantin V.</t>
  </si>
  <si>
    <t>978-0-7486-4556-5</t>
  </si>
  <si>
    <t>Plutarch and the Persica</t>
  </si>
  <si>
    <t>Plutarch and the Persica E-BOOK</t>
  </si>
  <si>
    <t>Almagor, Eran</t>
  </si>
  <si>
    <t>Edinburgh Studies in Ancient Persia</t>
  </si>
  <si>
    <t>978-0-7486-3241-1</t>
  </si>
  <si>
    <t>9/11 and the War on Terror</t>
  </si>
  <si>
    <t>9/11 and the War on Terror E-BOOK</t>
  </si>
  <si>
    <t>Holloway, David</t>
  </si>
  <si>
    <t>Representing American Events</t>
  </si>
  <si>
    <t>978-0-7486-4611-1</t>
  </si>
  <si>
    <t>The Life of William Robertson</t>
  </si>
  <si>
    <t>Minister, Historian, and Principal</t>
  </si>
  <si>
    <t>The Life of William Robertson E-BOOK</t>
  </si>
  <si>
    <t>Smitten, Jeffrey R.</t>
  </si>
  <si>
    <t>BIO009000 BIOGRAPHY &amp; AUTOBIOGRAPHY / Philosophers</t>
  </si>
  <si>
    <t>978-1-4744-7332-3</t>
  </si>
  <si>
    <t>A Glossary of Sociolinguistics</t>
  </si>
  <si>
    <t>A Glossary of Sociolinguistics E-BOOK</t>
  </si>
  <si>
    <t>LAN021000 LANGUAGE ARTS &amp; DISCIPLINES / Vocabulary</t>
  </si>
  <si>
    <t>978-0-585-12406-3</t>
  </si>
  <si>
    <t>Towards a Postmodern Theory of Narrative</t>
  </si>
  <si>
    <t>Towards a Postmodern Theory of Narrative E-BOOK</t>
  </si>
  <si>
    <t>Postmodern Theory</t>
  </si>
  <si>
    <t>978-0-7486-2927-5</t>
  </si>
  <si>
    <t>Islamic Philosophy A–Z</t>
  </si>
  <si>
    <t>Islamic Philosophy A–Z E-BOOK</t>
  </si>
  <si>
    <t>Groff, Peter</t>
  </si>
  <si>
    <t>978-0-7486-9858-5</t>
  </si>
  <si>
    <t>The Bride of Lammermoor</t>
  </si>
  <si>
    <t>The Bride of Lammermoor E-BOOK</t>
  </si>
  <si>
    <t>Scott, Walter / Alexander, J. H.</t>
  </si>
  <si>
    <t>Edinburgh Edition of the Waverley Novels</t>
  </si>
  <si>
    <t>978-1-4744-2162-1</t>
  </si>
  <si>
    <t>Moving Figures</t>
  </si>
  <si>
    <t>Class and Feeling in the Films of Jia Zhangke</t>
  </si>
  <si>
    <t>Moving Figures E-BOOK</t>
  </si>
  <si>
    <t>Schultz, Corey Kai Nelson</t>
  </si>
  <si>
    <t>978-0-7486-2872-8</t>
  </si>
  <si>
    <t>British Children's Fiction in the Second World War</t>
  </si>
  <si>
    <t>British Children's Fiction in the Second World War E-BOOK</t>
  </si>
  <si>
    <t>Edwards, Owen Dudley</t>
  </si>
  <si>
    <t>World War II</t>
  </si>
  <si>
    <t>HIS027100 HISTORY / Military / World War II</t>
  </si>
  <si>
    <t>978-1-4744-1064-9</t>
  </si>
  <si>
    <t>Intermedial Dialogues</t>
  </si>
  <si>
    <t>The French New Wave and the Other Arts</t>
  </si>
  <si>
    <t>Intermedial Dialogues E-BOOK</t>
  </si>
  <si>
    <t>Schmid, Marion</t>
  </si>
  <si>
    <t>Edinburgh Studies in Film and Intermediality</t>
  </si>
  <si>
    <t>978-1-4744-1360-2</t>
  </si>
  <si>
    <t>Writing the Radio War</t>
  </si>
  <si>
    <t>Literature, Politics, and the BBC, 1939-1945</t>
  </si>
  <si>
    <t>Writing the Radio War E-BOOK</t>
  </si>
  <si>
    <t>Whittington, Ian</t>
  </si>
  <si>
    <t>Edinburgh Critical Studies in War and Culture</t>
  </si>
  <si>
    <t>978-0-7486-4541-1</t>
  </si>
  <si>
    <t>The Edinburgh Companion to Scottish Traditional Literatures</t>
  </si>
  <si>
    <t>The Edinburgh Companion to Scottish Traditional Liter E-BOOK</t>
  </si>
  <si>
    <t>Gilbert, Suzanne / Dunnigan, Sarah</t>
  </si>
  <si>
    <t>978-1-4744-6854-1</t>
  </si>
  <si>
    <t>Sex and Difference in Ancient Greece and Rome</t>
  </si>
  <si>
    <t>Sex and Difference in Ancient Greece and Rome E-BOOK</t>
  </si>
  <si>
    <t>Golden, Mark / Toohey, Peter</t>
  </si>
  <si>
    <t>Edinburgh Readings on the Ancient World</t>
  </si>
  <si>
    <t>978-0-7486-9725-0</t>
  </si>
  <si>
    <t>Lyotard and the Inhuman Condition</t>
  </si>
  <si>
    <t>Reflections on Nihilism, Information and Art</t>
  </si>
  <si>
    <t>Lyotard and the Inhuman Condition E-BOOK</t>
  </si>
  <si>
    <t>Technicities</t>
  </si>
  <si>
    <t>978-1-4744-4290-9</t>
  </si>
  <si>
    <t>Zoroastrian Scholasticism in Late Antiquity</t>
  </si>
  <si>
    <t>The Pahlavi version of the Yasna Haptaŋhāiti</t>
  </si>
  <si>
    <t>Zoroastrian Scholasticism in Late Antiquity E-BOOK</t>
  </si>
  <si>
    <t>Zeini, Arash</t>
  </si>
  <si>
    <t>978-1-4744-1392-3</t>
  </si>
  <si>
    <t>Return Statements</t>
  </si>
  <si>
    <t>The Return of Religion in Contemporary Philosophy</t>
  </si>
  <si>
    <t>Return Statements E-BOOK</t>
  </si>
  <si>
    <t>Lambert, Gregg</t>
  </si>
  <si>
    <t>978-1-4744-1439-5</t>
  </si>
  <si>
    <t>Deleuze and Baudrillard</t>
  </si>
  <si>
    <t>From Cyberpunk to Biopunk</t>
  </si>
  <si>
    <t>Deleuze and Baudrillard E-BOOK</t>
  </si>
  <si>
    <t>McQueen, Sean</t>
  </si>
  <si>
    <t>978-0-7486-2903-9</t>
  </si>
  <si>
    <t>American Culture in the 1960s</t>
  </si>
  <si>
    <t>American Culture in the 1960s E-BOOK</t>
  </si>
  <si>
    <t>Monteith, Sharon</t>
  </si>
  <si>
    <t>978-1-4744-6981-4</t>
  </si>
  <si>
    <t>Cities as Built and Lived Environments</t>
  </si>
  <si>
    <t>Scholarship from Muslim Contexts, 1875 to 2011</t>
  </si>
  <si>
    <t>Cities as Built and Lived Environments E-BOOK</t>
  </si>
  <si>
    <t>978-1-4744-7076-6</t>
  </si>
  <si>
    <t>Deleuze, Cinema and National Identity</t>
  </si>
  <si>
    <t>Narrative Time in National Contexts</t>
  </si>
  <si>
    <t>Deleuze, Cinema and National Identity E-BOOK</t>
  </si>
  <si>
    <t>978-1-4744-7082-7</t>
  </si>
  <si>
    <t>Asante Identities</t>
  </si>
  <si>
    <t>History and Modernity in an African Village, 1850-1950</t>
  </si>
  <si>
    <t>Asante Identities E-BOOK</t>
  </si>
  <si>
    <t>McCaskie, T.C.</t>
  </si>
  <si>
    <t>978-1-4744-4169-8</t>
  </si>
  <si>
    <t>Dialectics of Improvement</t>
  </si>
  <si>
    <t>Scottish Romanticism, 1786-1831</t>
  </si>
  <si>
    <t>Dialectics of Improvement E-BOOK</t>
  </si>
  <si>
    <t>McKeever, Gerard Lee</t>
  </si>
  <si>
    <t>978-1-4744-0102-9</t>
  </si>
  <si>
    <t>Sasanian Persia</t>
  </si>
  <si>
    <t>Between Rome and the Steppes of Eurasia</t>
  </si>
  <si>
    <t>Sasanian Persia E-BOOK</t>
  </si>
  <si>
    <t>Sauer, Eberhard</t>
  </si>
  <si>
    <t>978-0-7486-2645-8</t>
  </si>
  <si>
    <t>Get Set for Computer Science</t>
  </si>
  <si>
    <t>Get Set for Computer Science E-BOOK</t>
  </si>
  <si>
    <t>Edwards, Alistair</t>
  </si>
  <si>
    <t>Computer Sciences, other</t>
  </si>
  <si>
    <t>COM014000 COMPUTERS / Computer Science</t>
  </si>
  <si>
    <t>978-1-4744-0374-0</t>
  </si>
  <si>
    <t>The Contemporary British Novel Since 2000</t>
  </si>
  <si>
    <t>The Contemporary British Novel Since 2000 E-BOOK</t>
  </si>
  <si>
    <t>Acheson, James</t>
  </si>
  <si>
    <t>Edinburgh University Press Complete eBook-Package 2017 | U Chicago P&amp;C UPL Single Titles 2024</t>
  </si>
  <si>
    <t>978-1-4744-1980-2</t>
  </si>
  <si>
    <t>Human Rights and Community-led Development</t>
  </si>
  <si>
    <t>Lessons from Tostan</t>
  </si>
  <si>
    <t>Human Rights and Community-led Development E-BOOK</t>
  </si>
  <si>
    <t>Cislaghi, Ben</t>
  </si>
  <si>
    <t>Studies in Global Justice and Human Rights</t>
  </si>
  <si>
    <t>978-1-4744-0228-6</t>
  </si>
  <si>
    <t>Islamic Thought in China</t>
  </si>
  <si>
    <t>Sino-Muslim Intellectual Evolution from the 17th to the 21st Century</t>
  </si>
  <si>
    <t>Islamic Thought in China E-BOOK</t>
  </si>
  <si>
    <t>Lipman, Jonathan</t>
  </si>
  <si>
    <t>978-1-4744-4530-6</t>
  </si>
  <si>
    <t>Critiquing Sovereign Violence</t>
  </si>
  <si>
    <t>Law, Biopolitics and Bio-Juridicalism</t>
  </si>
  <si>
    <t>Critiquing Sovereign Violence E-BOOK</t>
  </si>
  <si>
    <t>978-0-7486-4395-0</t>
  </si>
  <si>
    <t>Agamben and Colonialism</t>
  </si>
  <si>
    <t>Agamben and Colonialism E-BOOK</t>
  </si>
  <si>
    <t>Svirsky, Marcelo / Bignall, Simone</t>
  </si>
  <si>
    <t>978-0-7486-9368-9</t>
  </si>
  <si>
    <t>Visual Art and Self-Construction</t>
  </si>
  <si>
    <t>Visual Art and Self-Construction E-BOOK</t>
  </si>
  <si>
    <t>Mitcheson, Katrina</t>
  </si>
  <si>
    <t>978-1-4744-6802-2</t>
  </si>
  <si>
    <t>Slave Trade and the Economic Development of 18th-Century Lancaster</t>
  </si>
  <si>
    <t>Slave Trade and the Economic Development of 18th-Cent E-BOOK</t>
  </si>
  <si>
    <t>Elder, Melinda</t>
  </si>
  <si>
    <t>978-1-4744-7296-8</t>
  </si>
  <si>
    <t>A Dictionary of Sociolinguistics</t>
  </si>
  <si>
    <t>A Dictionary of Sociolinguistics E-BOOK</t>
  </si>
  <si>
    <t>Swann, Joan / Lillis, Theresa / Deumert, Ana</t>
  </si>
  <si>
    <t>978-0-7486-3781-2</t>
  </si>
  <si>
    <t>John Keats and the Ideas of the Enlightenment</t>
  </si>
  <si>
    <t>John Keats and the Ideas of the Enlightenment E-BOOK</t>
  </si>
  <si>
    <t>Fermanis, Porscha</t>
  </si>
  <si>
    <t>978-0-7486-2653-3</t>
  </si>
  <si>
    <t>Discourse and Identity</t>
  </si>
  <si>
    <t>Discourse and Identity E-BOOK</t>
  </si>
  <si>
    <t>Benwell, Bethan / Stokoe, Elizabeth</t>
  </si>
  <si>
    <t>978-1-4744-4756-0</t>
  </si>
  <si>
    <t>Rhythm and Critique</t>
  </si>
  <si>
    <t>Technics, Modalities, Practices</t>
  </si>
  <si>
    <t>Rhythm and Critique E-BOOK</t>
  </si>
  <si>
    <t>Crespi, Paola / Manghani, Sunil</t>
  </si>
  <si>
    <t>Theory and Methods</t>
  </si>
  <si>
    <t>MUS054000 MUSIC / Philosophy &amp; Social Aspects</t>
  </si>
  <si>
    <t>Edinburgh University Press Complete eBook-Package 2020 | Montana State Music Collection P&amp;C Titles</t>
  </si>
  <si>
    <t>978-1-4744-6797-1</t>
  </si>
  <si>
    <t>Black Writers in Britain 1760-1890</t>
  </si>
  <si>
    <t>Black Writers in Britain 1760-1890 E-BOOK</t>
  </si>
  <si>
    <t>Edwards, Paul / Dabydeen, David</t>
  </si>
  <si>
    <t>Early Black Writers</t>
  </si>
  <si>
    <t>978-0-7486-4358-5</t>
  </si>
  <si>
    <t>Burns and Other Poets</t>
  </si>
  <si>
    <t>Burns and Other Poets E-BOOK</t>
  </si>
  <si>
    <t>Sergeant, David / Stafford, Fiona</t>
  </si>
  <si>
    <t>978-1-4744-4151-3</t>
  </si>
  <si>
    <t>Reading Machines in the Modernist Transatlantic</t>
  </si>
  <si>
    <t>Avant-Gardes, Technology and the Everyday</t>
  </si>
  <si>
    <t>Reading Machines in the Modernist Transatlantic E-BOOK</t>
  </si>
  <si>
    <t>White, Eric</t>
  </si>
  <si>
    <t>978-0-7486-9552-2</t>
  </si>
  <si>
    <t>French and Russian in Imperial Russia</t>
  </si>
  <si>
    <t>Language Use among the Russian Elite</t>
  </si>
  <si>
    <t>French and Russian in Imperial Russia E-BOOK</t>
  </si>
  <si>
    <t>Offord, Derek / Rjeoutski, Vladislav / Ryazanova-Clarke, Lara</t>
  </si>
  <si>
    <t>Russian Language and Society</t>
  </si>
  <si>
    <t>978-1-4744-7083-4</t>
  </si>
  <si>
    <t>Scottish Local Government</t>
  </si>
  <si>
    <t>Scottish Local Government E-BOOK</t>
  </si>
  <si>
    <t>McConnell, Allan</t>
  </si>
  <si>
    <t>978-0-7486-5084-2</t>
  </si>
  <si>
    <t>Drama, Disaster and Disgrace in Late Victorian Britain</t>
  </si>
  <si>
    <t>1895 E-BOOK</t>
  </si>
  <si>
    <t>Freeman, Nicholas</t>
  </si>
  <si>
    <t>978-1-4744-4588-7</t>
  </si>
  <si>
    <t>Modelling World Englishes</t>
  </si>
  <si>
    <t>A Joint Approach to Postcolonial and Non-Postcolonial Varieties</t>
  </si>
  <si>
    <t>Modelling World Englishes E-BOOK</t>
  </si>
  <si>
    <t>Buschfeld, Sarah / Kautzsch, Alexander</t>
  </si>
  <si>
    <t>978-1-4744-5409-4</t>
  </si>
  <si>
    <t>Patrick Geddes’s Intellectual Origins</t>
  </si>
  <si>
    <t>Patrick Geddes’s Intellectual Origins E-BOOK</t>
  </si>
  <si>
    <t>Macdonald, Murdo</t>
  </si>
  <si>
    <t>978-1-4744-1719-8</t>
  </si>
  <si>
    <t>The Qur'an and the Just Society</t>
  </si>
  <si>
    <t>The Qur'an and the Just Society E-BOOK</t>
  </si>
  <si>
    <t>Harvey, Ramon / Haleem, M.A.S. Abdel</t>
  </si>
  <si>
    <t>978-1-4744-2283-3</t>
  </si>
  <si>
    <t>Irigaray and Politics</t>
  </si>
  <si>
    <t>Irigaray and Politics E-BOOK</t>
  </si>
  <si>
    <t>Roberts, Laura</t>
  </si>
  <si>
    <t>Thinking Politics</t>
  </si>
  <si>
    <t>978-1-4744-3304-4</t>
  </si>
  <si>
    <t>The Abbot</t>
  </si>
  <si>
    <t>The Abbot E-BOOK</t>
  </si>
  <si>
    <t>Scott, Walter</t>
  </si>
  <si>
    <t>978-0-7486-7277-6</t>
  </si>
  <si>
    <t>Literary Theories</t>
  </si>
  <si>
    <t>Literary Theories E-BOOK</t>
  </si>
  <si>
    <t>978-0-7486-3252-7</t>
  </si>
  <si>
    <t>The Cinema of Basil Dearden and Michael Relph</t>
  </si>
  <si>
    <t>The Cinema of Basil Dearden and Michael Relph E-BOOK</t>
  </si>
  <si>
    <t>Burton, Alan / O'Sullivan, Tim</t>
  </si>
  <si>
    <t>978-0-7486-2835-3</t>
  </si>
  <si>
    <t>Castle Dangerous</t>
  </si>
  <si>
    <t>Castle Dangerous E-BOOK</t>
  </si>
  <si>
    <t>978-0-7486-9999-5</t>
  </si>
  <si>
    <t>The Spiritual Jurisdiction in Reformation Scotland</t>
  </si>
  <si>
    <t>A Legal History</t>
  </si>
  <si>
    <t>The Spiritual Jurisdiction in Reformation Scotland E-BOOK</t>
  </si>
  <si>
    <t>Green, Thomas</t>
  </si>
  <si>
    <t>978-0-7486-2977-0</t>
  </si>
  <si>
    <t>American Culture in the 1930s</t>
  </si>
  <si>
    <t>American Culture in the 1930s E-BOOK</t>
  </si>
  <si>
    <t>Eldridge, David</t>
  </si>
  <si>
    <t>978-0-7486-4321-9</t>
  </si>
  <si>
    <t>Post-Classical Hollywood</t>
  </si>
  <si>
    <t>Film Industry, Style and Ideology since 1945</t>
  </si>
  <si>
    <t>Post-Classical Hollywood E-BOOK</t>
  </si>
  <si>
    <t>978-1-4744-0962-9</t>
  </si>
  <si>
    <t>Research Methods for Reading Digital Data in the Digital Humanities</t>
  </si>
  <si>
    <t>Research Methods for Reading Digital Data in the Digi E-BOOK</t>
  </si>
  <si>
    <t>Griffin, Gabriele / Hayler, Matt</t>
  </si>
  <si>
    <t>Research Methods for the Arts and Humanities</t>
  </si>
  <si>
    <t>978-1-4744-3101-9</t>
  </si>
  <si>
    <t>Nineteenth Century Local Governance in Ottoman Bulgaria</t>
  </si>
  <si>
    <t>Politics in Provincial Councils</t>
  </si>
  <si>
    <t>Nineteenth Century Local Governance in Ottoman Bulgar E-BOOK</t>
  </si>
  <si>
    <t>Saracoglu, M. Safa</t>
  </si>
  <si>
    <t>978-1-4744-7272-2</t>
  </si>
  <si>
    <t>People and Woods in Scotland</t>
  </si>
  <si>
    <t>People and Woods in Scotland E-BOOK</t>
  </si>
  <si>
    <t>978-0-7486-4897-9</t>
  </si>
  <si>
    <t>Islamic and Ethical Finance in the United Kingdom</t>
  </si>
  <si>
    <t>Islamic and Ethical Finance in the United Kingdom E-BOOK</t>
  </si>
  <si>
    <t>Housby, Elaine</t>
  </si>
  <si>
    <t>Business Ethics</t>
  </si>
  <si>
    <t>BUS008000 BUSINESS &amp; ECONOMICS / Business Ethics</t>
  </si>
  <si>
    <t>978-1-4744-7034-6</t>
  </si>
  <si>
    <t>James Benning's Environments</t>
  </si>
  <si>
    <t>Politics, Ecology, Duration</t>
  </si>
  <si>
    <t>James Benning's Environments E-BOOK</t>
  </si>
  <si>
    <t>Lübecker, Nikolaj / Rugo, Daniele</t>
  </si>
  <si>
    <t>978-0-7486-2933-6</t>
  </si>
  <si>
    <t>Diaspora Criticism</t>
  </si>
  <si>
    <t>Diaspora Criticism E-BOOK</t>
  </si>
  <si>
    <t>Mishra, Sudesh</t>
  </si>
  <si>
    <t>978-0-7486-4674-6</t>
  </si>
  <si>
    <t>Charleston and Monk's House</t>
  </si>
  <si>
    <t>The Intimate House Museums of Virginia Woolf and Vanessa Bell</t>
  </si>
  <si>
    <t>Charleston and Monk's House E-BOOK</t>
  </si>
  <si>
    <t>Hancock, Nuala</t>
  </si>
  <si>
    <t>978-0-7486-9174-6</t>
  </si>
  <si>
    <t>Religion and Politics</t>
  </si>
  <si>
    <t>European and Global Perspectives</t>
  </si>
  <si>
    <t>Religion and Politics E-BOOK</t>
  </si>
  <si>
    <t>Arnason, Johann P. / Karolewski, Ireneusz Pawel</t>
  </si>
  <si>
    <t>Annual of European and Global Studies</t>
  </si>
  <si>
    <t>978-1-4744-7440-5</t>
  </si>
  <si>
    <t>The Auditory Setting</t>
  </si>
  <si>
    <t>Environmental Sounds in Film and Media Arts</t>
  </si>
  <si>
    <t>The Auditory Setting E-BOOK</t>
  </si>
  <si>
    <t>Chattopadhyay, Budhaditya</t>
  </si>
  <si>
    <t>Music and the Moving Image</t>
  </si>
  <si>
    <t>MUS020000 MUSIC / History &amp; Criticism</t>
  </si>
  <si>
    <t>EBOOK PACKAGE COMPLETE 2021 | EBOOK PACKAGE COMPLETE 2021 English | EBOOK PACKAGE Literary, Cultural, Area Studies 2021 | EBOOK PACKAGE Literary, Cultural, Area Studies 2021 English | Edinburgh University Press Complete eBook-Package 2021 | Montana State Music Collection P&amp;C Titles</t>
  </si>
  <si>
    <t>978-0-7486-2934-3</t>
  </si>
  <si>
    <t>Early Rome to 290 BC</t>
  </si>
  <si>
    <t>The Beginnings of the City and the Rise of the Republic</t>
  </si>
  <si>
    <t>Early Rome to 290 BC E-BOOK</t>
  </si>
  <si>
    <t>Bradley, Guy</t>
  </si>
  <si>
    <t>The Edinburgh History of Ancient Rome</t>
  </si>
  <si>
    <t>978-1-4744-7211-1</t>
  </si>
  <si>
    <t>Get Set for English Language</t>
  </si>
  <si>
    <t>Get Set for English Language E-BOOK</t>
  </si>
  <si>
    <t>Robinson, Christine</t>
  </si>
  <si>
    <t>978-0-7486-4489-6</t>
  </si>
  <si>
    <t>The Edinburgh History of the Greeks, c. 500 to 1050</t>
  </si>
  <si>
    <t>The Early Middle Ages</t>
  </si>
  <si>
    <t>The Edinburgh History of the Greeks, c. 500 to 1050 E-BOOK</t>
  </si>
  <si>
    <t>Curta, Florin</t>
  </si>
  <si>
    <t>The Edinburgh History of the Greeks</t>
  </si>
  <si>
    <t>978-1-4744-6614-1</t>
  </si>
  <si>
    <t>Flora of Turkey, Volume 9</t>
  </si>
  <si>
    <t>Flora of Turkey, Volume 9 E-BOOK</t>
  </si>
  <si>
    <t>978-1-4744-2814-9</t>
  </si>
  <si>
    <t>Thomas Reid on the Animate Creation</t>
  </si>
  <si>
    <t>Papers Relating to the Life Sciences</t>
  </si>
  <si>
    <t>Thomas Reid on the Animate Creation E-BOOK</t>
  </si>
  <si>
    <t>978-1-4744-0230-9</t>
  </si>
  <si>
    <t>Viking Law and Order</t>
  </si>
  <si>
    <t>Places and Rituals of Assembly in the Medieval North</t>
  </si>
  <si>
    <t>Viking Law and Order E-BOOK</t>
  </si>
  <si>
    <t>Sanmark, Alexandra</t>
  </si>
  <si>
    <t>978-1-4744-3689-2</t>
  </si>
  <si>
    <t>Tennyson Echoing Wordsworth</t>
  </si>
  <si>
    <t>Tennyson Echoing Wordsworth E-BOOK</t>
  </si>
  <si>
    <t>Thomas, Jayne</t>
  </si>
  <si>
    <t>978-0-7486-2948-0</t>
  </si>
  <si>
    <t>Dissenting Histories</t>
  </si>
  <si>
    <t>Religious Division and the Politics of Memory in Eighteenth-Century England</t>
  </si>
  <si>
    <t>Dissenting Histories E-BOOK</t>
  </si>
  <si>
    <t>Seed, John</t>
  </si>
  <si>
    <t>978-1-4744-7060-5</t>
  </si>
  <si>
    <t>Money Laundering</t>
  </si>
  <si>
    <t>Hume Papers on Public Policy 1.2</t>
  </si>
  <si>
    <t>Money Laundering E-BOOK</t>
  </si>
  <si>
    <t>MacQueen, Hector</t>
  </si>
  <si>
    <t>978-1-4744-6569-4</t>
  </si>
  <si>
    <t>Industry and Ethos</t>
  </si>
  <si>
    <t>Scotland 1832-1914</t>
  </si>
  <si>
    <t>Industry and Ethos E-BOOK</t>
  </si>
  <si>
    <t>Checkland, Olive / Checkland, Sydney</t>
  </si>
  <si>
    <t>New History of Scotland</t>
  </si>
  <si>
    <t>978-0-7486-4230-4</t>
  </si>
  <si>
    <t>Romantics and Modernists in British Cinema</t>
  </si>
  <si>
    <t>Romantics and Modernists in British Cinema E-BOOK</t>
  </si>
  <si>
    <t>978-0-7486-4724-8</t>
  </si>
  <si>
    <t>Greek Perspectives on the Achaemenid Empire</t>
  </si>
  <si>
    <t>Persia Through the Looking Glass</t>
  </si>
  <si>
    <t>Greek Perspectives on the Achaemenid Empire E-BOOK</t>
  </si>
  <si>
    <t>Morgan, Janett</t>
  </si>
  <si>
    <t>978-1-4744-3909-1</t>
  </si>
  <si>
    <t>Deleuze and Anarchism</t>
  </si>
  <si>
    <t>Deleuze and Anarchism E-BOOK</t>
  </si>
  <si>
    <t>Gray Van Heerden, Chantelle / Eloff, Aragorn</t>
  </si>
  <si>
    <t>978-1-4744-2988-7</t>
  </si>
  <si>
    <t>Walter Scott at 250</t>
  </si>
  <si>
    <t>Looking Forward</t>
  </si>
  <si>
    <t>Walter Scott at 250 E-BOOK</t>
  </si>
  <si>
    <t>McCracken-Flesher, Caroline / Wickman, Matthew</t>
  </si>
  <si>
    <t>978-0-7486-2944-2</t>
  </si>
  <si>
    <t>The American Western</t>
  </si>
  <si>
    <t>The American Western E-BOOK</t>
  </si>
  <si>
    <t>McVeigh, Stephen</t>
  </si>
  <si>
    <t>978-1-4744-0696-3</t>
  </si>
  <si>
    <t>Dickens's Clowns</t>
  </si>
  <si>
    <t>Charles Dickens, Joseph Grimaldi and the Pantomime of Life</t>
  </si>
  <si>
    <t>Dickens's Clowns E-BOOK</t>
  </si>
  <si>
    <t>Buckmaster, Jonathan</t>
  </si>
  <si>
    <t>978-0-7486-2911-4</t>
  </si>
  <si>
    <t>The Muslims of Medieval Italy</t>
  </si>
  <si>
    <t>The Muslims of Medieval Italy E-BOOK</t>
  </si>
  <si>
    <t>Metcalfe, Alex</t>
  </si>
  <si>
    <t>978-0-7486-3384-5</t>
  </si>
  <si>
    <t>Brokeback Mountain</t>
  </si>
  <si>
    <t>Brokeback Mountain E-BOOK</t>
  </si>
  <si>
    <t>Needham, Gary</t>
  </si>
  <si>
    <t>American Indies</t>
  </si>
  <si>
    <t>978-0-7486-4737-8</t>
  </si>
  <si>
    <t>Rancière and Film</t>
  </si>
  <si>
    <t>Rancière and Film E-BOOK</t>
  </si>
  <si>
    <t>Bowman, Paul</t>
  </si>
  <si>
    <t>978-1-4744-2260-4</t>
  </si>
  <si>
    <t>Buying your Self on the Internet</t>
  </si>
  <si>
    <t>Wrap Contracts and Personal Genomics</t>
  </si>
  <si>
    <t>Buying your Self on the Internet E-BOOK</t>
  </si>
  <si>
    <t>Phillips, Andelka M.</t>
  </si>
  <si>
    <t>Future Law</t>
  </si>
  <si>
    <t>978-1-4744-1263-6</t>
  </si>
  <si>
    <t>Social Interaction in Language Teacher Education</t>
  </si>
  <si>
    <t>A Corpus and Discourse Perspective</t>
  </si>
  <si>
    <t>Social Interaction in Language Teacher Education E-BOOK</t>
  </si>
  <si>
    <t>Riordan, Elaine / Farr, Fiona / Farrell, Angela</t>
  </si>
  <si>
    <t>Studies in Social Interaction</t>
  </si>
  <si>
    <t>978-0-7486-9822-6</t>
  </si>
  <si>
    <t>My Self on Camera</t>
  </si>
  <si>
    <t>First Person Documentary Practice in an Individualising China</t>
  </si>
  <si>
    <t>My Self on Camera E-BOOK</t>
  </si>
  <si>
    <t>Yu, Kiki Tianqi</t>
  </si>
  <si>
    <t>Edinburgh University Press Complete eBook-Package 2018 | U Chicago P&amp;C UPL Single Titles 2024</t>
  </si>
  <si>
    <t>978-1-4744-7088-9</t>
  </si>
  <si>
    <t>Get Set for Sociology</t>
  </si>
  <si>
    <t>Get Set for Sociology E-BOOK</t>
  </si>
  <si>
    <t>McIntosh, Ian / Punch, Samantha</t>
  </si>
  <si>
    <t>SOC026000 SOCIAL SCIENCE / Sociology / General</t>
  </si>
  <si>
    <t>978-1-4744-7348-4</t>
  </si>
  <si>
    <t>Islamic Political Thought</t>
  </si>
  <si>
    <t>Islamic Political Thought E-BOOK</t>
  </si>
  <si>
    <t>Watt, William Montgomery</t>
  </si>
  <si>
    <t>978-0-7486-6938-7</t>
  </si>
  <si>
    <t>Atlantic Citizens</t>
  </si>
  <si>
    <t>Nineteenth-Century American Writers at Work in the World</t>
  </si>
  <si>
    <t>Atlantic Citizens E-BOOK</t>
  </si>
  <si>
    <t>Eckel, Leslie</t>
  </si>
  <si>
    <t>978-0-7486-4412-4</t>
  </si>
  <si>
    <t>Deleuze and Research Methodologies</t>
  </si>
  <si>
    <t>Deleuze and Research Methodologies E-BOOK</t>
  </si>
  <si>
    <t>Coleman, Rebecca / Ringrose, Jessica</t>
  </si>
  <si>
    <t>Edinburgh University Press Backlist eBook-Package 2013-2000 | University of South Florida 2024 EBA Selections</t>
  </si>
  <si>
    <t>978-0-7486-2691-5</t>
  </si>
  <si>
    <t>A Glossary of English Grammar</t>
  </si>
  <si>
    <t>A Glossary of English Grammar E-BOOK</t>
  </si>
  <si>
    <t>Leech, Geoffrey</t>
  </si>
  <si>
    <t>978-1-4744-1113-4</t>
  </si>
  <si>
    <t>The Films of Kelly Reichardt</t>
  </si>
  <si>
    <t>Hall, E. Dawn</t>
  </si>
  <si>
    <t>ReFocus: The American Directors Series</t>
  </si>
  <si>
    <t>978-1-4744-0338-2</t>
  </si>
  <si>
    <t>Screen Presence</t>
  </si>
  <si>
    <t>Cinema Culture and the Art of Warhol, Rauschenberg, Hatoum and Gordon</t>
  </si>
  <si>
    <t>Screen Presence E-BOOK</t>
  </si>
  <si>
    <t>Monteiro, Stephen</t>
  </si>
  <si>
    <t>978-1-4744-7213-5</t>
  </si>
  <si>
    <t>Sex and Sexuality in Classical Athens</t>
  </si>
  <si>
    <t>Sex and Sexuality in Classical Athens E-BOOK</t>
  </si>
  <si>
    <t>Robson, James</t>
  </si>
  <si>
    <t>978-1-4744-5102-4</t>
  </si>
  <si>
    <t>Authorities in Early Modern Law Courts</t>
  </si>
  <si>
    <t>Authorities in Early Modern Law Courts E-BOOK</t>
  </si>
  <si>
    <t>Rossi, Guido</t>
  </si>
  <si>
    <t>EBOOK PACKAGE COMPLETE 2022 | EBOOK PACKAGE COMPLETE 2022 English | EBOOK PACKAGE Law 2022 | EBOOK PACKAGE Law 2022 English | Edinburgh University Press Complete eBook-Package 2020 | Pick and Choose Law eBook Package BU 2022 | Pick and Choose eBook Package Cornell Eng Law 2000-2021 | UCB LAW SCHOOL Pick &amp; Choose 2022 | WUSTL 2022 Part 2 Law P&amp;C eBook Package | Yale P&amp;C Law Package 2023</t>
  </si>
  <si>
    <t>978-1-4744-4016-5</t>
  </si>
  <si>
    <t>Islam in Modern Turkey</t>
  </si>
  <si>
    <t>Islam in Modern Turkey E-BOOK</t>
  </si>
  <si>
    <t>Shively, Kim</t>
  </si>
  <si>
    <t>978-1-4744-6420-8</t>
  </si>
  <si>
    <t>The Acts of Malcolm IV (1153-1165)</t>
  </si>
  <si>
    <t>The Acts of Malcolm IV (1153-1165) E-BOOK</t>
  </si>
  <si>
    <t>Regesta Regum Scottorum</t>
  </si>
  <si>
    <t>978-1-4744-3353-2</t>
  </si>
  <si>
    <t>The Heart of Mid-Lothian</t>
  </si>
  <si>
    <t>The Heart of Mid-Lothian E-BOOK</t>
  </si>
  <si>
    <t>Scott, Walter / Lumsden, Alison / Hewitt, David</t>
  </si>
  <si>
    <t>978-1-4744-3433-1</t>
  </si>
  <si>
    <t>Gillian Armstrong</t>
  </si>
  <si>
    <t>Popular, Sensual &amp; Ethical Cinema</t>
  </si>
  <si>
    <t>Gillian Armstrong E-BOOK</t>
  </si>
  <si>
    <t>Erhart, Julia</t>
  </si>
  <si>
    <t>978-1-4744-3901-5</t>
  </si>
  <si>
    <t>Migrating Texts</t>
  </si>
  <si>
    <t>Circulating Translations around the Ottoman Mediterranean</t>
  </si>
  <si>
    <t>Migrating Texts E-BOOK</t>
  </si>
  <si>
    <t>978-1-4744-7057-5</t>
  </si>
  <si>
    <t>Deregulation and Privatisation</t>
  </si>
  <si>
    <t>Hume Papers on Public Policy 3.3</t>
  </si>
  <si>
    <t>Deregulation and Privatisation E-BOOK</t>
  </si>
  <si>
    <t>978-1-4744-5326-4</t>
  </si>
  <si>
    <t>Novel Institutions</t>
  </si>
  <si>
    <t>Anachronism, Irish Novels and Nineteenth-Century Realism</t>
  </si>
  <si>
    <t>Novel Institutions E-BOOK</t>
  </si>
  <si>
    <t>Mullen, Mary L.</t>
  </si>
  <si>
    <t>978-0-7486-9155-5</t>
  </si>
  <si>
    <t>Deleuze and Design</t>
  </si>
  <si>
    <t>Deleuze and Design E-BOOK</t>
  </si>
  <si>
    <t>Marenko, Betti / Brassett, Jamie</t>
  </si>
  <si>
    <t>978-1-4744-6218-1</t>
  </si>
  <si>
    <t>Deleuze, A Stoic</t>
  </si>
  <si>
    <t>Deleuze, A Stoic E-BOOK</t>
  </si>
  <si>
    <t>Johnson, Ryan J.</t>
  </si>
  <si>
    <t>978-1-4744-7388-0</t>
  </si>
  <si>
    <t>Technology, Innovation and Access to Justice</t>
  </si>
  <si>
    <t>Dialogues on the Future of Law</t>
  </si>
  <si>
    <t>Technology, Innovation and Access to Justice E-BOOK</t>
  </si>
  <si>
    <t>Spohr, Maximilian / De Souza, Siddharth Peter</t>
  </si>
  <si>
    <t>LAW099000 LAW / Science &amp; Technology</t>
  </si>
  <si>
    <t>EBOOK PACKAGE COMPLETE 2021 | EBOOK PACKAGE COMPLETE 2021 English | EBOOK PACKAGE Law 2021 | EBOOK PACKAGE Law 2021 English | Edinburgh University Press Complete eBook-Package 2020 | Pick and Choose Law eBook Package BU 2022 | Pick and Choose Law eBook Package U Tennessee 2022 | Pick and Choose eBook Package Cornell Eng Law 2000-2021 | UCB LAW SCHOOL Pick &amp; Choose 2022 | UNIVERSIDAD NACIONAL AUTÓNOMA DE MÉXICO Pick and Choose 2023 | Yale P&amp;C Law Package 2023</t>
  </si>
  <si>
    <t>978-1-4744-0289-7</t>
  </si>
  <si>
    <t>Celluloid Singapore</t>
  </si>
  <si>
    <t>Cinema, Performance and the National</t>
  </si>
  <si>
    <t>Celluloid Singapore E-BOOK</t>
  </si>
  <si>
    <t>Lim, Edna</t>
  </si>
  <si>
    <t>978-1-4744-1580-4</t>
  </si>
  <si>
    <t>Muslims in Eastern Europe</t>
  </si>
  <si>
    <t>Muslims in Eastern Europe E-BOOK</t>
  </si>
  <si>
    <t>Račius, Egdūnas</t>
  </si>
  <si>
    <t>978-1-4744-1630-6</t>
  </si>
  <si>
    <t>Legal Reform in English Renaissance Literature</t>
  </si>
  <si>
    <t>Legal Reform in English Renaissance Literature E-BOOK</t>
  </si>
  <si>
    <t>Strain, Virginia Lee</t>
  </si>
  <si>
    <t>Edinburgh Critical Studies in Renaissance Culture</t>
  </si>
  <si>
    <t>978-0-7486-6894-6</t>
  </si>
  <si>
    <t>Gilles Deleuze's Difference and Repetition</t>
  </si>
  <si>
    <t>A Critical Introduction and Guide</t>
  </si>
  <si>
    <t>Gilles Deleuze's Difference and Repetition E-BOOK</t>
  </si>
  <si>
    <t>Critical Introductions and Guides</t>
  </si>
  <si>
    <t>978-0-7486-3000-4</t>
  </si>
  <si>
    <t>An Introduction to English Sociolinguistics</t>
  </si>
  <si>
    <t>An Introduction to English Sociolinguistics E-BOOK</t>
  </si>
  <si>
    <t>Trousdale, Graeme</t>
  </si>
  <si>
    <t>Edinburgh Textbooks on the English Language</t>
  </si>
  <si>
    <t>978-1-4744-6895-4</t>
  </si>
  <si>
    <t>Spaces of Capital</t>
  </si>
  <si>
    <t>Towards a Critical Geography</t>
  </si>
  <si>
    <t>Spaces of Capital E-BOOK</t>
  </si>
  <si>
    <t>978-1-4744-1826-3</t>
  </si>
  <si>
    <t>From Violence to Speaking Out</t>
  </si>
  <si>
    <t>Apocalypse and Expression in Foucault, Derrida and Deleuze</t>
  </si>
  <si>
    <t>From Violence to Speaking Out E-BOOK</t>
  </si>
  <si>
    <t>Lawlor, Leonard</t>
  </si>
  <si>
    <t>978-1-4744-0388-7</t>
  </si>
  <si>
    <t>Chinese Martial Arts Cinema</t>
  </si>
  <si>
    <t>The Wuxia Tradition</t>
  </si>
  <si>
    <t>Chinese Martial Arts Cinema E-BOOK</t>
  </si>
  <si>
    <t>Teo, Stephen</t>
  </si>
  <si>
    <t>978-1-4744-7498-6</t>
  </si>
  <si>
    <t>The Arabic Prose Poem</t>
  </si>
  <si>
    <t>Poetic Theory and Practice</t>
  </si>
  <si>
    <t>The Arabic Prose Poem E-BOOK</t>
  </si>
  <si>
    <t>Fakhreddine, Huda J.</t>
  </si>
  <si>
    <t>978-1-4744-4402-6</t>
  </si>
  <si>
    <t>Performing Ethics Through Film Style</t>
  </si>
  <si>
    <t>Levinas with the Dardenne Brothers, Barbet Schroeder and Paul Schrader</t>
  </si>
  <si>
    <t>Performing Ethics Through Film Style E-BOOK</t>
  </si>
  <si>
    <t>Lamberti, Edward</t>
  </si>
  <si>
    <t>978-1-4744-4783-6</t>
  </si>
  <si>
    <t>Standing Up for Scotland</t>
  </si>
  <si>
    <t>Nationalist Unionism and Scottish Party Politics, 1884-2014</t>
  </si>
  <si>
    <t>Standing Up for Scotland E-BOOK</t>
  </si>
  <si>
    <t>978-1-4744-0690-1</t>
  </si>
  <si>
    <t>Talkies, Road Movies and Chick Flicks</t>
  </si>
  <si>
    <t>Gender, Genre and Film Sound in American Cinema</t>
  </si>
  <si>
    <t>Talkies, Road Movies and Chick Flicks E-BOOK</t>
  </si>
  <si>
    <t>Wilkins, Heidi</t>
  </si>
  <si>
    <t>978-0-7486-9625-3</t>
  </si>
  <si>
    <t>Writing Beirut</t>
  </si>
  <si>
    <t>Mappings of the City in the Modern Arabic Novel</t>
  </si>
  <si>
    <t>Writing Beirut E-BOOK</t>
  </si>
  <si>
    <t>978-1-4744-6378-2</t>
  </si>
  <si>
    <t>Islamic Theology</t>
  </si>
  <si>
    <t>Traditionalism and Rationalism</t>
  </si>
  <si>
    <t>Islamic Theology E-BOOK</t>
  </si>
  <si>
    <t>Abrahamov, Binyamin</t>
  </si>
  <si>
    <t>Theology</t>
  </si>
  <si>
    <t>REL037060 RELIGION / Islam / Theology</t>
  </si>
  <si>
    <t>978-0-7486-2636-6</t>
  </si>
  <si>
    <t>An Introduction to Early Modern English</t>
  </si>
  <si>
    <t>An Introduction to Early Modern English E-BOOK</t>
  </si>
  <si>
    <t>Nevalainen, Terttu</t>
  </si>
  <si>
    <t>978-1-4744-2066-2</t>
  </si>
  <si>
    <t>Gaelic in Contemporary Scotland</t>
  </si>
  <si>
    <t>The Revitalisation of an Endangered Language</t>
  </si>
  <si>
    <t>Gaelic in Contemporary Scotland E-BOOK</t>
  </si>
  <si>
    <t>MacLeod, Marsaili / Smith-Christmas, Cassie</t>
  </si>
  <si>
    <t>978-0-7486-2981-7</t>
  </si>
  <si>
    <t>Contemporary American Fiction</t>
  </si>
  <si>
    <t>Contemporary American Fiction E-BOOK</t>
  </si>
  <si>
    <t>Brauner, David</t>
  </si>
  <si>
    <t>978-1-4744-4044-8</t>
  </si>
  <si>
    <t>Extraterritoriality</t>
  </si>
  <si>
    <t>Locating Hong Kong Cinema and Media</t>
  </si>
  <si>
    <t>Extraterritoriality E-BOOK</t>
  </si>
  <si>
    <t>Fan, Victor</t>
  </si>
  <si>
    <t>978-1-4744-1505-7</t>
  </si>
  <si>
    <t>Debating Foreign Policy in the Renaissance</t>
  </si>
  <si>
    <t>Speeches on War and Peace by Francesco Guicciardini</t>
  </si>
  <si>
    <t>Debating Foreign Policy in the Renaissance E-BOOK</t>
  </si>
  <si>
    <t>Cesa, Marco</t>
  </si>
  <si>
    <t>978-1-4744-1785-3</t>
  </si>
  <si>
    <t>Thomas Reid and the Problem of Secondary Qualities</t>
  </si>
  <si>
    <t>Thomas Reid and the Problem of Secondary Qualities E-BOOK</t>
  </si>
  <si>
    <t>Shrock, Christopher A.</t>
  </si>
  <si>
    <t>Edinburgh Studies in Scottish Philosophy</t>
  </si>
  <si>
    <t>978-1-4744-6799-5</t>
  </si>
  <si>
    <t>Scotland After the Ice Age</t>
  </si>
  <si>
    <t>Environment, Archaeology and History 8000 BC - AD 1000</t>
  </si>
  <si>
    <t>Scotland After the Ice Age E-BOOK</t>
  </si>
  <si>
    <t>Ralston, Ian B. M. / Edwards, Kevin J.</t>
  </si>
  <si>
    <t>978-1-4744-7232-6</t>
  </si>
  <si>
    <t>The Ancient Economy</t>
  </si>
  <si>
    <t>The Ancient Economy E-BOOK</t>
  </si>
  <si>
    <t>Scheidel, Walter / von Reden, Sitta</t>
  </si>
  <si>
    <t>BUS000000 BUSINESS &amp; ECONOMICS / General</t>
  </si>
  <si>
    <t>978-0-7486-7013-0</t>
  </si>
  <si>
    <t>The Long 1890s in Egypt</t>
  </si>
  <si>
    <t>Colonial Quiescence, Subterranean Resistance</t>
  </si>
  <si>
    <t>The Long 1890s in Egypt E-BOOK</t>
  </si>
  <si>
    <t>Booth, Marilyn / Gorman, Anthony</t>
  </si>
  <si>
    <t>978-1-4744-2524-7</t>
  </si>
  <si>
    <t>Medieval Empires and the Culture of Competition</t>
  </si>
  <si>
    <t>Literary Duels at Islamic and Christian Courts</t>
  </si>
  <si>
    <t>Medieval Empires and the Culture of Competition E-BOOK</t>
  </si>
  <si>
    <t>England, Samuel</t>
  </si>
  <si>
    <t>978-1-4744-6590-8</t>
  </si>
  <si>
    <t>Philosophy of Religion E-BOOK</t>
  </si>
  <si>
    <t>Craig, William Lane</t>
  </si>
  <si>
    <t>978-1-4744-4616-7</t>
  </si>
  <si>
    <t>The Common and Counter-Hegemonic Politics</t>
  </si>
  <si>
    <t>Re-Thinking Social Change</t>
  </si>
  <si>
    <t>The Common and Counter-Hegemonic Politics E-BOOK</t>
  </si>
  <si>
    <t>Kioupkiolis, Alexandros</t>
  </si>
  <si>
    <t>978-0-7486-4654-8</t>
  </si>
  <si>
    <t>American Smart Cinema</t>
  </si>
  <si>
    <t>American Smart Cinema E-BOOK</t>
  </si>
  <si>
    <t>Perkins, Claire</t>
  </si>
  <si>
    <t>978-1-4744-7062-9</t>
  </si>
  <si>
    <t>Philosophy, Music and Emotion</t>
  </si>
  <si>
    <t>Philosophy, Music and Emotion E-BOOK</t>
  </si>
  <si>
    <t>Madell, Geoffrey</t>
  </si>
  <si>
    <t>978-0-7486-7695-8</t>
  </si>
  <si>
    <t>Women and the Railway, 1850-1915</t>
  </si>
  <si>
    <t>Women and the Railway, 1850-1915 E-BOOK</t>
  </si>
  <si>
    <t>Despotopoulou, Anna</t>
  </si>
  <si>
    <t>978-1-4744-6931-9</t>
  </si>
  <si>
    <t>Morality, Rules, and Consequences</t>
  </si>
  <si>
    <t>Morality, Rules, and Consequences E-BOOK</t>
  </si>
  <si>
    <t>Hooker, Brad / Mason, Elinor / Miller, Dale E.</t>
  </si>
  <si>
    <t>978-1-4744-8795-5</t>
  </si>
  <si>
    <t>Theory of the Object</t>
  </si>
  <si>
    <t>Theory of the Object E-BOOK</t>
  </si>
  <si>
    <t>978-1-4744-6301-0</t>
  </si>
  <si>
    <t>Beckett and Embodiment</t>
  </si>
  <si>
    <t>Body, Space, Agency</t>
  </si>
  <si>
    <t>Beckett and Embodiment E-BOOK</t>
  </si>
  <si>
    <t>Dennis, Amanda M.</t>
  </si>
  <si>
    <t>Other Becketts</t>
  </si>
  <si>
    <t>978-1-4744-3559-8</t>
  </si>
  <si>
    <t>The Wealth of the Nation</t>
  </si>
  <si>
    <t>Scotland, Culture and Independence</t>
  </si>
  <si>
    <t>The Wealth of the Nation E-BOOK</t>
  </si>
  <si>
    <t>978-1-4744-7073-5</t>
  </si>
  <si>
    <t>Dundee Worthies</t>
  </si>
  <si>
    <t>Reminiscences, Games and Amusements</t>
  </si>
  <si>
    <t>Dundee Worthies E-BOOK</t>
  </si>
  <si>
    <t>Martin, George</t>
  </si>
  <si>
    <t>978-0-7486-7442-8</t>
  </si>
  <si>
    <t>Gender, Ethnicity and Sexuality in Contemporary American Film</t>
  </si>
  <si>
    <t>Gender, Ethnicity and Sexuality in Contemporary Ameri E-BOOK</t>
  </si>
  <si>
    <t>Davies, Jude / Smith, Carol</t>
  </si>
  <si>
    <t>978-1-4744-4612-9</t>
  </si>
  <si>
    <t>Modern Readers</t>
  </si>
  <si>
    <t>978-1-4744-6665-3</t>
  </si>
  <si>
    <t>Lucretius II</t>
  </si>
  <si>
    <t>An Ethics of Motion</t>
  </si>
  <si>
    <t>Lucretius II E-BOOK</t>
  </si>
  <si>
    <t>978-1-4744-0958-2</t>
  </si>
  <si>
    <t>African American Anti-Colonial Thought 1917-1937</t>
  </si>
  <si>
    <t>African American Anti-Colonial Thought 1917-1937 E-BOOK</t>
  </si>
  <si>
    <t>Bergin, Cathy</t>
  </si>
  <si>
    <t>Key Texts in Anti-Colonial Thought</t>
  </si>
  <si>
    <t>HIS031000 HISTORY / Revolutionary</t>
  </si>
  <si>
    <t>Edinburgh University Press Complete eBook-Package 2016 | bitte nicht fakturieren, nur zum Test</t>
  </si>
  <si>
    <t>978-1-4744-4924-3</t>
  </si>
  <si>
    <t>Philosophy, Rights and Natural Law</t>
  </si>
  <si>
    <t>Essays in Honour of Knud Haakonssen</t>
  </si>
  <si>
    <t>Philosophy, Rights and Natural Law E-BOOK</t>
  </si>
  <si>
    <t>Hunter, Ian / Whatmore, Richard</t>
  </si>
  <si>
    <t>Edinburgh University Press Complete eBook-Package 2019 | Pick and Choose Law eBook Package BU 2022 | Pick and Choose eBook Package Cornell Eng Law 2000-2021 | UCB LAW SCHOOL Pick &amp; Choose 2022 | UNIVERSIDAD NACIONAL AUTÓNOMA DE MÉXICO Pick and Choose 2023 | Yale P&amp;C Law Package 2023</t>
  </si>
  <si>
    <t>978-1-4744-7879-3</t>
  </si>
  <si>
    <t>Agamben and the Existentialists</t>
  </si>
  <si>
    <t>Agamben and the Existentialists E-BOOK</t>
  </si>
  <si>
    <t>Norris, Marcos / Dickinson, Colby</t>
  </si>
  <si>
    <t>978-0-7486-7790-0</t>
  </si>
  <si>
    <t>The Arab Nahdah</t>
  </si>
  <si>
    <t>The Making of the Intellectual and Humanist Movement</t>
  </si>
  <si>
    <t>The Arab Nahdah E-BOOK</t>
  </si>
  <si>
    <t>Patel, Abdulrazzak</t>
  </si>
  <si>
    <t>978-1-4744-7366-8</t>
  </si>
  <si>
    <t>Cybersexualities</t>
  </si>
  <si>
    <t>A Reader in Feminist Theory, Cyborgs and Cyberspace</t>
  </si>
  <si>
    <t>Cybersexualities E-BOOK</t>
  </si>
  <si>
    <t>Wolmark, Jenny</t>
  </si>
  <si>
    <t>978-0-7486-2925-1</t>
  </si>
  <si>
    <t>Clinical Linguistics</t>
  </si>
  <si>
    <t>Clinical Linguistics E-BOOK</t>
  </si>
  <si>
    <t>Cummings, Louise</t>
  </si>
  <si>
    <t>978-1-4744-5525-1</t>
  </si>
  <si>
    <t>Aristotle on the Matter of Form</t>
  </si>
  <si>
    <t>Α Feminist Metaphysics of Generation</t>
  </si>
  <si>
    <t>Aristotle on the Matter of Form E-BOOK</t>
  </si>
  <si>
    <t>Trott, Adriel M.</t>
  </si>
  <si>
    <t>Cycles</t>
  </si>
  <si>
    <t>978-0-7486-8977-4</t>
  </si>
  <si>
    <t>The Handbook of Creative Writing</t>
  </si>
  <si>
    <t>The Handbook of Creative Writing E-BOOK</t>
  </si>
  <si>
    <t>Earnshaw, Steven</t>
  </si>
  <si>
    <t>978-1-4744-4852-9</t>
  </si>
  <si>
    <t>Cinema of Crisis</t>
  </si>
  <si>
    <t>Film and Contemporary Europe</t>
  </si>
  <si>
    <t>Cinema of Crisis E-BOOK</t>
  </si>
  <si>
    <t>Austin, Thomas / Koutsourakis, Angelos</t>
  </si>
  <si>
    <t>978-0-585-44195-5</t>
  </si>
  <si>
    <t>The Unravelling of the Postmodern Mind</t>
  </si>
  <si>
    <t>The Unravelling of the Postmodern Mind E-BOOK</t>
  </si>
  <si>
    <t>Nash, Cristopher</t>
  </si>
  <si>
    <t>978-1-4744-7905-9</t>
  </si>
  <si>
    <t>Eliot and Beckett’s Low Modernism</t>
  </si>
  <si>
    <t>Humility and Humiliation</t>
  </si>
  <si>
    <t>Eliot and Beckett’s Low Modernism E-BOOK</t>
  </si>
  <si>
    <t>de Villiers, Rick</t>
  </si>
  <si>
    <t>978-1-4744-6832-9</t>
  </si>
  <si>
    <t>Modern Scottish Culture</t>
  </si>
  <si>
    <t>Modern Scottish Culture E-BOOK</t>
  </si>
  <si>
    <t>978-0-7486-3002-8</t>
  </si>
  <si>
    <t>Ethical Issues in Six Religious Traditions</t>
  </si>
  <si>
    <t>Ethical Issues in Six Religious Traditions E-BOOK</t>
  </si>
  <si>
    <t>Morgan, Peggy / Lawton, Clive</t>
  </si>
  <si>
    <t>REL028000 RELIGION / Ethics</t>
  </si>
  <si>
    <t>978-1-4744-7086-5</t>
  </si>
  <si>
    <t>Corpus Linguistics</t>
  </si>
  <si>
    <t>Corpus Linguistics E-BOOK</t>
  </si>
  <si>
    <t>McEnery, Tony / Wilson, Andrew</t>
  </si>
  <si>
    <t>Edinburgh Textbooks in Empirical Linguistics</t>
  </si>
  <si>
    <t>978-1-4744-7228-9</t>
  </si>
  <si>
    <t>Kantian Aesthetics Pursued</t>
  </si>
  <si>
    <t>Kantian Aesthetics Pursued E-BOOK</t>
  </si>
  <si>
    <t>Savile, Anthony</t>
  </si>
  <si>
    <t>978-1-4744-5205-2</t>
  </si>
  <si>
    <t>Intercultural Screen Adaptation</t>
  </si>
  <si>
    <t>British and Global Case Studies</t>
  </si>
  <si>
    <t>Intercultural Screen Adaptation E-BOOK</t>
  </si>
  <si>
    <t>Stewart, Michael / Munro, Robert</t>
  </si>
  <si>
    <t>978-0-7486-3463-7</t>
  </si>
  <si>
    <t>The Work of Giorgio Agamben</t>
  </si>
  <si>
    <t>Law, Literature, Life</t>
  </si>
  <si>
    <t>The Work of Giorgio Agamben E-BOOK</t>
  </si>
  <si>
    <t>Murray, Alex / Clemens, Justin / Heron, Nicholas</t>
  </si>
  <si>
    <t>978-1-4744-6575-5</t>
  </si>
  <si>
    <t>The Earliest Poetry of a Celtic Monastery</t>
  </si>
  <si>
    <t>Clancy, Thomas / Markus, Gilbert</t>
  </si>
  <si>
    <t>978-0-7486-2729-5</t>
  </si>
  <si>
    <t>Ancient Greece</t>
  </si>
  <si>
    <t>From the Mycenaean Palaces to the Age of Homer</t>
  </si>
  <si>
    <t>Ancient Greece E-BOOK</t>
  </si>
  <si>
    <t>Deger-Jalkotzy, Sigrid / Lemos, Irene</t>
  </si>
  <si>
    <t>Edinburgh Leventis Studies</t>
  </si>
  <si>
    <t>978-1-4744-6941-8</t>
  </si>
  <si>
    <t>The American Horror Film</t>
  </si>
  <si>
    <t>The American Horror Film E-BOOK</t>
  </si>
  <si>
    <t>978-0-7486-4381-3</t>
  </si>
  <si>
    <t>MacCormick's Scotland</t>
  </si>
  <si>
    <t>MacCormick's Scotland E-BOOK</t>
  </si>
  <si>
    <t>Walker, Neil</t>
  </si>
  <si>
    <t>978-0-7486-4542-8</t>
  </si>
  <si>
    <t>Gilles Deleuze's Philosophy of Time</t>
  </si>
  <si>
    <t>Gilles Deleuze's Philosophy of Time E-BOOK</t>
  </si>
  <si>
    <t>978-1-4744-0377-1</t>
  </si>
  <si>
    <t>Conrad and Language</t>
  </si>
  <si>
    <t>Conrad and Language E-BOOK</t>
  </si>
  <si>
    <t>Baxter, Katherine Isobel / Hampson, Robert</t>
  </si>
  <si>
    <t>978-0-7486-9629-1</t>
  </si>
  <si>
    <t>The Cuban Missile Crisis</t>
  </si>
  <si>
    <t>Origins, Course and Aftermath</t>
  </si>
  <si>
    <t>The Cuban Missile Crisis E-BOOK</t>
  </si>
  <si>
    <t>HIS027030 HISTORY / Military / Nuclear Warfare</t>
  </si>
  <si>
    <t>978-0-7486-7984-3</t>
  </si>
  <si>
    <t>Women of Ancient Greece</t>
  </si>
  <si>
    <t>Women of Ancient Greece E-BOOK</t>
  </si>
  <si>
    <t>Brulé, Pierre</t>
  </si>
  <si>
    <t>978-1-4744-6918-0</t>
  </si>
  <si>
    <t>Elizabeth Cary</t>
  </si>
  <si>
    <t>The Tragedy of Mariam</t>
  </si>
  <si>
    <t>Elizabeth Cary E-BOOK</t>
  </si>
  <si>
    <t>Hodgson-Wright, Stephanie</t>
  </si>
  <si>
    <t>Renaissance Texts and Studies</t>
  </si>
  <si>
    <t>978-1-4744-1970-3</t>
  </si>
  <si>
    <t>Spinoza and Relational Autonomy</t>
  </si>
  <si>
    <t>Being With Others</t>
  </si>
  <si>
    <t>Spinoza and Relational Autonomy E-BOOK</t>
  </si>
  <si>
    <t>Sangiacomo, Andrea / Armstrong, Aurelia / Green, Keith</t>
  </si>
  <si>
    <t>978-0-585-10134-7</t>
  </si>
  <si>
    <t>After Theory</t>
  </si>
  <si>
    <t>After Theory E-BOOK</t>
  </si>
  <si>
    <t>Docherty, Thomas</t>
  </si>
  <si>
    <t>978-1-4744-6142-9</t>
  </si>
  <si>
    <t>The Politics of Debt and Europe’s Relations with the ‘South’</t>
  </si>
  <si>
    <t>The Politics of Debt and Europe’s Relations with the  E-BOOK</t>
  </si>
  <si>
    <t>Nygard, Stefan</t>
  </si>
  <si>
    <t>978-1-4744-6813-8</t>
  </si>
  <si>
    <t>Hell in Contemporary Literature</t>
  </si>
  <si>
    <t>Western Descent Narratives since 1945</t>
  </si>
  <si>
    <t>Hell in Contemporary Literature E-BOOK</t>
  </si>
  <si>
    <t>978-0-585-15922-5</t>
  </si>
  <si>
    <t>The Body's Perilous Pleasures</t>
  </si>
  <si>
    <t>Dangerous Desires and Contemporary Culture</t>
  </si>
  <si>
    <t>The Body's Perilous Pleasures E-BOOK</t>
  </si>
  <si>
    <t>978-1-4744-2286-4</t>
  </si>
  <si>
    <t>Adam Smith and Rousseau</t>
  </si>
  <si>
    <t>Ethics, Politics, Economics</t>
  </si>
  <si>
    <t>Adam Smith and Rousseau E-BOOK</t>
  </si>
  <si>
    <t>Smith, Craig / Paganelli, Maria Pia / Rasmussen, Dennis C.</t>
  </si>
  <si>
    <t>978-0-7486-3473-6</t>
  </si>
  <si>
    <t>The Politics of International Law and International Justice</t>
  </si>
  <si>
    <t>The Politics of International Law and International J E-BOOK</t>
  </si>
  <si>
    <t>Egede, Edwin / Sutch, Peter</t>
  </si>
  <si>
    <t>978-0-7486-2666-3</t>
  </si>
  <si>
    <t>The Changing Constitution</t>
  </si>
  <si>
    <t>The Changing Constitution E-BOOK</t>
  </si>
  <si>
    <t>Harrison, Kevin / Boyd, Tony</t>
  </si>
  <si>
    <t>POL022000 POLITICAL SCIENCE / Constitutions</t>
  </si>
  <si>
    <t>978-1-4744-7044-5</t>
  </si>
  <si>
    <t>Northern Scotland</t>
  </si>
  <si>
    <t>Volume 6</t>
  </si>
  <si>
    <t>Northern Scotland E-BOOK</t>
  </si>
  <si>
    <t>Macdonald, Alastair / Worthington, David</t>
  </si>
  <si>
    <t>Northern Scotland Books</t>
  </si>
  <si>
    <t>978-0-7486-5482-6</t>
  </si>
  <si>
    <t>The Ethics of the Global Environment</t>
  </si>
  <si>
    <t>The Ethics of the Global Environment E-BOOK</t>
  </si>
  <si>
    <t>Attfield, Robin</t>
  </si>
  <si>
    <t>Edinburgh Studies in Global Ethics</t>
  </si>
  <si>
    <t>978-1-4744-8400-8</t>
  </si>
  <si>
    <t>Jewish Medical Practitioners in the Medieval Muslim World</t>
  </si>
  <si>
    <t>A Collective Biography</t>
  </si>
  <si>
    <t>Jewish Medical Practitioners in the Medieval Muslim W E-BOOK</t>
  </si>
  <si>
    <t>Lev, Efraim</t>
  </si>
  <si>
    <t>Non-Muslim Contributions to Islamic Civilisation</t>
  </si>
  <si>
    <t>EBOOK PACKAGE COMPLETE 2022 | EBOOK PACKAGE COMPLETE 2022 English | EBOOK PACKAGE Theol., Relig.Stud., Jewish Stud. 2022 | EBOOK PACKAGE Theol., Relig.Stud., Jewish Stud. 2022 English | Edinburgh University Press Complete eBook-Package 2021</t>
  </si>
  <si>
    <t>978-1-4744-1090-8</t>
  </si>
  <si>
    <t>Screening Statues</t>
  </si>
  <si>
    <t>Sculpture and Cinema</t>
  </si>
  <si>
    <t>Screening Statues E-BOOK</t>
  </si>
  <si>
    <t>Felleman, Susan / Jacobs, Steven / Adriaensens, Vito</t>
  </si>
  <si>
    <t>Sculpture</t>
  </si>
  <si>
    <t>ART026000 ART / Sculpture &amp; Installation</t>
  </si>
  <si>
    <t>978-1-4744-1758-7</t>
  </si>
  <si>
    <t>The Temptation of Graves in Salafi Islam</t>
  </si>
  <si>
    <t>Iconoclasm, Destruction and Idolatry</t>
  </si>
  <si>
    <t>The Temptation of Graves in Salafi Islam E-BOOK</t>
  </si>
  <si>
    <t>Beránek, Ondřej / Ťupek, Pavel</t>
  </si>
  <si>
    <t>978-0-7486-3089-9</t>
  </si>
  <si>
    <t>Social Issues in Television Fiction</t>
  </si>
  <si>
    <t>Social Issues in Television Fiction E-BOOK</t>
  </si>
  <si>
    <t>Henderson, Lesley</t>
  </si>
  <si>
    <t>978-0-7486-8079-5</t>
  </si>
  <si>
    <t>Poetry</t>
  </si>
  <si>
    <t>Poetry E-BOOK</t>
  </si>
  <si>
    <t>Terry, Richard / Strachan, John</t>
  </si>
  <si>
    <t>978-1-4744-8281-3</t>
  </si>
  <si>
    <t>Dissent After Disruption</t>
  </si>
  <si>
    <t>Church and State in Scotland, 1843-63</t>
  </si>
  <si>
    <t>Dissent After Disruption E-BOOK</t>
  </si>
  <si>
    <t>Mallon, Ryan</t>
  </si>
  <si>
    <t>Scottish Religious Cultures</t>
  </si>
  <si>
    <t>978-1-4744-6066-8</t>
  </si>
  <si>
    <t>European Film Remakes</t>
  </si>
  <si>
    <t>European Film Remakes E-BOOK</t>
  </si>
  <si>
    <t>Joye, Stijn / Cuelenaere, Eduard / Willems, Gertjan</t>
  </si>
  <si>
    <t>978-0-7486-4474-2</t>
  </si>
  <si>
    <t>The Kirk and the Kingdom</t>
  </si>
  <si>
    <t>A Century of Tension in Scottish Social Theology 1830-1929</t>
  </si>
  <si>
    <t>The Kirk and the Kingdom E-BOOK</t>
  </si>
  <si>
    <t>McKay, Johnston</t>
  </si>
  <si>
    <t>978-1-4744-5821-4</t>
  </si>
  <si>
    <t>The Modernist Exoskeleton</t>
  </si>
  <si>
    <t>Insects, War, Literary Form</t>
  </si>
  <si>
    <t>The Modernist Exoskeleton E-BOOK</t>
  </si>
  <si>
    <t>Murray, Rachel</t>
  </si>
  <si>
    <t>Edinburgh Critical Studies in Modernist Culture</t>
  </si>
  <si>
    <t>978-0-7486-5603-5</t>
  </si>
  <si>
    <t>Dickens's London</t>
  </si>
  <si>
    <t>Perception, Subjectivity and Phenomenal Urban Multiplicity</t>
  </si>
  <si>
    <t>Dickens's London E-BOOK</t>
  </si>
  <si>
    <t>978-0-7486-2680-9</t>
  </si>
  <si>
    <t>Modern British and Irish Criticism and Theory</t>
  </si>
  <si>
    <t>Modern British and Irish Criticism and Theory E-BOOK</t>
  </si>
  <si>
    <t>978-1-4744-3371-6</t>
  </si>
  <si>
    <t>Nineteenth-Century Settler Emigration in British Literature and Art</t>
  </si>
  <si>
    <t>Nineteenth-Century Settler Emigration in British Lite E-BOOK</t>
  </si>
  <si>
    <t xml:space="preserve">Shaikh, Fariha </t>
  </si>
  <si>
    <t>978-1-4744-2408-0</t>
  </si>
  <si>
    <t>Political Parties in the Arab World</t>
  </si>
  <si>
    <t>Continuity and Change</t>
  </si>
  <si>
    <t>Political Parties in the Arab World E-BOOK</t>
  </si>
  <si>
    <t>Cavatorta, Francesco / Storm, Lise</t>
  </si>
  <si>
    <t>978-1-4744-0132-6</t>
  </si>
  <si>
    <t>The Open Door Era</t>
  </si>
  <si>
    <t>United States Foreign Policy in the Twentieth Century</t>
  </si>
  <si>
    <t>The Open Door Era E-BOOK</t>
  </si>
  <si>
    <t>Cullinane, Michael Patrick / Goodall, Alex</t>
  </si>
  <si>
    <t>978-1-4744-0222-4</t>
  </si>
  <si>
    <t>The Major Realist Film Theorists</t>
  </si>
  <si>
    <t>A Critical Anthology</t>
  </si>
  <si>
    <t>The Major Realist Film Theorists E-BOOK</t>
  </si>
  <si>
    <t>978-1-4744-7194-7</t>
  </si>
  <si>
    <t>Exploring the Law of Succession</t>
  </si>
  <si>
    <t>Studies National, Historical and Comparative</t>
  </si>
  <si>
    <t>Exploring the Law of Succession E-BOOK</t>
  </si>
  <si>
    <t>Zimmermann, Reinhard / Reid, Kenneth / de Waal, Marius</t>
  </si>
  <si>
    <t>978-1-4744-7066-7</t>
  </si>
  <si>
    <t>Linguistics and the Language of Translation</t>
  </si>
  <si>
    <t>Linguistics and the Language of Translation E-BOOK</t>
  </si>
  <si>
    <t>Malmkjaer, Kirsten</t>
  </si>
  <si>
    <t>978-0-7486-3023-3</t>
  </si>
  <si>
    <t>Cultural Identity and Political Ethics</t>
  </si>
  <si>
    <t>Cultural Identity and Political Ethics E-BOOK</t>
  </si>
  <si>
    <t>978-1-4744-7199-2</t>
  </si>
  <si>
    <t>Hugh MacDiarmid's Epic Poetry</t>
  </si>
  <si>
    <t>Hugh MacDiarmid's Epic Poetry E-BOOK</t>
  </si>
  <si>
    <t>Riach, Alan</t>
  </si>
  <si>
    <t>978-0-585-12291-5</t>
  </si>
  <si>
    <t>The United States and European Reconstruction</t>
  </si>
  <si>
    <t>1945-1960</t>
  </si>
  <si>
    <t>The United States and European Reconstruction E-BOOK</t>
  </si>
  <si>
    <t>Killick, John</t>
  </si>
  <si>
    <t>978-1-4744-0175-3</t>
  </si>
  <si>
    <t>What is a Madrasa?</t>
  </si>
  <si>
    <t>What is a Madrasa? E-BOOK</t>
  </si>
  <si>
    <t>Moosa, Ebrahim</t>
  </si>
  <si>
    <t>978-0-7486-9645-1</t>
  </si>
  <si>
    <t>Spelling Scots</t>
  </si>
  <si>
    <t>The Orthography of Literary Scots, 1700-2000</t>
  </si>
  <si>
    <t>Spelling Scots E-BOOK</t>
  </si>
  <si>
    <t>Bann, Jennifer / Corbett, John</t>
  </si>
  <si>
    <t>978-1-4744-1457-9</t>
  </si>
  <si>
    <t>Narrative and Becoming</t>
  </si>
  <si>
    <t>Narrative and Becoming E-BOOK</t>
  </si>
  <si>
    <t>Askin, Ridvan</t>
  </si>
  <si>
    <t>978-0-7486-9489-1</t>
  </si>
  <si>
    <t>Off to the Pictures</t>
  </si>
  <si>
    <t>Cinemagoing, Women’s Writing and Movie Culture in Interwar Britain</t>
  </si>
  <si>
    <t>Off to the Pictures E-BOOK</t>
  </si>
  <si>
    <t>Stead, Lisa</t>
  </si>
  <si>
    <t>978-1-4744-7036-0</t>
  </si>
  <si>
    <t>Philosophy and Friendship</t>
  </si>
  <si>
    <t>Philosophy and Friendship E-BOOK</t>
  </si>
  <si>
    <t>Lynch, Sandra</t>
  </si>
  <si>
    <t>978-0-7486-7780-1</t>
  </si>
  <si>
    <t>Comedy and Cultural Critique in American Film</t>
  </si>
  <si>
    <t>Comedy and Cultural Critique in American Film E-BOOK</t>
  </si>
  <si>
    <t>Bishop, Ryan</t>
  </si>
  <si>
    <t>978-0-7486-3104-9</t>
  </si>
  <si>
    <t>The Universal (In the Realm of the Sensible)</t>
  </si>
  <si>
    <t>Beyond Continental Philosophy</t>
  </si>
  <si>
    <t>The Universal (In the Realm of the Sensible) E-BOOK</t>
  </si>
  <si>
    <t>Olkowski, Dorothea</t>
  </si>
  <si>
    <t>978-1-4744-3367-9</t>
  </si>
  <si>
    <t>The Pirate</t>
  </si>
  <si>
    <t>The Pirate E-BOOK</t>
  </si>
  <si>
    <t>Lumsden, Alison / Scott, Walter / Weinstein, Mark</t>
  </si>
  <si>
    <t>978-0-7486-9151-7</t>
  </si>
  <si>
    <t>Kings, Lords and Men in Scotland and Britain, 1300-1625</t>
  </si>
  <si>
    <t>Essays in Honour of Jenny Wormald</t>
  </si>
  <si>
    <t>Kings, Lords and Men in Scotland and Britain, 1300-16 E-BOOK</t>
  </si>
  <si>
    <t>Boardman, Steve / Goodare, Julian</t>
  </si>
  <si>
    <t>978-0-585-44183-2</t>
  </si>
  <si>
    <t>The Road to the Scottish Parliament</t>
  </si>
  <si>
    <t>The Road to the Scottish Parliament E-BOOK</t>
  </si>
  <si>
    <t>Taylor, Brian</t>
  </si>
  <si>
    <t>978-1-4744-2168-3</t>
  </si>
  <si>
    <t>Virginia Woolf and Being-in-the-world</t>
  </si>
  <si>
    <t>A Heideggerian Study</t>
  </si>
  <si>
    <t>Virginia Woolf and Being-in-the-world E-BOOK</t>
  </si>
  <si>
    <t>Simone, Emma</t>
  </si>
  <si>
    <t>978-0-7486-8057-3</t>
  </si>
  <si>
    <t>Contemporary World Cinema</t>
  </si>
  <si>
    <t>Europe, the Middle East, East Asia and South Asia</t>
  </si>
  <si>
    <t>Contemporary World Cinema E-BOOK</t>
  </si>
  <si>
    <t>978-0-7486-3086-8</t>
  </si>
  <si>
    <t>Islamic Political Radicalism</t>
  </si>
  <si>
    <t>A European Perspective</t>
  </si>
  <si>
    <t>Islamic Political Radicalism E-BOOK</t>
  </si>
  <si>
    <t>POL037000 POLITICAL SCIENCE / Terrorism</t>
  </si>
  <si>
    <t>978-1-4744-0949-0</t>
  </si>
  <si>
    <t>Cold War Legacies</t>
  </si>
  <si>
    <t>Legacy, Theory, Aesthetics</t>
  </si>
  <si>
    <t>Cold War Legacies E-BOOK</t>
  </si>
  <si>
    <t>Beck, John / Bishop, Ryan</t>
  </si>
  <si>
    <t>978-0-7486-9695-6</t>
  </si>
  <si>
    <t>Migrating Meanings</t>
  </si>
  <si>
    <t>Sharing Keywords in a Global World</t>
  </si>
  <si>
    <t>Migrating Meanings E-BOOK</t>
  </si>
  <si>
    <t>Underhill, James W. / Gianninoto, Mariarosaria</t>
  </si>
  <si>
    <t>978-1-4744-1140-0</t>
  </si>
  <si>
    <t>Hamlet Lives in Hollywood</t>
  </si>
  <si>
    <t>John Barrymore and the Acting Tradition Onscreen</t>
  </si>
  <si>
    <t>Hamlet Lives in Hollywood E-BOOK</t>
  </si>
  <si>
    <t>Pomerance, Murray / Rybin, Steven</t>
  </si>
  <si>
    <t>978-0-7486-7439-8</t>
  </si>
  <si>
    <t>The Poetic Achievement of Ezra Pound</t>
  </si>
  <si>
    <t>The Poetic Achievement of Ezra Pound E-BOOK</t>
  </si>
  <si>
    <t>Alexander, Michael</t>
  </si>
  <si>
    <t>978-1-4744-6598-4</t>
  </si>
  <si>
    <t>Culture Wars</t>
  </si>
  <si>
    <t>The Media and the British Left</t>
  </si>
  <si>
    <t>Culture Wars E-BOOK</t>
  </si>
  <si>
    <t>Petley, Julian / Curran, James / Gaber, Ivor</t>
  </si>
  <si>
    <t>978-1-4744-7121-3</t>
  </si>
  <si>
    <t>Black Mountain</t>
  </si>
  <si>
    <t>Land, Class &amp; Power in the Eastern Orange Free State</t>
  </si>
  <si>
    <t>Black Mountain E-BOOK</t>
  </si>
  <si>
    <t>Murray, Colin</t>
  </si>
  <si>
    <t>978-1-4744-1002-1</t>
  </si>
  <si>
    <t>Discovering the Footsteps of Time</t>
  </si>
  <si>
    <t>Geological Travel Writing about Scotland, 1700-1820</t>
  </si>
  <si>
    <t>Discovering the Footsteps of Time E-BOOK</t>
  </si>
  <si>
    <t>Furniss, Tom</t>
  </si>
  <si>
    <t>978-1-4744-4455-2</t>
  </si>
  <si>
    <t>The Films of Pedro Costa: Producing and Consuming Contemporary Art Cinema</t>
  </si>
  <si>
    <t>Barradas Jorge, Nuno</t>
  </si>
  <si>
    <t>978-1-4744-6773-5</t>
  </si>
  <si>
    <t>Islamic and Caste Knowledge Practices among Haalpulaaren in Senegal</t>
  </si>
  <si>
    <t>Between Mosque and Termite Mound</t>
  </si>
  <si>
    <t>Islamic and Caste Knowledge Practices among Haalpulaa E-BOOK</t>
  </si>
  <si>
    <t>Dilley, Roy</t>
  </si>
  <si>
    <t>978-1-4744-6863-3</t>
  </si>
  <si>
    <t>Independence and Nationhood</t>
  </si>
  <si>
    <t>Scotland 1306-1469</t>
  </si>
  <si>
    <t>Independence and Nationhood E-BOOK</t>
  </si>
  <si>
    <t>Grant, Alexander</t>
  </si>
  <si>
    <t>978-0-7486-6994-3</t>
  </si>
  <si>
    <t>Young American Muslims</t>
  </si>
  <si>
    <t>Dynamics of Identity</t>
  </si>
  <si>
    <t>Young American Muslims E-BOOK</t>
  </si>
  <si>
    <t>SOC008000 SOCIAL SCIENCE / Ethnic Studies / General</t>
  </si>
  <si>
    <t>978-1-4744-0792-2</t>
  </si>
  <si>
    <t>Fashion and Materialism</t>
  </si>
  <si>
    <t>Fashion and Materialism E-BOOK</t>
  </si>
  <si>
    <t>Lehmann, Ulrich</t>
  </si>
  <si>
    <t>978-1-4744-7282-1</t>
  </si>
  <si>
    <t>'Greek' Thomson</t>
  </si>
  <si>
    <t>Neo-classical Architectural Theory, Buildings &amp; Interiors</t>
  </si>
  <si>
    <t>'Greek' Thomson E-BOOK</t>
  </si>
  <si>
    <t>Stamp, Gavin / McKinstry, Sam</t>
  </si>
  <si>
    <t>Architects, Buildings</t>
  </si>
  <si>
    <t>ARC006000 ARCHITECTURE / Individual Architects &amp; Firms / General</t>
  </si>
  <si>
    <t>978-0-7486-3147-6</t>
  </si>
  <si>
    <t>Kant's Critique of Pure Reason</t>
  </si>
  <si>
    <t>Kant's Critique of Pure Reason E-BOOK</t>
  </si>
  <si>
    <t>Burnham, Douglas / Young, Harvey</t>
  </si>
  <si>
    <t>978-1-4744-1080-9</t>
  </si>
  <si>
    <t>An Anthology of Arabic Literature</t>
  </si>
  <si>
    <t>From the Classical to the Modern</t>
  </si>
  <si>
    <t>An Anthology of Arabic Literature E-BOOK</t>
  </si>
  <si>
    <t>Khalidi, Tarif</t>
  </si>
  <si>
    <t>LCO012000 LITERARY COLLECTIONS / Middle Eastern</t>
  </si>
  <si>
    <t>978-1-4744-7249-4</t>
  </si>
  <si>
    <t>The British Labour Government and The Greek Civil War</t>
  </si>
  <si>
    <t>1945-1949</t>
  </si>
  <si>
    <t>The British Labour Government and The Greek Civil War E-BOOK</t>
  </si>
  <si>
    <t>Sfikas, Athanasios D</t>
  </si>
  <si>
    <t>978-1-4744-1910-9</t>
  </si>
  <si>
    <t>The Problem of Religious Diversity</t>
  </si>
  <si>
    <t>European Challenges, Asian Approaches</t>
  </si>
  <si>
    <t>The Problem of Religious Diversity E-BOOK</t>
  </si>
  <si>
    <t>Triandafyllidou, Anna / Modood, Tariq</t>
  </si>
  <si>
    <t>978-0-7486-9238-5</t>
  </si>
  <si>
    <t>War Power, Police Power</t>
  </si>
  <si>
    <t>War Power, Police Power E-BOOK</t>
  </si>
  <si>
    <t>978-1-4744-7156-5</t>
  </si>
  <si>
    <t>Scottish Education in the Twentieth Century</t>
  </si>
  <si>
    <t>Scottish Education in the Twentieth Century E-BOOK</t>
  </si>
  <si>
    <t>978-0-585-12345-5</t>
  </si>
  <si>
    <t>American Exceptionalism</t>
  </si>
  <si>
    <t>American Exceptionalism E-BOOK</t>
  </si>
  <si>
    <t>Madsen, Deborah L.</t>
  </si>
  <si>
    <t>978-1-4744-0673-4</t>
  </si>
  <si>
    <t>Impossible Puzzle Films</t>
  </si>
  <si>
    <t>A Cognitive Approach to Contemporary Complex Cinema</t>
  </si>
  <si>
    <t>Impossible Puzzle Films E-BOOK</t>
  </si>
  <si>
    <t>Kiss, Miklós / Willemsen, Steven</t>
  </si>
  <si>
    <t>978-1-4744-1634-4</t>
  </si>
  <si>
    <t>Muslims of Central Asia</t>
  </si>
  <si>
    <t>Muslims of Central Asia E-BOOK</t>
  </si>
  <si>
    <t>Yemelianova, Galina</t>
  </si>
  <si>
    <t>978-0-7486-7017-8</t>
  </si>
  <si>
    <t>The Paul de Man Notebooks</t>
  </si>
  <si>
    <t>The Paul de Man Notebooks E-BOOK</t>
  </si>
  <si>
    <t>978-1-4744-6110-8</t>
  </si>
  <si>
    <t>The Modern Short Story and Magazine Culture, 1880-1950</t>
  </si>
  <si>
    <t>The Modern Short Story and Magazine Culture, 1880-195 E-BOOK</t>
  </si>
  <si>
    <t>D'hoker, Elke / Mourant, Chris</t>
  </si>
  <si>
    <t>978-1-4744-3055-5</t>
  </si>
  <si>
    <t>Historical Dialectology in the Digital Age</t>
  </si>
  <si>
    <t>Historical Dialectology in the Digital Age E-BOOK</t>
  </si>
  <si>
    <t>Molineaux, Benjamin</t>
  </si>
  <si>
    <t>978-0-7486-2928-2</t>
  </si>
  <si>
    <t>Women, Feminism and Media</t>
  </si>
  <si>
    <t>Women, Feminism and Media E-BOOK</t>
  </si>
  <si>
    <t>Media Topics</t>
  </si>
  <si>
    <t>978-1-4744-7108-4</t>
  </si>
  <si>
    <t>Media and Everyday Life in Modern Society</t>
  </si>
  <si>
    <t>Media and Everyday Life in Modern Society E-BOOK</t>
  </si>
  <si>
    <t>Moores, Shaun</t>
  </si>
  <si>
    <t>978-1-4744-3277-1</t>
  </si>
  <si>
    <t>British Muslims</t>
  </si>
  <si>
    <t>New Directions in Islamic Thought, Creativity and Activism</t>
  </si>
  <si>
    <t>British Muslims E-BOOK</t>
  </si>
  <si>
    <t>Warsi, Baroness / Lewis, Philip / Hamid, Sadek</t>
  </si>
  <si>
    <t>978-1-4744-2297-0</t>
  </si>
  <si>
    <t>Dwelling in the Age of Climate Change</t>
  </si>
  <si>
    <t>The Ethics of Adaptation</t>
  </si>
  <si>
    <t>Dwelling in the Age of Climate Change E-BOOK</t>
  </si>
  <si>
    <t>Kelly, Elaine</t>
  </si>
  <si>
    <t>978-1-4744-7075-9</t>
  </si>
  <si>
    <t>Variations</t>
  </si>
  <si>
    <t>The Philosophy of Gilles Deleuze</t>
  </si>
  <si>
    <t>Variations E-BOOK</t>
  </si>
  <si>
    <t>Editions Payot</t>
  </si>
  <si>
    <t>978-1-4744-1680-1</t>
  </si>
  <si>
    <t>The Museum as a Cinematic Space</t>
  </si>
  <si>
    <t>The Display of Moving Images in Exhibitions</t>
  </si>
  <si>
    <t>The Museum as a Cinematic Space E-BOOK</t>
  </si>
  <si>
    <t>Mandelli, Elisa</t>
  </si>
  <si>
    <t>Museums and Collections</t>
  </si>
  <si>
    <t>ART006000 ART / Collections, Catalogs, Exhibitions / General</t>
  </si>
  <si>
    <t>978-0-585-45082-7</t>
  </si>
  <si>
    <t>Fictions of India</t>
  </si>
  <si>
    <t>Narrative and Power</t>
  </si>
  <si>
    <t>Fictions of India E-BOOK</t>
  </si>
  <si>
    <t>Morey, Peter</t>
  </si>
  <si>
    <t>978-1-4744-6425-3</t>
  </si>
  <si>
    <t>The 21st-Century Novel</t>
  </si>
  <si>
    <t>Notes from the Edinburgh World Writers' Conference</t>
  </si>
  <si>
    <t>The 21st-Century Novel E-BOOK</t>
  </si>
  <si>
    <t>Bastable, Jonathan / McGill, Hannah</t>
  </si>
  <si>
    <t>978-0-7486-2954-1</t>
  </si>
  <si>
    <t>Coming of Age in Contemporary American Fiction</t>
  </si>
  <si>
    <t>Coming of Age in Contemporary American Fiction E-BOOK</t>
  </si>
  <si>
    <t>Millard, Kenneth</t>
  </si>
  <si>
    <t>978-1-4744-0653-6</t>
  </si>
  <si>
    <t>The City in Arabic Literature</t>
  </si>
  <si>
    <t>Classical and Modern Perspectives</t>
  </si>
  <si>
    <t>The City in Arabic Literature E-BOOK</t>
  </si>
  <si>
    <t>Hermes, Nizar F.  / Head, Gretchen</t>
  </si>
  <si>
    <t>978-1-4744-2466-0</t>
  </si>
  <si>
    <t>The Politics of Kathy Acker</t>
  </si>
  <si>
    <t>Revolution and the Avant-Garde</t>
  </si>
  <si>
    <t>The Politics of Kathy Acker E-BOOK</t>
  </si>
  <si>
    <t>Borowska, Emilia</t>
  </si>
  <si>
    <t>978-1-4744-6940-1</t>
  </si>
  <si>
    <t>The Dictionary of Feminist Theory</t>
  </si>
  <si>
    <t>The Dictionary of Feminist Theory E-BOOK</t>
  </si>
  <si>
    <t>978-1-4744-6449-9</t>
  </si>
  <si>
    <t>Text and Image in Medieval Persian Art</t>
  </si>
  <si>
    <t>Text and Image in Medieval Persian Art E-BOOK</t>
  </si>
  <si>
    <t>Blair, Sheila S.</t>
  </si>
  <si>
    <t>978-0-7486-4426-1</t>
  </si>
  <si>
    <t>Breaking the Fourth Wall</t>
  </si>
  <si>
    <t>Direct Address in the Cinema</t>
  </si>
  <si>
    <t>Breaking the Fourth Wall E-BOOK</t>
  </si>
  <si>
    <t>Brown, Tom</t>
  </si>
  <si>
    <t>Colorado State University 2023 EBA Selections | Edinburgh University Press Backlist eBook-Package 2013-2000</t>
  </si>
  <si>
    <t>978-0-7486-9931-5</t>
  </si>
  <si>
    <t>The Kaʿba Orientations</t>
  </si>
  <si>
    <t>Readings in Islam’s Ancient House</t>
  </si>
  <si>
    <t>The Kaʿba Orientations E-BOOK</t>
  </si>
  <si>
    <t>O'Meara, Simon</t>
  </si>
  <si>
    <t>978-1-4744-2039-6</t>
  </si>
  <si>
    <t>Analyzing Syntax through Texts</t>
  </si>
  <si>
    <t>Old, Middle, and Early Modern English</t>
  </si>
  <si>
    <t>Analyzing Syntax through Texts E-BOOK</t>
  </si>
  <si>
    <t>van Gelderen, Elly</t>
  </si>
  <si>
    <t>Edinburgh Historical Linguistics</t>
  </si>
  <si>
    <t>978-0-7486-3101-8</t>
  </si>
  <si>
    <t>The Dandy in Irish and American Southern Fiction</t>
  </si>
  <si>
    <t>Aristocratic Drag</t>
  </si>
  <si>
    <t>The Dandy in Irish and American Southern Fiction E-BOOK</t>
  </si>
  <si>
    <t>Crowell, Ellen</t>
  </si>
  <si>
    <t>978-1-4744-3681-6</t>
  </si>
  <si>
    <t>Arabs in the Early Islamic Empire</t>
  </si>
  <si>
    <t>Exploring al-Azd Tribal Identity</t>
  </si>
  <si>
    <t>Arabs in the Early Islamic Empire E-BOOK</t>
  </si>
  <si>
    <t>Ulrich, Brian</t>
  </si>
  <si>
    <t>978-1-4744-2874-3</t>
  </si>
  <si>
    <t>The Films of Susanne Bier</t>
  </si>
  <si>
    <t>Molloy, Missy / Nielsen, Mimi / Shriver-Rice, Meryl</t>
  </si>
  <si>
    <t>978-0-7486-9949-0</t>
  </si>
  <si>
    <t>Professor Norrie's Commentaries on Family Law</t>
  </si>
  <si>
    <t>Professor Norrie's Commentaries on Family Law E-BOOK</t>
  </si>
  <si>
    <t>978-1-4744-1957-4</t>
  </si>
  <si>
    <t>Tragedies of the English Renaissance</t>
  </si>
  <si>
    <t>Tragedies of the English Renaissance E-BOOK</t>
  </si>
  <si>
    <t>Stanivukovic, Goran / Cameron, John H.</t>
  </si>
  <si>
    <t>Renaissance Dramas and Dramatists</t>
  </si>
  <si>
    <t>978-0-7486-5066-8</t>
  </si>
  <si>
    <t>Determined Spirits</t>
  </si>
  <si>
    <t>Eugenics, Heredity and Racial Regeneration in Anglo-American Spiritualist Writing, 1848-1930</t>
  </si>
  <si>
    <t>Determined Spirits E-BOOK</t>
  </si>
  <si>
    <t>Ferguson, Christine</t>
  </si>
  <si>
    <t>978-1-4744-6601-1</t>
  </si>
  <si>
    <t>Language, Mind and Brain</t>
  </si>
  <si>
    <t>Some Psychological and Neurological Constraints on Theories of Grammar</t>
  </si>
  <si>
    <t>Language, Mind and Brain E-BOOK</t>
  </si>
  <si>
    <t>Dabrowska, Ewa</t>
  </si>
  <si>
    <t>978-1-4744-2481-3</t>
  </si>
  <si>
    <t>Disordered Violence</t>
  </si>
  <si>
    <t>How Gender, Race and Heteronormativity Structure Terrorism</t>
  </si>
  <si>
    <t>Disordered Violence E-BOOK</t>
  </si>
  <si>
    <t>Gentry, Caron</t>
  </si>
  <si>
    <t>978-1-4744-0302-3</t>
  </si>
  <si>
    <t>The Films of Delmer Daves</t>
  </si>
  <si>
    <t>Carter, Matthew / Nelson, Andrew</t>
  </si>
  <si>
    <t>978-1-4744-6818-3</t>
  </si>
  <si>
    <t>Postcolonial Cultures</t>
  </si>
  <si>
    <t>Postcolonial Cultures E-BOOK</t>
  </si>
  <si>
    <t>Featherstone, Simon</t>
  </si>
  <si>
    <t>978-0-7486-4543-5</t>
  </si>
  <si>
    <t>Law Making and the Scottish Parliament</t>
  </si>
  <si>
    <t>The Early Years</t>
  </si>
  <si>
    <t>Law Making and the Scottish Parliament E-BOOK</t>
  </si>
  <si>
    <t>Goodall, Kay E. / Sutherland, Elaine E. / Little, Gavin F.M.</t>
  </si>
  <si>
    <t>978-1-4744-3120-0</t>
  </si>
  <si>
    <t>Prehistoric Myths in Modern Political Philosophy</t>
  </si>
  <si>
    <t>Challenging Stone Age Stories</t>
  </si>
  <si>
    <t>Prehistoric Myths in Modern Political Philosophy E-BOOK</t>
  </si>
  <si>
    <t>Widerquist, Karl / Mc Call, Grant S.</t>
  </si>
  <si>
    <t>History of Philosophy, other</t>
  </si>
  <si>
    <t>978-1-4744-6205-1</t>
  </si>
  <si>
    <t>The Films of Paul Schrader</t>
  </si>
  <si>
    <t>Moore, Michelle E. / Brems, Brian</t>
  </si>
  <si>
    <t>978-1-4744-4722-5</t>
  </si>
  <si>
    <t>Muriel Spark, Existentialism and The Art of Death</t>
  </si>
  <si>
    <t>Muriel Spark, Existentialism and The Art of Death E-BOOK</t>
  </si>
  <si>
    <t>978-1-4744-0044-2</t>
  </si>
  <si>
    <t>Transforming Settlement in Southern Africa</t>
  </si>
  <si>
    <t>Transforming Settlement in Southern Africa E-BOOK</t>
  </si>
  <si>
    <t>de Wet, Chris / Fox, Roddy</t>
  </si>
  <si>
    <t>International African Seminars</t>
  </si>
  <si>
    <t>978-1-4744-8051-2</t>
  </si>
  <si>
    <t>Elizabeth Bowen’s Psychoanalytic Fiction</t>
  </si>
  <si>
    <t>Elizabeth Bowen’s Psychoanalytic Fiction E-BOOK</t>
  </si>
  <si>
    <t>Coulson, Victoria</t>
  </si>
  <si>
    <t>Midcentury Modern Writers</t>
  </si>
  <si>
    <t>978-0-7486-3090-5</t>
  </si>
  <si>
    <t>Music, Sound and Multimedia</t>
  </si>
  <si>
    <t>From the Live to the Virtual</t>
  </si>
  <si>
    <t>Music, Sound and Multimedia E-BOOK</t>
  </si>
  <si>
    <t>Sexton, Jamie</t>
  </si>
  <si>
    <t>Colorado State University 2023 EBA Selections | Edinburgh University Press Backlist eBook-Package 2013-2000 | Montana State Music Collection P&amp;C Titles</t>
  </si>
  <si>
    <t>978-0-7486-4693-7</t>
  </si>
  <si>
    <t>Health Inequalities and Global Justice</t>
  </si>
  <si>
    <t>Health Inequalities and Global Justice E-BOOK</t>
  </si>
  <si>
    <t>Lenard, Patti Tamara / Straehle, Christine</t>
  </si>
  <si>
    <t>Clinical Medicine</t>
  </si>
  <si>
    <t>Clinical Medicine, other</t>
  </si>
  <si>
    <t>MED050000 MEDICAL / Ethics</t>
  </si>
  <si>
    <t>978-0-7486-3173-5</t>
  </si>
  <si>
    <t>Philosophising in Mombasa</t>
  </si>
  <si>
    <t>Knowledge, Islam and Intellectual Practice on the Swahili Coast</t>
  </si>
  <si>
    <t>Philosophising in Mombasa E-BOOK</t>
  </si>
  <si>
    <t>Kresse, Kai</t>
  </si>
  <si>
    <t>978-1-4744-2178-2</t>
  </si>
  <si>
    <t>Ancient Greek History and Contemporary Social Science</t>
  </si>
  <si>
    <t>Ancient Greek History and Contemporary Social Science E-BOOK</t>
  </si>
  <si>
    <t>Ober, Josiah</t>
  </si>
  <si>
    <t>978-0-7486-3349-4</t>
  </si>
  <si>
    <t>Modernism, Space and the City</t>
  </si>
  <si>
    <t>Outsiders and Affect in Paris, Vienna, Berlin, and London</t>
  </si>
  <si>
    <t>Modernism, Space and the City E-BOOK</t>
  </si>
  <si>
    <t>Thacker, Andrew</t>
  </si>
  <si>
    <t>978-1-4744-4606-8</t>
  </si>
  <si>
    <t>The Stillness of Solitude</t>
  </si>
  <si>
    <t>Romanticism and Contemporary American Independent Film</t>
  </si>
  <si>
    <t>The Stillness of Solitude E-BOOK</t>
  </si>
  <si>
    <t>Devereaux, Michelle</t>
  </si>
  <si>
    <t>978-1-4744-0398-6</t>
  </si>
  <si>
    <t>The Beats</t>
  </si>
  <si>
    <t>Authorships, Legacies</t>
  </si>
  <si>
    <t>The Beats E-BOOK</t>
  </si>
  <si>
    <t>978-1-4744-1644-3</t>
  </si>
  <si>
    <t>A Wealthier, Fairer Scotland</t>
  </si>
  <si>
    <t>The Political Economy of Constitutional Change</t>
  </si>
  <si>
    <t>A Wealthier, Fairer Scotland E-BOOK</t>
  </si>
  <si>
    <t>POL019000 POLITICAL SCIENCE / Public Policy / Social Services &amp; Welfare</t>
  </si>
  <si>
    <t>978-1-4744-4763-8</t>
  </si>
  <si>
    <t>The Films of Spike Jonze</t>
  </si>
  <si>
    <t>Wilkins, Kim / Moss-Wellington, Wyatt</t>
  </si>
  <si>
    <t>978-0-7486-9085-5</t>
  </si>
  <si>
    <t>Drivetime</t>
  </si>
  <si>
    <t>Literary Excursions in Automotive Consciousness</t>
  </si>
  <si>
    <t>Drivetime E-BOOK</t>
  </si>
  <si>
    <t>Pearce, Lynne</t>
  </si>
  <si>
    <t>978-1-4744-0943-8</t>
  </si>
  <si>
    <t>Radical Romantics</t>
  </si>
  <si>
    <t>Prophets, Pirates, and the Space Beyond Nation</t>
  </si>
  <si>
    <t>Radical Romantics E-BOOK</t>
  </si>
  <si>
    <t>Ford, Talissa</t>
  </si>
  <si>
    <t>978-1-4744-4309-8</t>
  </si>
  <si>
    <t>Spies, Spin and the Fourth Estate</t>
  </si>
  <si>
    <t>British Intelligence and the Media</t>
  </si>
  <si>
    <t>Spies, Spin and the Fourth Estate E-BOOK</t>
  </si>
  <si>
    <t>Lashmar, Paul</t>
  </si>
  <si>
    <t>978-1-4744-2627-5</t>
  </si>
  <si>
    <t>Transatlantic Rhetoric</t>
  </si>
  <si>
    <t>Speeches from the American Revolution to the Suffragettes</t>
  </si>
  <si>
    <t>Transatlantic Rhetoric E-BOOK</t>
  </si>
  <si>
    <t>Wright, Tom</t>
  </si>
  <si>
    <t>978-0-7486-9099-2</t>
  </si>
  <si>
    <t>Empathy and the Psychology of Literary Modernism</t>
  </si>
  <si>
    <t>Empathy and the Psychology of Literary Modernism E-BOOK</t>
  </si>
  <si>
    <t>Hammond, Meghan Marie</t>
  </si>
  <si>
    <t>978-1-4744-6553-3</t>
  </si>
  <si>
    <t>Get Set for Philosophy</t>
  </si>
  <si>
    <t>Get Set for Philosophy E-BOOK</t>
  </si>
  <si>
    <t>978-1-4744-0554-6</t>
  </si>
  <si>
    <t>Key Concepts in the Gothic</t>
  </si>
  <si>
    <t>Key Concepts in the Gothic E-BOOK</t>
  </si>
  <si>
    <t>Hughes, William</t>
  </si>
  <si>
    <t>Key Concepts in Literature</t>
  </si>
  <si>
    <t>978-0-7486-2968-8</t>
  </si>
  <si>
    <t>British Film Directors</t>
  </si>
  <si>
    <t>British Film Directors E-BOOK</t>
  </si>
  <si>
    <t>Shail, Robert</t>
  </si>
  <si>
    <t>978-0-7486-3645-7</t>
  </si>
  <si>
    <t>Mercenaries in British and American Literature, 1790–1830</t>
  </si>
  <si>
    <t>Writing, Fighting, and Marrying for Money</t>
  </si>
  <si>
    <t>Mercenaries in British and American Literature, 1790– E-BOOK</t>
  </si>
  <si>
    <t>Simpson, Erik</t>
  </si>
  <si>
    <t>978-0-7486-4635-7</t>
  </si>
  <si>
    <t>The Edinburgh Companion to Scottish Romanticism</t>
  </si>
  <si>
    <t>The Edinburgh Companion to Scottish Romanticism E-BOOK</t>
  </si>
  <si>
    <t>978-1-4744-2976-4</t>
  </si>
  <si>
    <t>Distributed Cognition in Classical Antiquity</t>
  </si>
  <si>
    <t>Distributed Cognition in Classical Antiquity E-BOOK</t>
  </si>
  <si>
    <t>Sprevak, Mark / Anderson, Miranda / Cairns, Douglas</t>
  </si>
  <si>
    <t>The Edinburgh History of Distributed Cognition</t>
  </si>
  <si>
    <t>978-0-7486-3827-7</t>
  </si>
  <si>
    <t>The Great Seljuk Empire</t>
  </si>
  <si>
    <t>The Great Seljuk Empire E-BOOK</t>
  </si>
  <si>
    <t>The Edinburgh History of the Islamic Empires</t>
  </si>
  <si>
    <t>978-1-4744-6566-3</t>
  </si>
  <si>
    <t>Ethics in Public Service</t>
  </si>
  <si>
    <t>Ethics in Public Service E-BOOK</t>
  </si>
  <si>
    <t>Chapman, Richard A.</t>
  </si>
  <si>
    <t>Public Admin &amp; Management</t>
  </si>
  <si>
    <t>POL017000 POLITICAL SCIENCE / Public Affairs &amp; Administration</t>
  </si>
  <si>
    <t>978-0-7486-7960-7</t>
  </si>
  <si>
    <t>The Art that all Arts do Approve</t>
  </si>
  <si>
    <t>Manifestations of the Dance Impulse in High Renaissance Culture: Studies in Honour of Margaret M McGowan: Dance Research Volume 25 Issue 2</t>
  </si>
  <si>
    <t>The Art that all Arts do Approve E-BOOK</t>
  </si>
  <si>
    <t>Ralph, Richard</t>
  </si>
  <si>
    <t>Dance Research Special Issues</t>
  </si>
  <si>
    <t>Dance</t>
  </si>
  <si>
    <t>PER003000 PERFORMING ARTS / Dance / General</t>
  </si>
  <si>
    <t>978-0-7486-2924-4</t>
  </si>
  <si>
    <t>Medieval Islamic Medicine</t>
  </si>
  <si>
    <t>Medieval Islamic Medicine E-BOOK</t>
  </si>
  <si>
    <t>Pormann, Peter / Savage-Smith, Emilie</t>
  </si>
  <si>
    <t>978-1-4744-6673-8</t>
  </si>
  <si>
    <t>Homo Natura</t>
  </si>
  <si>
    <t>Nietzsche, Philosophical Anthropology and Biopolitics</t>
  </si>
  <si>
    <t>Homo Natura E-BOOK</t>
  </si>
  <si>
    <t>Lemm, Vanessa</t>
  </si>
  <si>
    <t>978-0-7486-9348-1</t>
  </si>
  <si>
    <t>Contemporary Islamic Law in Indonesia</t>
  </si>
  <si>
    <t>Sharia and Legal Pluralism</t>
  </si>
  <si>
    <t>Contemporary Islamic Law in Indonesia E-BOOK</t>
  </si>
  <si>
    <t>Salim, Arskal</t>
  </si>
  <si>
    <t>Exploring Muslim Contexts</t>
  </si>
  <si>
    <t>978-1-4744-1740-2</t>
  </si>
  <si>
    <t>The Mongol Empire</t>
  </si>
  <si>
    <t>The Mongol Empire E-BOOK</t>
  </si>
  <si>
    <t>May, Timothy</t>
  </si>
  <si>
    <t>978-1-4744-0073-2</t>
  </si>
  <si>
    <t>Regicide and Republicanism</t>
  </si>
  <si>
    <t>Politics and Ethics in the English Revolution, 1646-1659</t>
  </si>
  <si>
    <t>Regicide and Republicanism E-BOOK</t>
  </si>
  <si>
    <t>Barber, Sarah</t>
  </si>
  <si>
    <t>978-1-4744-3035-7</t>
  </si>
  <si>
    <t>Chinese Stardom in Participatory Cyberculture</t>
  </si>
  <si>
    <t>Chinese Stardom in Participatory Cyberculture E-BOOK</t>
  </si>
  <si>
    <t>Lau, Dorothy Wai Sim</t>
  </si>
  <si>
    <t>International Film Stars</t>
  </si>
  <si>
    <t>978-1-4744-7935-6</t>
  </si>
  <si>
    <t>Peace Processes in Northern Ireland and Turkey</t>
  </si>
  <si>
    <t>Rethinking Conflict Resolution</t>
  </si>
  <si>
    <t>Peace Processes in Northern Ireland and Turkey E-BOOK</t>
  </si>
  <si>
    <t>Kadıoğlu, İ. Aytaç</t>
  </si>
  <si>
    <t>Edinburgh Studies on Modern Turkey</t>
  </si>
  <si>
    <t>978-0-7486-9981-0</t>
  </si>
  <si>
    <t>Hume's Sceptical Enlightenment</t>
  </si>
  <si>
    <t>Hume's Sceptical Enlightenment E-BOOK</t>
  </si>
  <si>
    <t>Susato, Ryu</t>
  </si>
  <si>
    <t>978-1-4744-5637-1</t>
  </si>
  <si>
    <t>Affective Intensities and Evolving Horror Forms</t>
  </si>
  <si>
    <t>From Found Footage to Virtual Reality</t>
  </si>
  <si>
    <t>Affective Intensities and Evolving Horror Forms E-BOOK</t>
  </si>
  <si>
    <t>Daniel, Adam</t>
  </si>
  <si>
    <t>978-1-4744-7017-9</t>
  </si>
  <si>
    <t>Islamic Aesthetics</t>
  </si>
  <si>
    <t>Islamic Aesthetics E-BOOK</t>
  </si>
  <si>
    <t>Leaman, Oliver</t>
  </si>
  <si>
    <t>978-1-4744-2379-3</t>
  </si>
  <si>
    <t>Jacques Rancière and the Politics of Art Cinema</t>
  </si>
  <si>
    <t>Jacques Rancière and the Politics of Art Cinema E-BOOK</t>
  </si>
  <si>
    <t>Harvey, James</t>
  </si>
  <si>
    <t>978-0-7486-3005-9</t>
  </si>
  <si>
    <t>Hugh MacDiarmid's Poetry and Politics of Place</t>
  </si>
  <si>
    <t>Imagining a Scottish Republic</t>
  </si>
  <si>
    <t>Hugh MacDiarmid's Poetry and Politics of Place E-BOOK</t>
  </si>
  <si>
    <t>Lyall, Scott</t>
  </si>
  <si>
    <t>978-1-4744-2478-3</t>
  </si>
  <si>
    <t>Hieroglyphic Modernisms</t>
  </si>
  <si>
    <t>Writing and New Media in the Twentieth Century</t>
  </si>
  <si>
    <t>Hieroglyphic Modernisms E-BOOK</t>
  </si>
  <si>
    <t>Schotter, Jesse</t>
  </si>
  <si>
    <t>978-1-4744-1489-0</t>
  </si>
  <si>
    <t>Gilles Deleuze's Transcendental Empiricism</t>
  </si>
  <si>
    <t>From Tradition to Difference</t>
  </si>
  <si>
    <t>Gilles Deleuze's Transcendental Empiricism E-BOOK</t>
  </si>
  <si>
    <t>Rölli, Marc / Hertz-Ohmes, Peter</t>
  </si>
  <si>
    <t>978-0-7486-3074-5</t>
  </si>
  <si>
    <t>Philanthropy in British and American Fiction</t>
  </si>
  <si>
    <t>Dickens, Hawthorne, Eliot and Howells</t>
  </si>
  <si>
    <t>Philanthropy in British and American Fiction E-BOOK</t>
  </si>
  <si>
    <t>Christianson, Frank</t>
  </si>
  <si>
    <t>978-0-7486-7993-5</t>
  </si>
  <si>
    <t>The Scots in Victorian and Edwardian Belfast</t>
  </si>
  <si>
    <t>A Study in Elite Migration</t>
  </si>
  <si>
    <t>The Scots in Victorian and Edwardian Belfast E-BOOK</t>
  </si>
  <si>
    <t>Hughes, Kyle</t>
  </si>
  <si>
    <t>Scottish Historical Review Monographs</t>
  </si>
  <si>
    <t>978-0-7486-5446-8</t>
  </si>
  <si>
    <t>Virilio and Visual Culture</t>
  </si>
  <si>
    <t>Virilio and Visual Culture E-BOOK</t>
  </si>
  <si>
    <t>Bishop, Ryan / Armitage, John</t>
  </si>
  <si>
    <t>978-0-7486-2967-1</t>
  </si>
  <si>
    <t>A Glossary of Phonology</t>
  </si>
  <si>
    <t>A Glossary of Phonology E-BOOK</t>
  </si>
  <si>
    <t>Carr, Philip</t>
  </si>
  <si>
    <t>978-0-7486-3531-3</t>
  </si>
  <si>
    <t>The Provisional Irish Republican Army and the Morality of Terrorism</t>
  </si>
  <si>
    <t>The Provisional Irish Republican Army and the Moralit E-BOOK</t>
  </si>
  <si>
    <t>Shanahan, Timothy</t>
  </si>
  <si>
    <t>978-1-4744-7219-7</t>
  </si>
  <si>
    <t>Theories of Memory</t>
  </si>
  <si>
    <t>Theories of Memory E-BOOK</t>
  </si>
  <si>
    <t>Rossington, Michael / Whitehead, Anne</t>
  </si>
  <si>
    <t>978-0-7486-9571-3</t>
  </si>
  <si>
    <t>Derivatives in Islamic Finance</t>
  </si>
  <si>
    <t>Examining the Market Risk Management Framework</t>
  </si>
  <si>
    <t>Derivatives in Islamic Finance E-BOOK</t>
  </si>
  <si>
    <t>Ayoub, Sherif</t>
  </si>
  <si>
    <t>978-0-7486-2993-0</t>
  </si>
  <si>
    <t>Women's Poetry</t>
  </si>
  <si>
    <t>Women's Poetry E-BOOK</t>
  </si>
  <si>
    <t>Gill, Jo</t>
  </si>
  <si>
    <t>978-0-7486-4559-6</t>
  </si>
  <si>
    <t>Shari'ah Governance in Islamic Banks</t>
  </si>
  <si>
    <t>Shari'ah Governance in Islamic Banks E-BOOK</t>
  </si>
  <si>
    <t>Hasan, Zulkifli</t>
  </si>
  <si>
    <t>978-0-7486-9234-7</t>
  </si>
  <si>
    <t>Memory, Subjectivity and Independent Chinese Cinema</t>
  </si>
  <si>
    <t>Memory, Subjectivity and Independent Chinese Cinema E-BOOK</t>
  </si>
  <si>
    <t>Wang, Qi</t>
  </si>
  <si>
    <t>978-0-7486-4419-3</t>
  </si>
  <si>
    <t>Thomas Reid and the University</t>
  </si>
  <si>
    <t>Thomas Reid and the University E-BOOK</t>
  </si>
  <si>
    <t>978-1-4744-6317-1</t>
  </si>
  <si>
    <t>No Power Without an Image</t>
  </si>
  <si>
    <t>Icons Between Photography and Film</t>
  </si>
  <si>
    <t>No Power Without an Image E-BOOK</t>
  </si>
  <si>
    <t>Saxton, Libby</t>
  </si>
  <si>
    <t>978-1-4744-0827-1</t>
  </si>
  <si>
    <t>Imagining the Arabs</t>
  </si>
  <si>
    <t>Arab Identity and the Rise of Islam</t>
  </si>
  <si>
    <t>Imagining the Arabs E-BOOK</t>
  </si>
  <si>
    <t>Webb, Peter</t>
  </si>
  <si>
    <t>978-1-4744-8311-7</t>
  </si>
  <si>
    <t>New Ecological Realisms</t>
  </si>
  <si>
    <t>Post-Apocalyptic Fiction and Contemporary Theory</t>
  </si>
  <si>
    <t>New Ecological Realisms E-BOOK</t>
  </si>
  <si>
    <t xml:space="preserve">Kaup, Monika </t>
  </si>
  <si>
    <t>Speculative Realism</t>
  </si>
  <si>
    <t>978-0-7486-4464-3</t>
  </si>
  <si>
    <t>Don Quixote in the Archives</t>
  </si>
  <si>
    <t>Madness and Literature in Early Modern Spain</t>
  </si>
  <si>
    <t>Don Quixote in the Archives E-BOOK</t>
  </si>
  <si>
    <t>Shuger, Dale</t>
  </si>
  <si>
    <t>LIT004280 LITERARY CRITICISM / European / Spanish &amp; Portuguese</t>
  </si>
  <si>
    <t>978-0-7486-3163-6</t>
  </si>
  <si>
    <t>The American Short Story since 1950</t>
  </si>
  <si>
    <t>The American Short Story since 1950 E-BOOK</t>
  </si>
  <si>
    <t>Boddy, Kasia</t>
  </si>
  <si>
    <t>978-0-7486-5612-7</t>
  </si>
  <si>
    <t>Social Interaction and English Language Teacher Identity</t>
  </si>
  <si>
    <t>Social Interaction and English Language Teacher Ident E-BOOK</t>
  </si>
  <si>
    <t>Morton, Tom / Gray, John</t>
  </si>
  <si>
    <t>978-1-4744-4933-5</t>
  </si>
  <si>
    <t>Human Rights and Reformist Islam</t>
  </si>
  <si>
    <t>Human Rights and Reformist Islam E-BOOK</t>
  </si>
  <si>
    <t>Künkler, Mirjam / Kadivar, Mohsen / Akhavan, Niki</t>
  </si>
  <si>
    <t>EBOOK PACKAGE COMPLETE 2022 | EBOOK PACKAGE COMPLETE 2022 English | EBOOK PACKAGE History 2022 | EBOOK PACKAGE History 2022 English | Edinburgh University Press Complete eBook-Package 2021 | U Chicago P&amp;C UPL Single Titles 2024</t>
  </si>
  <si>
    <t>978-0-585-10424-9</t>
  </si>
  <si>
    <t>Kant's Criticism of Metaphysics</t>
  </si>
  <si>
    <t>Kant's Criticism of Metaphysics E-BOOK</t>
  </si>
  <si>
    <t>Walsh, W.</t>
  </si>
  <si>
    <t>978-0-7486-8637-7</t>
  </si>
  <si>
    <t>Deleuze and the Naming of God</t>
  </si>
  <si>
    <t>Post-Secularism and the Future of Immanence</t>
  </si>
  <si>
    <t>Deleuze and the Naming of God E-BOOK</t>
  </si>
  <si>
    <t>Barber, Daniel Colucciello</t>
  </si>
  <si>
    <t>978-1-4744-8274-5</t>
  </si>
  <si>
    <t>Performing Conversion</t>
  </si>
  <si>
    <t>Cities, Theatre and Early Modern Transformations</t>
  </si>
  <si>
    <t>Performing Conversion E-BOOK</t>
  </si>
  <si>
    <t>Jouve Martin, José R. / Wittek, Stephen</t>
  </si>
  <si>
    <t>978-1-4744-5000-3</t>
  </si>
  <si>
    <t>Cognitive Linguistic Approaches to Text and Discourse</t>
  </si>
  <si>
    <t>From Poetics to Politics</t>
  </si>
  <si>
    <t>Cognitive Linguistic Approaches to Text and Discourse E-BOOK</t>
  </si>
  <si>
    <t>Hart, Christopher</t>
  </si>
  <si>
    <t>978-0-7486-7703-0</t>
  </si>
  <si>
    <t>Stiegler and Technics</t>
  </si>
  <si>
    <t>Stiegler and Technics E-BOOK</t>
  </si>
  <si>
    <t>Howells, Christina / Moore, Gerald</t>
  </si>
  <si>
    <t>978-1-4744-6585-4</t>
  </si>
  <si>
    <t>Katherine Mansfield and Modernism</t>
  </si>
  <si>
    <t>Katherine Mansfield Studies, Volume 2</t>
  </si>
  <si>
    <t>Katherine Mansfield and Modernism E-BOOK</t>
  </si>
  <si>
    <t>Reid, Susan / da Sousa Correa, Delia / Kimber, Gerri</t>
  </si>
  <si>
    <t>Katherine Mansfield Studies</t>
  </si>
  <si>
    <t>978-1-4744-7135-0</t>
  </si>
  <si>
    <t>The Family Law (Scotland) Act 2006</t>
  </si>
  <si>
    <t>The Family Law (Scotland) Act 2006 E-BOOK</t>
  </si>
  <si>
    <t>Family Law</t>
  </si>
  <si>
    <t>LAW038010 LAW / Family Law / Children</t>
  </si>
  <si>
    <t>978-0-7486-3030-1</t>
  </si>
  <si>
    <t>International Politics</t>
  </si>
  <si>
    <t>An Introductory Guide</t>
  </si>
  <si>
    <t>International Politics E-BOOK</t>
  </si>
  <si>
    <t>Blair, Alasdair / Curtis, Steven</t>
  </si>
  <si>
    <t>978-1-4744-6927-2</t>
  </si>
  <si>
    <t>Jarring Witnesses</t>
  </si>
  <si>
    <t>Modern Fiction and the Representation of History</t>
  </si>
  <si>
    <t>Jarring Witnesses E-BOOK</t>
  </si>
  <si>
    <t>Holton, Robert</t>
  </si>
  <si>
    <t>978-0-7486-3130-8</t>
  </si>
  <si>
    <t>An Introduction to Late Modern English</t>
  </si>
  <si>
    <t>An Introduction to Late Modern English E-BOOK</t>
  </si>
  <si>
    <t>Tieken-Boon van Ostade, Ingrid</t>
  </si>
  <si>
    <t>978-1-4744-7337-8</t>
  </si>
  <si>
    <t>Islamic Medicine</t>
  </si>
  <si>
    <t>Islamic Medicine E-BOOK</t>
  </si>
  <si>
    <t>Ullmann, Manfred</t>
  </si>
  <si>
    <t>978-0-7486-2630-4</t>
  </si>
  <si>
    <t>Media and Ethnic Minorities</t>
  </si>
  <si>
    <t>Media and Ethnic Minorities E-BOOK</t>
  </si>
  <si>
    <t>Alia, Valerie / Bull, Simone</t>
  </si>
  <si>
    <t>978-0-7486-8580-6</t>
  </si>
  <si>
    <t>West Midlands English</t>
  </si>
  <si>
    <t>Birmingham and the Black Country</t>
  </si>
  <si>
    <t>West Midlands English E-BOOK</t>
  </si>
  <si>
    <t>Clark, Urszula / Asprey, Esther</t>
  </si>
  <si>
    <t>978-0-7486-2824-7</t>
  </si>
  <si>
    <t>Religion, Culture and Politics in the Twentieth-Century United States</t>
  </si>
  <si>
    <t>Religion, Culture and Politics in the Twentieth-Centu E-BOOK</t>
  </si>
  <si>
    <t>Hulsether, Mark</t>
  </si>
  <si>
    <t>REL084000 RELIGION / Religion, Politics &amp; State</t>
  </si>
  <si>
    <t>978-0-7486-8192-1</t>
  </si>
  <si>
    <t>Jane Morris</t>
  </si>
  <si>
    <t>The Burden of History</t>
  </si>
  <si>
    <t>Jane Morris E-BOOK</t>
  </si>
  <si>
    <t>Parkins, Wendy</t>
  </si>
  <si>
    <t>978-0-7486-4597-8</t>
  </si>
  <si>
    <t>Deleuze and the Body</t>
  </si>
  <si>
    <t>Deleuze and the Body E-BOOK</t>
  </si>
  <si>
    <t>Guillaume, Laura / Hughes, Joe</t>
  </si>
  <si>
    <t>978-0-7486-2694-6</t>
  </si>
  <si>
    <t>Empires of Belief</t>
  </si>
  <si>
    <t>Why We Need More Scepticism and Doubt in the Twenty-First Century</t>
  </si>
  <si>
    <t>Empires of Belief E-BOOK</t>
  </si>
  <si>
    <t>978-1-4744-7602-7</t>
  </si>
  <si>
    <t>Agamben's Philosophical Trajectory</t>
  </si>
  <si>
    <t>Agamben's Philosophical Trajectory E-BOOK</t>
  </si>
  <si>
    <t>Kotsko, Adam</t>
  </si>
  <si>
    <t>978-0-7486-3409-5</t>
  </si>
  <si>
    <t>Palestinian Cinema</t>
  </si>
  <si>
    <t>Landscape, Trauma and Memory</t>
  </si>
  <si>
    <t>Palestinian Cinema E-BOOK</t>
  </si>
  <si>
    <t>Gertz, Nurith / Khleifi, George</t>
  </si>
  <si>
    <t>978-0-7486-3040-0</t>
  </si>
  <si>
    <t>About Time</t>
  </si>
  <si>
    <t>Narrative, Fiction and the Philosophy of Time</t>
  </si>
  <si>
    <t>About Time E-BOOK</t>
  </si>
  <si>
    <t>Currie, Mark</t>
  </si>
  <si>
    <t>978-1-4744-6556-4</t>
  </si>
  <si>
    <t>An Introduction to the Hadith</t>
  </si>
  <si>
    <t>An Introduction to the Hadith E-BOOK</t>
  </si>
  <si>
    <t>978-1-4744-7380-4</t>
  </si>
  <si>
    <t>Death in the Diaspora</t>
  </si>
  <si>
    <t>British and Irish Gravestones</t>
  </si>
  <si>
    <t>Death in the Diaspora E-BOOK</t>
  </si>
  <si>
    <t>Evans, Nicholas / McCarthy, Angela</t>
  </si>
  <si>
    <t>Studies in British and Irish Migration</t>
  </si>
  <si>
    <t>978-0-7486-2838-4</t>
  </si>
  <si>
    <t>Rob Roy</t>
  </si>
  <si>
    <t>Rob Roy E-BOOK</t>
  </si>
  <si>
    <t>Scott, Walter / Hewitt, David</t>
  </si>
  <si>
    <t>978-1-4744-2847-7</t>
  </si>
  <si>
    <t>Worldly Desires</t>
  </si>
  <si>
    <t>Cosmopolitanism and Cinema in Hong Kong and Taiwan</t>
  </si>
  <si>
    <t>Worldly Desires E-BOOK</t>
  </si>
  <si>
    <t>Hu, Brian</t>
  </si>
  <si>
    <t>978-0-7486-6998-1</t>
  </si>
  <si>
    <t>Without Mastery</t>
  </si>
  <si>
    <t>Reading and Other Forces</t>
  </si>
  <si>
    <t>Without Mastery E-BOOK</t>
  </si>
  <si>
    <t>Wood, Sarah</t>
  </si>
  <si>
    <t>978-1-4744-0297-2</t>
  </si>
  <si>
    <t>Reinventing Liberty</t>
  </si>
  <si>
    <t>Nation, Commerce and the Historical Novel from Walpole to Scott</t>
  </si>
  <si>
    <t>Reinventing Liberty E-BOOK</t>
  </si>
  <si>
    <t>Price, Fiona</t>
  </si>
  <si>
    <t>978-1-4744-7763-5</t>
  </si>
  <si>
    <t>The Films of Rakhshan Banietemad</t>
  </si>
  <si>
    <t>Ghorbankarimi, Maryam</t>
  </si>
  <si>
    <t>978-0-7486-3114-8</t>
  </si>
  <si>
    <t>Political Communication</t>
  </si>
  <si>
    <t>Political Communication E-BOOK</t>
  </si>
  <si>
    <t>Foster, Steven</t>
  </si>
  <si>
    <t>978-1-4744-3135-4</t>
  </si>
  <si>
    <t>Modernism and Time Machines</t>
  </si>
  <si>
    <t>Modernism and Time Machines E-BOOK</t>
  </si>
  <si>
    <t>Tung, Charles M.</t>
  </si>
  <si>
    <t>978-0-7486-4389-9</t>
  </si>
  <si>
    <t>Post-War Planning on the Periphery</t>
  </si>
  <si>
    <t>Anglo-American Economic Diplomacy in South America, 1939–1945</t>
  </si>
  <si>
    <t>Post-War Planning on the Periphery E-BOOK</t>
  </si>
  <si>
    <t>Mills, Thomas C.</t>
  </si>
  <si>
    <t>Edinburgh Studies in Anglo-American Relations</t>
  </si>
  <si>
    <t>978-0-7486-3254-1</t>
  </si>
  <si>
    <t>Englishness</t>
  </si>
  <si>
    <t>Twentieth-Century Popular Culture and the Forming of English Identity</t>
  </si>
  <si>
    <t>Englishness E-BOOK</t>
  </si>
  <si>
    <t>978-1-4744-1808-9</t>
  </si>
  <si>
    <t>Leibniz</t>
  </si>
  <si>
    <t>A Contribution to the Archaeology of Power</t>
  </si>
  <si>
    <t>Leibniz E-BOOK</t>
  </si>
  <si>
    <t>Connelly, Stephen</t>
  </si>
  <si>
    <t>Encounters in Law &amp; Philosophy</t>
  </si>
  <si>
    <t>978-0-585-10337-2</t>
  </si>
  <si>
    <t>Polemicization</t>
  </si>
  <si>
    <t>The Contingency of the Commonplace</t>
  </si>
  <si>
    <t>Polemicization E-BOOK</t>
  </si>
  <si>
    <t>Arditi, Benjamin / Valentine, Jeremy</t>
  </si>
  <si>
    <t>978-1-4744-3302-0</t>
  </si>
  <si>
    <t>Saint Ronan's Well</t>
  </si>
  <si>
    <t>Saint Ronan's Well E-BOOK</t>
  </si>
  <si>
    <t>Scott, Walter / Weinstein, Mark</t>
  </si>
  <si>
    <t>978-1-4744-4012-7</t>
  </si>
  <si>
    <t>Politics, Ontology and Knowledge in Spinoza</t>
  </si>
  <si>
    <t>Politics, Ontology and Knowledge in Spinoza E-BOOK</t>
  </si>
  <si>
    <t>Maruzzella, David / Morejon, Gil</t>
  </si>
  <si>
    <t>Spinoza Studies</t>
  </si>
  <si>
    <t>978-0-7486-9400-6</t>
  </si>
  <si>
    <t>The Edinburgh History of the Greeks, 1453 to 1768</t>
  </si>
  <si>
    <t>The Ottoman Empire</t>
  </si>
  <si>
    <t>The Edinburgh History of the Greeks, 1453 to 1768 E-BOOK</t>
  </si>
  <si>
    <t>Greene, Molly</t>
  </si>
  <si>
    <t>978-1-4744-5503-9</t>
  </si>
  <si>
    <t>Plotting Disability in the Nineteenth-Century Novel</t>
  </si>
  <si>
    <t>Plotting Disability in the Nineteenth-Century Novel E-BOOK</t>
  </si>
  <si>
    <t>Walker Gore, Clare</t>
  </si>
  <si>
    <t>978-0-7486-3110-0</t>
  </si>
  <si>
    <t>Fundamental Concepts in Phonology</t>
  </si>
  <si>
    <t>Sameness and Difference</t>
  </si>
  <si>
    <t>Fundamental Concepts in Phonology E-BOOK</t>
  </si>
  <si>
    <t>Lodge, Ken</t>
  </si>
  <si>
    <t>978-0-7486-3080-6</t>
  </si>
  <si>
    <t>Thomas Reid on Practical Ethics</t>
  </si>
  <si>
    <t>Thomas Reid on Practical Ethics E-BOOK</t>
  </si>
  <si>
    <t>Reid, Thomas / Haakonssen, Knud</t>
  </si>
  <si>
    <t>978-0-7486-4448-3</t>
  </si>
  <si>
    <t>Badiou and Cinema</t>
  </si>
  <si>
    <t>Badiou and Cinema E-BOOK</t>
  </si>
  <si>
    <t>Ling, Alex</t>
  </si>
  <si>
    <t>978-0-7486-3118-6</t>
  </si>
  <si>
    <t>A Glossary of the European Union</t>
  </si>
  <si>
    <t>A Glossary of the European Union E-BOOK</t>
  </si>
  <si>
    <t>Jones, Alistair</t>
  </si>
  <si>
    <t>Politics Glossaries</t>
  </si>
  <si>
    <t>978-0-7486-4341-7</t>
  </si>
  <si>
    <t>Autobiographical Identities in Contemporary Arab Culture</t>
  </si>
  <si>
    <t>Autobiographical Identities in Contemporary Arab Cult E-BOOK</t>
  </si>
  <si>
    <t>Anishchenkova, Valerie</t>
  </si>
  <si>
    <t>978-0-7486-2974-9</t>
  </si>
  <si>
    <t>A Glossary of US Politics and Government</t>
  </si>
  <si>
    <t>A Glossary of US Politics and Government E-BOOK</t>
  </si>
  <si>
    <t>Thomson, Alex</t>
  </si>
  <si>
    <t>978-1-4744-4086-8</t>
  </si>
  <si>
    <t>Screening the Golden Ages of the Classical Tradition</t>
  </si>
  <si>
    <t>Screening the Golden Ages of the Classical Tradition E-BOOK</t>
  </si>
  <si>
    <t>Safran, Meredith</t>
  </si>
  <si>
    <t>978-0-7486-9554-6</t>
  </si>
  <si>
    <t>Language Attitudes and Identity</t>
  </si>
  <si>
    <t>Ryazanova-Clarke, Lara / Offord, Derek / Rjeoutski, Vladislav</t>
  </si>
  <si>
    <t>Colorado State University EBA Selections 2023 | Edinburgh University Press Complete eBook-Package 2014-2015</t>
  </si>
  <si>
    <t>978-0-7486-5505-2</t>
  </si>
  <si>
    <t>Poetics of Love in the Arabic Novel</t>
  </si>
  <si>
    <t>Poetics of Love in the Arabic Novel E-BOOK</t>
  </si>
  <si>
    <t>978-1-4744-1691-7</t>
  </si>
  <si>
    <t>The Political Theology of Schelling</t>
  </si>
  <si>
    <t>The Political Theology of Schelling E-BOOK</t>
  </si>
  <si>
    <t>Das, Saitya Brata</t>
  </si>
  <si>
    <t>978-0-7486-9967-4</t>
  </si>
  <si>
    <t>New Critical Thinking</t>
  </si>
  <si>
    <t>Criticism to Come</t>
  </si>
  <si>
    <t>New Critical Thinking E-BOOK</t>
  </si>
  <si>
    <t>978-0-7486-4698-2</t>
  </si>
  <si>
    <t>The Agamben Dictionary</t>
  </si>
  <si>
    <t>The Agamben Dictionary E-BOOK</t>
  </si>
  <si>
    <t>Murray, Alex / Whyte, Jessica</t>
  </si>
  <si>
    <t>Philosophical Dictionaries</t>
  </si>
  <si>
    <t>978-0-7486-3100-1</t>
  </si>
  <si>
    <t>The Man-Leopard Murders</t>
  </si>
  <si>
    <t>History and Society in Colonial Nigeria</t>
  </si>
  <si>
    <t>The Man-Leopard Murders E-BOOK</t>
  </si>
  <si>
    <t>Pratten, David</t>
  </si>
  <si>
    <t>978-0-7486-7900-3</t>
  </si>
  <si>
    <t>Conceiving a Nation</t>
  </si>
  <si>
    <t>Scotland to AD 900</t>
  </si>
  <si>
    <t>Conceiving a Nation E-BOOK</t>
  </si>
  <si>
    <t>Márkus, Gilbert</t>
  </si>
  <si>
    <t>978-0-7486-3085-1</t>
  </si>
  <si>
    <t>American Culture in the 1920s</t>
  </si>
  <si>
    <t>American Culture in the 1920s E-BOOK</t>
  </si>
  <si>
    <t>Currell, Susan</t>
  </si>
  <si>
    <t>978-0-7486-9699-4</t>
  </si>
  <si>
    <t>Counsel for Kings</t>
  </si>
  <si>
    <t>Wisdom and Politics in Tenth-Century Iran: Volume II: The Nasihat al-muluk of Pseudo-Mawardi: Texts, Sources and Authorities</t>
  </si>
  <si>
    <t>Counsel for Kings E-BOOK</t>
  </si>
  <si>
    <t>Marlow, L.</t>
  </si>
  <si>
    <t>Edinburgh Studies in Classical Arabic Literature</t>
  </si>
  <si>
    <t>978-0-7486-2655-7</t>
  </si>
  <si>
    <t>The Lives of Scottish Women</t>
  </si>
  <si>
    <t>Women and Scottish Society 1800-1980</t>
  </si>
  <si>
    <t>The Lives of Scottish Women E-BOOK</t>
  </si>
  <si>
    <t>978-0-7486-4488-9</t>
  </si>
  <si>
    <t>Product Development in Islamic Banks</t>
  </si>
  <si>
    <t>Product Development in Islamic Banks E-BOOK</t>
  </si>
  <si>
    <t>Ahmed, Habib</t>
  </si>
  <si>
    <t>978-1-4744-4584-9</t>
  </si>
  <si>
    <t>Law and New Media</t>
  </si>
  <si>
    <t>West of Everything</t>
  </si>
  <si>
    <t>Law and New Media E-BOOK</t>
  </si>
  <si>
    <t>Wan, Marco / Delage, Christian / Goodrich, Peter</t>
  </si>
  <si>
    <t>978-0-7486-3001-1</t>
  </si>
  <si>
    <t>Britain, Ireland and the Second World War</t>
  </si>
  <si>
    <t>Britain, Ireland and the Second World War E-BOOK</t>
  </si>
  <si>
    <t>978-1-4744-6605-9</t>
  </si>
  <si>
    <t>Flora of Turkey, Volume 1</t>
  </si>
  <si>
    <t>Flora of Turkey, Volume 1 E-BOOK</t>
  </si>
  <si>
    <t>978-0-7486-9361-0</t>
  </si>
  <si>
    <t>Rites of Passage and the Crisis Image</t>
  </si>
  <si>
    <t>Backman Rogers, Anna</t>
  </si>
  <si>
    <t>978-0-7486-3158-2</t>
  </si>
  <si>
    <t>Deleuze and Memorial Culture</t>
  </si>
  <si>
    <t>Desire, Singular Memory and the Politics of Trauma</t>
  </si>
  <si>
    <t>Deleuze and Memorial Culture E-BOOK</t>
  </si>
  <si>
    <t>Parr, Adrian</t>
  </si>
  <si>
    <t>978-1-4744-5162-8</t>
  </si>
  <si>
    <t>Christianity in East and Southeast Asia</t>
  </si>
  <si>
    <t>Christianity in East and Southeast Asia E-BOOK</t>
  </si>
  <si>
    <t>Johnson, Todd M. / Ross, Kenneth R. / Alvarez, Francis</t>
  </si>
  <si>
    <t>Edinburgh Companions to Global Christianity</t>
  </si>
  <si>
    <t>978-1-4744-0259-0</t>
  </si>
  <si>
    <t>Rancière and Literature</t>
  </si>
  <si>
    <t>Rancière and Literature E-BOOK</t>
  </si>
  <si>
    <t>Hellyer, Grace / Murphet, Julian</t>
  </si>
  <si>
    <t>978-1-4744-6391-1</t>
  </si>
  <si>
    <t>Get Set for English Literature</t>
  </si>
  <si>
    <t>Get Set for English Literature E-BOOK</t>
  </si>
  <si>
    <t>Amigoni, David / Sanders, Julie</t>
  </si>
  <si>
    <t>978-1-4744-7276-0</t>
  </si>
  <si>
    <t>The 3 Estaites</t>
  </si>
  <si>
    <t>The Millennium Version</t>
  </si>
  <si>
    <t>The 3 Estaites E-BOOK</t>
  </si>
  <si>
    <t>Spence, Alan / Calder, Angus</t>
  </si>
  <si>
    <t>DRA003000 DRAMA / English, Irish, Scottish, Welsh</t>
  </si>
  <si>
    <t>978-1-4744-2275-8</t>
  </si>
  <si>
    <t>Deleuze and the Animal</t>
  </si>
  <si>
    <t>Deleuze and the Animal E-BOOK</t>
  </si>
  <si>
    <t>Gardner, Colin / MacCormack, Patricia</t>
  </si>
  <si>
    <t>978-1-4744-9689-6</t>
  </si>
  <si>
    <t>Scottish Popular Politics</t>
  </si>
  <si>
    <t>From Radicalism to Labour</t>
  </si>
  <si>
    <t>Scottish Popular Politics E-BOOK</t>
  </si>
  <si>
    <t>Fraser, W. Hamish</t>
  </si>
  <si>
    <t>978-0-7486-3144-5</t>
  </si>
  <si>
    <t>The Acts of Alexander III King of Scots 1249 -1286</t>
  </si>
  <si>
    <t>Regesta Regum Scottorum Vol 4 Part 1</t>
  </si>
  <si>
    <t>The Acts of Alexander III King of Scots 1249 -1286 E-BOOK</t>
  </si>
  <si>
    <t>Neville, Cynthia J. / Simpson, Grant</t>
  </si>
  <si>
    <t>978-0-7486-4292-2</t>
  </si>
  <si>
    <t>The Creation of the Ius Commune</t>
  </si>
  <si>
    <t>From Casus to Regula</t>
  </si>
  <si>
    <t>The Creation of the Ius Commune E-BOOK</t>
  </si>
  <si>
    <t>Cairns, John W. / du Plessis, Paul J.</t>
  </si>
  <si>
    <t>978-1-4744-1789-1</t>
  </si>
  <si>
    <t>Immanence and Micropolitics</t>
  </si>
  <si>
    <t>Sartre, Merleau-Ponty, Foucault and Deleuze</t>
  </si>
  <si>
    <t>Immanence and Micropolitics E-BOOK</t>
  </si>
  <si>
    <t>Gilliam, Christian</t>
  </si>
  <si>
    <t>978-1-4744-0772-4</t>
  </si>
  <si>
    <t>Deleuze's Kantian Ethos</t>
  </si>
  <si>
    <t>Critique as a Way of Life</t>
  </si>
  <si>
    <t>Deleuze's Kantian Ethos E-BOOK</t>
  </si>
  <si>
    <t>Carr, Cheri Lynne</t>
  </si>
  <si>
    <t>978-1-4744-4374-6</t>
  </si>
  <si>
    <t>The Aesthetics of Space in Nineteenth-Century British Literature, 1843-1907</t>
  </si>
  <si>
    <t>The Aesthetics of Space in Nineteenth-Century British E-BOOK</t>
  </si>
  <si>
    <t>Whiteley, Giles</t>
  </si>
  <si>
    <t>978-0-7486-3033-2</t>
  </si>
  <si>
    <t>The Kennedy Assassination</t>
  </si>
  <si>
    <t>The Kennedy Assassination E-BOOK</t>
  </si>
  <si>
    <t>Knight, Peter</t>
  </si>
  <si>
    <t>978-0-7486-2675-5</t>
  </si>
  <si>
    <t>British Propaganda and News Media in the Cold War</t>
  </si>
  <si>
    <t>British Propaganda and News Media in the Cold War E-BOOK</t>
  </si>
  <si>
    <t>Jenks, John</t>
  </si>
  <si>
    <t>International Communications</t>
  </si>
  <si>
    <t>978-1-4744-8296-7</t>
  </si>
  <si>
    <t>Towards a Geopolitical Image of Thought</t>
  </si>
  <si>
    <t>Towards a Geopolitical Image of Thought E-BOOK</t>
  </si>
  <si>
    <t>978-0-7486-5369-0</t>
  </si>
  <si>
    <t>The Edinburgh Companion to Poststructuralism</t>
  </si>
  <si>
    <t>The Edinburgh Companion to Poststructuralism E-BOOK</t>
  </si>
  <si>
    <t>Porter, Robert / Dillet, Benoît / MacKenzie, Iain</t>
  </si>
  <si>
    <t>978-1-4744-3693-9</t>
  </si>
  <si>
    <t>Scotland's Foreshore</t>
  </si>
  <si>
    <t>Public Rights, Private Rights and the Crown 1840-2017</t>
  </si>
  <si>
    <t>Scotland's Foreshore E-BOOK</t>
  </si>
  <si>
    <t>MacAskill, John</t>
  </si>
  <si>
    <t>978-0-7486-2690-8</t>
  </si>
  <si>
    <t>A Glossary of Corpus Linguistics</t>
  </si>
  <si>
    <t>A Glossary of Corpus Linguistics E-BOOK</t>
  </si>
  <si>
    <t>McEnery, Tony / Baker, Paul / Hardie, Andrew</t>
  </si>
  <si>
    <t>978-0-7486-9535-5</t>
  </si>
  <si>
    <t>Katherine Mansfield and World War One</t>
  </si>
  <si>
    <t>Katherine Mansfield and World War One E-BOOK</t>
  </si>
  <si>
    <t>Martin, W. Todd / Kimber, Gerri / da Sousa Correa, Delia</t>
  </si>
  <si>
    <t>978-1-4744-7544-0</t>
  </si>
  <si>
    <t>Dilapidations and Service Charge</t>
  </si>
  <si>
    <t>Dilapidations and Service Charge E-BOOK</t>
  </si>
  <si>
    <t>Richardson, Lorna / Garrity, Denis J.</t>
  </si>
  <si>
    <t>LAW064000 LAW / Litigation</t>
  </si>
  <si>
    <t>978-1-4744-6579-3</t>
  </si>
  <si>
    <t>The Roman Cult of Mithras</t>
  </si>
  <si>
    <t>The God and His Mysteries</t>
  </si>
  <si>
    <t>The Roman Cult of Mithras E-BOOK</t>
  </si>
  <si>
    <t>Clauss, Manfred</t>
  </si>
  <si>
    <t>978-0-7486-9145-6</t>
  </si>
  <si>
    <t>Guardians of Shi’ism</t>
  </si>
  <si>
    <t>Sacred Authority and Transnational Family Networks</t>
  </si>
  <si>
    <t>Guardians of Shi’ism E-BOOK</t>
  </si>
  <si>
    <t>Corboz, Elvire</t>
  </si>
  <si>
    <t>978-1-4744-2149-2</t>
  </si>
  <si>
    <t>Transatlantic Transformations of Romanticism</t>
  </si>
  <si>
    <t>Aesthetics, Subjectivity and the Environment</t>
  </si>
  <si>
    <t>Transatlantic Transformations of Romanticism E-BOOK</t>
  </si>
  <si>
    <t>Sandy, Mark</t>
  </si>
  <si>
    <t>978-0-7486-9733-5</t>
  </si>
  <si>
    <t>Creative Involution</t>
  </si>
  <si>
    <t>Bergson, Beckett, Deleuze</t>
  </si>
  <si>
    <t>Creative Involution E-BOOK</t>
  </si>
  <si>
    <t>978-1-4744-0262-0</t>
  </si>
  <si>
    <t>Critical Luxury Studies</t>
  </si>
  <si>
    <t>Art, Design, Media</t>
  </si>
  <si>
    <t>Critical Luxury Studies E-BOOK</t>
  </si>
  <si>
    <t>Armitage, John / Roberts, Joanne</t>
  </si>
  <si>
    <t>978-0-7486-4682-1</t>
  </si>
  <si>
    <t>The Almoravid and Almohad Empires</t>
  </si>
  <si>
    <t>The Almoravid and Almohad Empires E-BOOK</t>
  </si>
  <si>
    <t>Bennison, Amira K.</t>
  </si>
  <si>
    <t>978-0-7486-4581-7</t>
  </si>
  <si>
    <t>Occidentalism</t>
  </si>
  <si>
    <t>Literary Representations of the Maghrebi Experience of the East-West Encounter</t>
  </si>
  <si>
    <t>Occidentalism E-BOOK</t>
  </si>
  <si>
    <t>Smail Salhi, Zahia</t>
  </si>
  <si>
    <t>HIS001030 HISTORY / Africa / North</t>
  </si>
  <si>
    <t>978-0-7486-3092-9</t>
  </si>
  <si>
    <t>The Cinema of Small Nations</t>
  </si>
  <si>
    <t>The Cinema of Small Nations E-BOOK</t>
  </si>
  <si>
    <t>Hjort, Mette / Petrie, Duncan</t>
  </si>
  <si>
    <t>978-0-7486-3048-6</t>
  </si>
  <si>
    <t>Transatlantic Women's Literature</t>
  </si>
  <si>
    <t>Transatlantic Women's Literature E-BOOK</t>
  </si>
  <si>
    <t>Macpherson, Heidi Slettedahl</t>
  </si>
  <si>
    <t>978-1-4744-6967-8</t>
  </si>
  <si>
    <t>Islamic Chinoiserie</t>
  </si>
  <si>
    <t>The Art of Mongol Iran</t>
  </si>
  <si>
    <t>Islamic Chinoiserie E-BOOK</t>
  </si>
  <si>
    <t>Edinburgh Studies in Islamic Art</t>
  </si>
  <si>
    <t>ART013000 ART / Folk &amp; Outsider Art</t>
  </si>
  <si>
    <t>978-0-7486-8260-7</t>
  </si>
  <si>
    <t>Modernist Literature and Postcolonial Studies</t>
  </si>
  <si>
    <t>Modernist Literature and Postcolonial Studies E-BOOK</t>
  </si>
  <si>
    <t>Patke, Rajeev</t>
  </si>
  <si>
    <t>978-1-4744-0738-0</t>
  </si>
  <si>
    <t>A Substance-free Framework for Phonology</t>
  </si>
  <si>
    <t>An Analysis of the Breton Dialect of Bothoa</t>
  </si>
  <si>
    <t>A Substance-free Framework for Phonology E-BOOK</t>
  </si>
  <si>
    <t>Iosad, Pavel</t>
  </si>
  <si>
    <t>Edinburgh Studies in Theoretical Linguistics</t>
  </si>
  <si>
    <t>FOR029000 FOREIGN LANGUAGE STUDY / Celtic Languages</t>
  </si>
  <si>
    <t>978-0-7486-2656-4</t>
  </si>
  <si>
    <t>The Civil War in American Culture</t>
  </si>
  <si>
    <t>The Civil War in American Culture E-BOOK</t>
  </si>
  <si>
    <t>HIS027110 HISTORY / Military / United States</t>
  </si>
  <si>
    <t>978-0-7486-4212-0</t>
  </si>
  <si>
    <t>Mixed Jurisdictions Compared</t>
  </si>
  <si>
    <t>Private Law in Louisiana and Scotland</t>
  </si>
  <si>
    <t>Mixed Jurisdictions Compared E-BOOK</t>
  </si>
  <si>
    <t>Palmer, Vernon / Reid, Elspeth</t>
  </si>
  <si>
    <t>978-1-4744-8307-0</t>
  </si>
  <si>
    <t>Scottish Liturgical Traditions and Religious Politics</t>
  </si>
  <si>
    <t>From Reformers to Jacobites, 1560–1764</t>
  </si>
  <si>
    <t>Scottish Liturgical Traditions and Religious Politics E-BOOK</t>
  </si>
  <si>
    <t>German, Kieran / Macinnes, Allan I. / Barton, Patricia</t>
  </si>
  <si>
    <t>978-0-7486-9353-5</t>
  </si>
  <si>
    <t>Italian Horror Cinema</t>
  </si>
  <si>
    <t>Italian Horror Cinema E-BOOK</t>
  </si>
  <si>
    <t>Baschiera, Stefano / Hunter, Russ</t>
  </si>
  <si>
    <t>978-0-7486-2703-5</t>
  </si>
  <si>
    <t>Deliberative Democracy and Divided Societies</t>
  </si>
  <si>
    <t>Deliberative Democracy and Divided Societies E-BOOK</t>
  </si>
  <si>
    <t>O'Flynn, Ian</t>
  </si>
  <si>
    <t>978-1-4744-0209-5</t>
  </si>
  <si>
    <t>Three Short Novels</t>
  </si>
  <si>
    <t>Glenfell, Andrew of Padua, the Improvisatore and The Omen</t>
  </si>
  <si>
    <t>Three Short Novels E-BOOK</t>
  </si>
  <si>
    <t>Galt, John / Esterhammer, Angela</t>
  </si>
  <si>
    <t>The Edinburgh Edition of the Works of John Galt</t>
  </si>
  <si>
    <t>978-0-7486-9748-9</t>
  </si>
  <si>
    <t>Theatre Through the Camera Eye</t>
  </si>
  <si>
    <t>The Poetics of an Intermedial Encounter</t>
  </si>
  <si>
    <t>Theatre Through the Camera Eye E-BOOK</t>
  </si>
  <si>
    <t>Sava, Laura</t>
  </si>
  <si>
    <t>978-1-4744-3947-3</t>
  </si>
  <si>
    <t>Katherine Mansfield and Periodical Culture</t>
  </si>
  <si>
    <t>Katherine Mansfield and Periodical Culture E-BOOK</t>
  </si>
  <si>
    <t>Mourant, Chris</t>
  </si>
  <si>
    <t>978-1-4744-6568-7</t>
  </si>
  <si>
    <t>Private Voices</t>
  </si>
  <si>
    <t>The Diaries of Elizabeth Gaskell and Sophia Holland</t>
  </si>
  <si>
    <t>Private Voices E-BOOK</t>
  </si>
  <si>
    <t>Wilson, Anita / Chapple, J A V</t>
  </si>
  <si>
    <t>LCO011000 LITERARY COLLECTIONS / Letters</t>
  </si>
  <si>
    <t>978-0-7486-4406-3</t>
  </si>
  <si>
    <t>Politics of Dialogue</t>
  </si>
  <si>
    <t>Non-consensual Democracy and Critical Community</t>
  </si>
  <si>
    <t>Politics of Dialogue E-BOOK</t>
  </si>
  <si>
    <t>Koczanowicz, Leszek</t>
  </si>
  <si>
    <t>978-0-7486-9440-2</t>
  </si>
  <si>
    <t>Forgetting Differences</t>
  </si>
  <si>
    <t>Tragedy, Historiography, and the French Wars of Religion</t>
  </si>
  <si>
    <t>Forgetting Differences E-BOOK</t>
  </si>
  <si>
    <t>Frisch, Andrea</t>
  </si>
  <si>
    <t>978-0-7486-8076-4</t>
  </si>
  <si>
    <t>The Early Modern Corpse and Shakespeare's Theatre</t>
  </si>
  <si>
    <t>The Early Modern Corpse and Shakespeare's Theatre E-BOOK</t>
  </si>
  <si>
    <t>Zimmerman, Susan</t>
  </si>
  <si>
    <t>978-0-7486-3667-9</t>
  </si>
  <si>
    <t>Beyond the State in Rural Uganda</t>
  </si>
  <si>
    <t>Beyond the State in Rural Uganda E-BOOK</t>
  </si>
  <si>
    <t>Jones, Ben</t>
  </si>
  <si>
    <t>SOC002000 SOCIAL SCIENCE / Anthropology / General</t>
  </si>
  <si>
    <t>978-0-7486-3075-2</t>
  </si>
  <si>
    <t>Sylvia Plath's Fiction</t>
  </si>
  <si>
    <t>Sylvia Plath's Fiction E-BOOK</t>
  </si>
  <si>
    <t>Ferretter, Luke</t>
  </si>
  <si>
    <t>978-1-4744-1267-4</t>
  </si>
  <si>
    <t>Hong Kong Neo-Noir</t>
  </si>
  <si>
    <t>Hong Kong Neo-Noir E-BOOK</t>
  </si>
  <si>
    <t>Yau, Esther / Williams, Tony</t>
  </si>
  <si>
    <t>978-1-4744-6829-9</t>
  </si>
  <si>
    <t>Poetry, Prose and Popular Culture in Hausa</t>
  </si>
  <si>
    <t>Poetry, Prose and Popular Culture in Hausa E-BOOK</t>
  </si>
  <si>
    <t>Furniss, Graham</t>
  </si>
  <si>
    <t>978-0-7486-7050-5</t>
  </si>
  <si>
    <t>Inventions of the Skin</t>
  </si>
  <si>
    <t>The Painted Body in Early English Drama</t>
  </si>
  <si>
    <t>Inventions of the Skin E-BOOK</t>
  </si>
  <si>
    <t>Stevens, Andrea</t>
  </si>
  <si>
    <t>978-1-4744-1657-3</t>
  </si>
  <si>
    <t>Disappearing War</t>
  </si>
  <si>
    <t>Interdisciplinary Perspectives on Cinema and Erasure in the Post 9/11 World</t>
  </si>
  <si>
    <t>Disappearing War E-BOOK</t>
  </si>
  <si>
    <t>Hellmich, Christina / Purse, Lisa</t>
  </si>
  <si>
    <t>978-1-4744-1364-0</t>
  </si>
  <si>
    <t>Assemblage Theory</t>
  </si>
  <si>
    <t>Assemblage Theory E-BOOK</t>
  </si>
  <si>
    <t>DeLanda, Manuel</t>
  </si>
  <si>
    <t>978-1-4744-1382-4</t>
  </si>
  <si>
    <t>American Cinema in the Shadow of 9/11</t>
  </si>
  <si>
    <t>American Cinema in the Shadow of 9/11 E-BOOK</t>
  </si>
  <si>
    <t>McSweeney, Terence</t>
  </si>
  <si>
    <t>978-1-4744-7187-9</t>
  </si>
  <si>
    <t>Exploring Visual Culture</t>
  </si>
  <si>
    <t>Definitions, Concepts, Contexts</t>
  </si>
  <si>
    <t>Exploring Visual Culture E-BOOK</t>
  </si>
  <si>
    <t>Rampley, Matthew</t>
  </si>
  <si>
    <t>978-1-4744-7311-8</t>
  </si>
  <si>
    <t>The Vietnam War in History, Literature and Film</t>
  </si>
  <si>
    <t>The Vietnam War in History, Literature and Film E-BOOK</t>
  </si>
  <si>
    <t>Taylor, Mark</t>
  </si>
  <si>
    <t>HIS027070 HISTORY / Military / Vietnam War</t>
  </si>
  <si>
    <t>978-0-7486-6964-6</t>
  </si>
  <si>
    <t>The Badiou Dictionary</t>
  </si>
  <si>
    <t>The Badiou Dictionary E-BOOK</t>
  </si>
  <si>
    <t>Corcoran, Steven</t>
  </si>
  <si>
    <t>978-1-4744-7294-4</t>
  </si>
  <si>
    <t>A Critical Introduction to Queer Theory</t>
  </si>
  <si>
    <t>A Critical Introduction to Queer Theory E-BOOK</t>
  </si>
  <si>
    <t>Sullivan, Nikki</t>
  </si>
  <si>
    <t>Colorado State University 2023 EBA Selections | Colorado State University EBA Selections 2023 | Edinburgh University Press Backlist eBook-Package 2013-2000 | Western U EBA 2023 eBooks Package</t>
  </si>
  <si>
    <t>978-1-4744-7178-7</t>
  </si>
  <si>
    <t>Forging Peace</t>
  </si>
  <si>
    <t>Intervention, Human Rights and the Management of Media Space</t>
  </si>
  <si>
    <t>Forging Peace E-BOOK</t>
  </si>
  <si>
    <t>Price, Monroe E. / Thompson, Mark</t>
  </si>
  <si>
    <t>978-1-4744-6563-2</t>
  </si>
  <si>
    <t>The Wonders of Creation and the Singularities of Painting</t>
  </si>
  <si>
    <t>A Study of the Ilkhanid London Qazvīnī</t>
  </si>
  <si>
    <t>The Wonders of Creation and the Singularities of Pain E-BOOK</t>
  </si>
  <si>
    <t>Carboni, Stefano</t>
  </si>
  <si>
    <t>978-0-7486-6575-4</t>
  </si>
  <si>
    <t>Elizabeth Bishop</t>
  </si>
  <si>
    <t>Lines of Connection</t>
  </si>
  <si>
    <t>Elizabeth Bishop E-BOOK</t>
  </si>
  <si>
    <t>Anderson, Linda</t>
  </si>
  <si>
    <t>978-1-4744-0713-7</t>
  </si>
  <si>
    <t>Indefinite Visions</t>
  </si>
  <si>
    <t>Cinema and the Attractions of Uncertainty</t>
  </si>
  <si>
    <t>Indefinite Visions E-BOOK</t>
  </si>
  <si>
    <t>Fetveit, Arild / Beugnet, Martine / Cameron, Allan</t>
  </si>
  <si>
    <t>978-1-4744-5151-2</t>
  </si>
  <si>
    <t>Islamic Manuscripts of Late Medieval Rum, 1270s-1370s</t>
  </si>
  <si>
    <t>Production, Patronage and the Arts of the Book</t>
  </si>
  <si>
    <t>Islamic Manuscripts of Late Medieval Rum, 1270s-1370s E-BOOK</t>
  </si>
  <si>
    <t>Jackson, Cailah</t>
  </si>
  <si>
    <t>8th-15th Century</t>
  </si>
  <si>
    <t>ART015070 ART / History / Medieval</t>
  </si>
  <si>
    <t>978-1-4744-1654-2</t>
  </si>
  <si>
    <t>The Deleuze-Lucretius Encounter</t>
  </si>
  <si>
    <t>The Deleuze-Lucretius Encounter E-BOOK</t>
  </si>
  <si>
    <t>978-1-4744-4177-3</t>
  </si>
  <si>
    <t>Women, Writing and the Iraqi Ba‘thist State</t>
  </si>
  <si>
    <t>Contending Discourses of Resistance and Collaboration, 1968-2003</t>
  </si>
  <si>
    <t>Women, Writing and the Iraqi Ba‘thist State E-BOOK</t>
  </si>
  <si>
    <t>Al-Hassan, Hawraa</t>
  </si>
  <si>
    <t>978-0-7486-4609-8</t>
  </si>
  <si>
    <t>John Milton's 'Paradise Lost'</t>
  </si>
  <si>
    <t>A Reading Guide</t>
  </si>
  <si>
    <t>John Milton's 'Paradise Lost' E-BOOK</t>
  </si>
  <si>
    <t>Reisner, Noam</t>
  </si>
  <si>
    <t>Reading Guides to Long Poems</t>
  </si>
  <si>
    <t>978-1-4744-1448-7</t>
  </si>
  <si>
    <t>International Development and Human Aid</t>
  </si>
  <si>
    <t>Principles, Norms and Institutions for the Global Sphere</t>
  </si>
  <si>
    <t>International Development and Human Aid E-BOOK</t>
  </si>
  <si>
    <t>Barcelos, Paulo / De Angelis, Gabriele</t>
  </si>
  <si>
    <t>978-0-7486-9111-1</t>
  </si>
  <si>
    <t>International Noir</t>
  </si>
  <si>
    <t>International Noir E-BOOK</t>
  </si>
  <si>
    <t>Pettey, Homer B. / Palmer, R. Barton</t>
  </si>
  <si>
    <t>978-1-4744-7128-2</t>
  </si>
  <si>
    <t>Ireland, Radicalism, and the Scottish Highlands, c.1870-1912</t>
  </si>
  <si>
    <t>Ireland, Radicalism, and the Scottish Highlands, c.18 E-BOOK</t>
  </si>
  <si>
    <t>Newby, Andrew</t>
  </si>
  <si>
    <t>978-1-4744-7093-3</t>
  </si>
  <si>
    <t>Japanese Horror Cinema</t>
  </si>
  <si>
    <t>Japanese Horror Cinema E-BOOK</t>
  </si>
  <si>
    <t>McRoy, Jay</t>
  </si>
  <si>
    <t>978-1-4744-3380-8</t>
  </si>
  <si>
    <t>The Tale of Old Mortality</t>
  </si>
  <si>
    <t>The Tale of Old Mortality E-BOOK</t>
  </si>
  <si>
    <t>Mack, Douglas / Scott, Walter</t>
  </si>
  <si>
    <t>978-0-7486-9346-7</t>
  </si>
  <si>
    <t>Quentin Meillassoux</t>
  </si>
  <si>
    <t>Philosophy in the Making</t>
  </si>
  <si>
    <t>Quentin Meillassoux E-BOOK</t>
  </si>
  <si>
    <t>Harman, Graham</t>
  </si>
  <si>
    <t>978-1-4744-2326-7</t>
  </si>
  <si>
    <t>The Moral Mappings of South and North</t>
  </si>
  <si>
    <t>The Moral Mappings of South and North E-BOOK</t>
  </si>
  <si>
    <t>Wagner, Peter</t>
  </si>
  <si>
    <t>978-0-7486-4647-0</t>
  </si>
  <si>
    <t>The Nancy Dictionary</t>
  </si>
  <si>
    <t>The Nancy Dictionary E-BOOK</t>
  </si>
  <si>
    <t>Gratton, Peter / Morin, Marie-Eve</t>
  </si>
  <si>
    <t>978-0-7486-2699-1</t>
  </si>
  <si>
    <t>Scotland and the Abolition of Black Slavery, 1756-1838</t>
  </si>
  <si>
    <t>Scotland and the Abolition of Black Slavery, 1756-183 E-BOOK</t>
  </si>
  <si>
    <t>Whyte, Iain</t>
  </si>
  <si>
    <t>978-1-4744-0052-7</t>
  </si>
  <si>
    <t>Deleuze and Feminist Theory</t>
  </si>
  <si>
    <t>Deleuze and Feminist Theory E-BOOK</t>
  </si>
  <si>
    <t>Buchanan, Ian / Colebrook, Claire</t>
  </si>
  <si>
    <t>978-0-7486-8309-3</t>
  </si>
  <si>
    <t>Nineteenth-Century U.S. Literature in Middle Eastern Languages</t>
  </si>
  <si>
    <t>Nineteenth-Century U.S. Literature in Middle Eastern  E-BOOK</t>
  </si>
  <si>
    <t>Einboden, Jeffrey</t>
  </si>
  <si>
    <t>978-1-4744-7020-9</t>
  </si>
  <si>
    <t>Alienated Affections</t>
  </si>
  <si>
    <t>Divorce and Separation in Scotland 1684-1830</t>
  </si>
  <si>
    <t>Alienated Affections E-BOOK</t>
  </si>
  <si>
    <t>Leneman, Leah</t>
  </si>
  <si>
    <t>978-1-4744-7495-5</t>
  </si>
  <si>
    <t>Islamic Theology in the Turkish Republic</t>
  </si>
  <si>
    <t>Islamic Theology in the Turkish Republic E-BOOK</t>
  </si>
  <si>
    <t>Dorroll, Philip</t>
  </si>
  <si>
    <t>REL037050 RELIGION / Islam / Sunni</t>
  </si>
  <si>
    <t>978-1-4744-1179-0</t>
  </si>
  <si>
    <t>Britain and the European Union</t>
  </si>
  <si>
    <t>Britain and the European Union E-BOOK</t>
  </si>
  <si>
    <t>978-0-7486-3044-8</t>
  </si>
  <si>
    <t>Pressure Groups</t>
  </si>
  <si>
    <t>Pressure Groups E-BOOK</t>
  </si>
  <si>
    <t>978-1-4744-3789-9</t>
  </si>
  <si>
    <t>New Scots</t>
  </si>
  <si>
    <t>Scotland’s Immigrant Communities since 1945</t>
  </si>
  <si>
    <t>New Scots E-BOOK</t>
  </si>
  <si>
    <t>Devine, Tom M. / McCarthy, Angela</t>
  </si>
  <si>
    <t>978-1-4744-4702-7</t>
  </si>
  <si>
    <t>Obama v. Trump</t>
  </si>
  <si>
    <t>The Politics of Presidential Legacy and Rollback</t>
  </si>
  <si>
    <t>Obama v. Trump E-BOOK</t>
  </si>
  <si>
    <t>Waddan, Clodagh / Harrington, Alex</t>
  </si>
  <si>
    <t>POL040000 POLITICAL SCIENCE / American Government / General</t>
  </si>
  <si>
    <t>978-1-4744-4928-1</t>
  </si>
  <si>
    <t>Thinking Nature</t>
  </si>
  <si>
    <t>An Essay in Negative Ecology</t>
  </si>
  <si>
    <t>Thinking Nature E-BOOK</t>
  </si>
  <si>
    <t>Edinburgh University Press Complete eBook-Package 2019 | MUN EBA Selections 2023</t>
  </si>
  <si>
    <t>978-1-4744-3897-1</t>
  </si>
  <si>
    <t>Artful Experiments</t>
  </si>
  <si>
    <t>Ways of Knowing in Victorian Literature and Science</t>
  </si>
  <si>
    <t>Artful Experiments E-BOOK</t>
  </si>
  <si>
    <t>Erchinger, Philipp</t>
  </si>
  <si>
    <t>978-1-4744-5889-4</t>
  </si>
  <si>
    <t>Trump's America</t>
  </si>
  <si>
    <t>Political Culture and National Identity</t>
  </si>
  <si>
    <t>Trump's America E-BOOK</t>
  </si>
  <si>
    <t>Kennedy, Liam</t>
  </si>
  <si>
    <t>978-0-7486-4626-5</t>
  </si>
  <si>
    <t>Walter Pater</t>
  </si>
  <si>
    <t>Individualism and Aesthetic Philosophy</t>
  </si>
  <si>
    <t>Walter Pater E-BOOK</t>
  </si>
  <si>
    <t>Hext, Kate</t>
  </si>
  <si>
    <t>978-1-4744-7356-9</t>
  </si>
  <si>
    <t>Sparta</t>
  </si>
  <si>
    <t>Sparta E-BOOK</t>
  </si>
  <si>
    <t>Whitby, Michael</t>
  </si>
  <si>
    <t>978-1-4744-7347-7</t>
  </si>
  <si>
    <t>Islamic Philosophy and Theology</t>
  </si>
  <si>
    <t>Islamic Philosophy and Theology E-BOOK</t>
  </si>
  <si>
    <t>978-1-4744-6868-8</t>
  </si>
  <si>
    <t>An African Niche Economy</t>
  </si>
  <si>
    <t>Farming to Feed Ibadan</t>
  </si>
  <si>
    <t>An African Niche Economy E-BOOK</t>
  </si>
  <si>
    <t>Guyer, Jane L</t>
  </si>
  <si>
    <t>BUS092000 BUSINESS &amp; ECONOMICS / Development / General</t>
  </si>
  <si>
    <t>978-1-4744-0030-5</t>
  </si>
  <si>
    <t>ReOrienting the Sasanians</t>
  </si>
  <si>
    <t>East Iran in Late Antiquity</t>
  </si>
  <si>
    <t>ReOrienting the Sasanians E-BOOK</t>
  </si>
  <si>
    <t>Rezakhani, Khodadad</t>
  </si>
  <si>
    <t>978-1-4744-1332-9</t>
  </si>
  <si>
    <t>Thinking Antagonism</t>
  </si>
  <si>
    <t>Political Ontology after Laclau</t>
  </si>
  <si>
    <t>Thinking Antagonism E-BOOK</t>
  </si>
  <si>
    <t>Marchart, Oliver</t>
  </si>
  <si>
    <t>978-1-4744-5044-7</t>
  </si>
  <si>
    <t>Badfilm</t>
  </si>
  <si>
    <t>Incompetence, Intention and Failure</t>
  </si>
  <si>
    <t>Badfilm E-BOOK</t>
  </si>
  <si>
    <t>Bartlett, Becky</t>
  </si>
  <si>
    <t>978-1-4744-1983-3</t>
  </si>
  <si>
    <t>Shame</t>
  </si>
  <si>
    <t>A Genealogy of Queer Practices in the 19th Century</t>
  </si>
  <si>
    <t>Shame E-BOOK</t>
  </si>
  <si>
    <t>Popa, Bogdan</t>
  </si>
  <si>
    <t>978-1-4744-6930-2</t>
  </si>
  <si>
    <t>On Political Means and Social Ends</t>
  </si>
  <si>
    <t>On Political Means and Social Ends E-BOOK</t>
  </si>
  <si>
    <t>978-1-4744-7058-2</t>
  </si>
  <si>
    <t>European Contract Law</t>
  </si>
  <si>
    <t>Scots and South African Perspectives</t>
  </si>
  <si>
    <t>European Contract Law E-BOOK</t>
  </si>
  <si>
    <t>MacQueen, Hector / Zimmermann, Reinhard</t>
  </si>
  <si>
    <t>978-0-7486-9447-1</t>
  </si>
  <si>
    <t>Teaching Transatlanticism</t>
  </si>
  <si>
    <t>Resources for Teaching Nineteenth-Century Anglo-American Print Culture</t>
  </si>
  <si>
    <t>Teaching Transatlanticism E-BOOK</t>
  </si>
  <si>
    <t>Hughes, Linda / Robbins, Sarah</t>
  </si>
  <si>
    <t>978-0-7486-6992-9</t>
  </si>
  <si>
    <t>The Life of Sir Walter Scott by John Macrone</t>
  </si>
  <si>
    <t>edited with an introduction by Daniel Grader</t>
  </si>
  <si>
    <t>The Life of Sir Walter Scott by John Macrone E-BOOK</t>
  </si>
  <si>
    <t>Grader, Daniel</t>
  </si>
  <si>
    <t>978-0-7486-6865-6</t>
  </si>
  <si>
    <t>Our Nazis</t>
  </si>
  <si>
    <t>Representations of Fascism in Contemporary Literature and Film</t>
  </si>
  <si>
    <t>Our Nazis E-BOOK</t>
  </si>
  <si>
    <t>Rau, Petra</t>
  </si>
  <si>
    <t>978-0-7486-7630-9</t>
  </si>
  <si>
    <t>The Unexpected</t>
  </si>
  <si>
    <t>Narrative Temporality and the Philosophy of Surprise</t>
  </si>
  <si>
    <t>The Unexpected E-BOOK</t>
  </si>
  <si>
    <t>978-1-4744-0326-9</t>
  </si>
  <si>
    <t>Expressionism in the Cinema</t>
  </si>
  <si>
    <t>Expressionism in the Cinema E-BOOK</t>
  </si>
  <si>
    <t>Brill, Olaf / Rhodes, Gary D</t>
  </si>
  <si>
    <t>978-0-7486-4608-1</t>
  </si>
  <si>
    <t>Research Methods in Theatre and Performance</t>
  </si>
  <si>
    <t>Research Methods in Theatre and Performance E-BOOK</t>
  </si>
  <si>
    <t>Kershaw, Baz / Nicholson, Helen</t>
  </si>
  <si>
    <t>978-1-4744-1348-0</t>
  </si>
  <si>
    <t>Modern Print Artefacts</t>
  </si>
  <si>
    <t>Textual Materiality and Literary Value in British Print Culture, 1890-1930s</t>
  </si>
  <si>
    <t>Modern Print Artefacts E-BOOK</t>
  </si>
  <si>
    <t>Collier, Patrick</t>
  </si>
  <si>
    <t>978-0-7486-3169-8</t>
  </si>
  <si>
    <t>Thomas Middleton, Renaissance Dramatist</t>
  </si>
  <si>
    <t>Thomas Middleton, Renaissance Dramatist E-BOOK</t>
  </si>
  <si>
    <t>O'Callaghan, Michelle</t>
  </si>
  <si>
    <t>978-0-7486-3502-3</t>
  </si>
  <si>
    <t>Dictionary of American Government and Politics</t>
  </si>
  <si>
    <t>Dictionary of American Government and Politics E-BOOK</t>
  </si>
  <si>
    <t>978-0-7486-9419-8</t>
  </si>
  <si>
    <t>Power and Propaganda</t>
  </si>
  <si>
    <t>Scotland 1306-1488</t>
  </si>
  <si>
    <t>Power and Propaganda E-BOOK</t>
  </si>
  <si>
    <t>Stevenson, Katie</t>
  </si>
  <si>
    <t>978-0-7486-5497-0</t>
  </si>
  <si>
    <t>The Victorian Gothic</t>
  </si>
  <si>
    <t>The Victorian Gothic E-BOOK</t>
  </si>
  <si>
    <t>Smith, Andrew / Hughes, William</t>
  </si>
  <si>
    <t>978-0-7486-8611-7</t>
  </si>
  <si>
    <t>Diasporas of the Modern Middle East</t>
  </si>
  <si>
    <t>Contextualising Community</t>
  </si>
  <si>
    <t>Diasporas of the Modern Middle East E-BOOK</t>
  </si>
  <si>
    <t>Gorman, Anthony / Kasbarian, Sossie</t>
  </si>
  <si>
    <t>978-1-4744-4669-3</t>
  </si>
  <si>
    <t>Legal Artifices: Ten Essays on Roman Law in the Present Tense</t>
  </si>
  <si>
    <t>Ten Essays on Roman Law in the Present Tense</t>
  </si>
  <si>
    <t>Legal Artifices: Ten Essays on Roman Law in the Prese E-BOOK</t>
  </si>
  <si>
    <t>Thomas, Yan</t>
  </si>
  <si>
    <t>EBOOK PACKAGE COMPLETE 2022 | EBOOK PACKAGE COMPLETE 2022 English | EBOOK PACKAGE Law 2022 | EBOOK PACKAGE Law 2022 English | Edinburgh University Press Complete eBook-Package 2021 | Pick and Choose Law eBook Package BU 2022 | Pick and Choose Law eBook WUSTL 2022 Part 1 | Pick and Choose eBook Package Cornell Eng Law 2000-2021 | UCB LAW SCHOOL Pick &amp; Choose 2022 | UNIVERSIDAD NACIONAL AUTÓNOMA DE MÉXICO Pick and Choose 2023 | Yale P&amp;C Law Package 2023</t>
  </si>
  <si>
    <t>978-0-7486-4545-9</t>
  </si>
  <si>
    <t>Blasted Literature</t>
  </si>
  <si>
    <t>Victorian Political Fiction and the Shock of Modernism</t>
  </si>
  <si>
    <t>Blasted Literature E-BOOK</t>
  </si>
  <si>
    <t>Ó Donghaile, Deaglán</t>
  </si>
  <si>
    <t>978-0-7486-3597-9</t>
  </si>
  <si>
    <t>Hong Kong English</t>
  </si>
  <si>
    <t>Hong Kong English E-BOOK</t>
  </si>
  <si>
    <t>Chan, Brian H. S. / Setter, Jane / Wong, Cathy S. P.</t>
  </si>
  <si>
    <t>978-1-4744-6897-8</t>
  </si>
  <si>
    <t>No Gods and Precious Few Heroes</t>
  </si>
  <si>
    <t>Scotland 1900–2015</t>
  </si>
  <si>
    <t>No Gods and Precious Few Heroes E-BOOK</t>
  </si>
  <si>
    <t>Harvie, Christopher</t>
  </si>
  <si>
    <t>978-1-4744-7487-0</t>
  </si>
  <si>
    <t>Studies in Persian Architecture</t>
  </si>
  <si>
    <t>Studies in Persian Architecture E-BOOK</t>
  </si>
  <si>
    <t>EBOOK PACKAGE COMPLETE 2021 | EBOOK PACKAGE COMPLETE 2021 English | EBOOK PACKAGE Library and Information Science 2021 | EBOOK PACKAGE Library and Information Science 2021 English | Edinburgh University Press Complete eBook-Package 2021 | Universidad Santiago Chile P&amp;C 2024</t>
  </si>
  <si>
    <t>978-0-7486-9158-6</t>
  </si>
  <si>
    <t>Time, Technology and Environment</t>
  </si>
  <si>
    <t>An Essay on the Philosophy of Nature</t>
  </si>
  <si>
    <t>Time, Technology and Environment E-BOOK</t>
  </si>
  <si>
    <t>Altamirano, Marco</t>
  </si>
  <si>
    <t>978-1-4744-2786-9</t>
  </si>
  <si>
    <t>The Cinema of Marguerite Duras</t>
  </si>
  <si>
    <t>Multisensoriality and Female Subjectivity</t>
  </si>
  <si>
    <t>The Cinema of Marguerite Duras E-BOOK</t>
  </si>
  <si>
    <t>Royer, Michelle</t>
  </si>
  <si>
    <t>978-0-7486-9778-6</t>
  </si>
  <si>
    <t>Political Theology</t>
  </si>
  <si>
    <t>Demystifying the Universal</t>
  </si>
  <si>
    <t>Political Theology E-BOOK</t>
  </si>
  <si>
    <t>Diamantides, Marinos / Schütz, Anton</t>
  </si>
  <si>
    <t>Edinburgh University Press Complete eBook-Package 2017 | Pick and Choose Law eBook Package BU 2022 | Pick and Choose eBook Package Cornell Eng Law 2000-2021 | UCB LAW SCHOOL Pick &amp; Choose 2022 | Yale P&amp;C Law Package 2023</t>
  </si>
  <si>
    <t>978-0-7486-3362-3</t>
  </si>
  <si>
    <t>An Introduction to English Syntax</t>
  </si>
  <si>
    <t>An Introduction to English Syntax E-BOOK</t>
  </si>
  <si>
    <t>Miller, Jim</t>
  </si>
  <si>
    <t>978-1-4744-2077-8</t>
  </si>
  <si>
    <t>Francophone Belgian Cinema</t>
  </si>
  <si>
    <t>Francophone Belgian Cinema E-BOOK</t>
  </si>
  <si>
    <t>Steele, Jamie</t>
  </si>
  <si>
    <t>978-0-7486-4243-4</t>
  </si>
  <si>
    <t>Nietzsche's Thus Spoke Zarathustra</t>
  </si>
  <si>
    <t>Nietzsche's Thus Spoke Zarathustra E-BOOK</t>
  </si>
  <si>
    <t>Burnham, Douglas / Jesinghausen, Martin</t>
  </si>
  <si>
    <t>978-1-4744-3405-8</t>
  </si>
  <si>
    <t>The Classical Tradition in Modern American Fiction</t>
  </si>
  <si>
    <t>The Classical Tradition in Modern American Fiction E-BOOK</t>
  </si>
  <si>
    <t>Roynon, Tessa</t>
  </si>
  <si>
    <t>978-0-7486-7590-6</t>
  </si>
  <si>
    <t>The Morality of Peacekeeping</t>
  </si>
  <si>
    <t>The Morality of Peacekeeping E-BOOK</t>
  </si>
  <si>
    <t>Levine, Daniel H.</t>
  </si>
  <si>
    <t>978-1-4744-4904-5</t>
  </si>
  <si>
    <t>The Films of John Hughes</t>
  </si>
  <si>
    <t>Shary, Timothy / Smith, Frances</t>
  </si>
  <si>
    <t>978-0-7486-9972-8</t>
  </si>
  <si>
    <t>Governing Taiwan and Tibet</t>
  </si>
  <si>
    <t>Democratic Approaches</t>
  </si>
  <si>
    <t>Governing Taiwan and Tibet E-BOOK</t>
  </si>
  <si>
    <t>He, Baogang</t>
  </si>
  <si>
    <t>978-1-4744-0422-8</t>
  </si>
  <si>
    <t>Balibar and the Citizen Subject</t>
  </si>
  <si>
    <t>Balibar and the Citizen Subject E-BOOK</t>
  </si>
  <si>
    <t>Montag, Warren / Elsayed, Hanan</t>
  </si>
  <si>
    <t>978-0-7486-3042-4</t>
  </si>
  <si>
    <t>Shakespearean Maternities</t>
  </si>
  <si>
    <t>Crises of Conception in Early Modern England</t>
  </si>
  <si>
    <t>Shakespearean Maternities E-BOOK</t>
  </si>
  <si>
    <t>Laoutaris, Chris</t>
  </si>
  <si>
    <t>978-0-585-15904-1</t>
  </si>
  <si>
    <t>Lady Mary Wroth</t>
  </si>
  <si>
    <t>Poems: A Modernized Edition</t>
  </si>
  <si>
    <t>Lady Mary Wroth E-BOOK</t>
  </si>
  <si>
    <t>Pritchard, R E</t>
  </si>
  <si>
    <t>POE000000 POETRY / General</t>
  </si>
  <si>
    <t>978-1-4744-1775-4</t>
  </si>
  <si>
    <t>Affirming Divergence</t>
  </si>
  <si>
    <t>Deleuze's Reading of Leibniz</t>
  </si>
  <si>
    <t>Affirming Divergence E-BOOK</t>
  </si>
  <si>
    <t>Tissandier, Alex</t>
  </si>
  <si>
    <t>978-1-4744-3641-0</t>
  </si>
  <si>
    <t>The Imagination in Hume's Philosophy</t>
  </si>
  <si>
    <t>The Canvas of the Mind</t>
  </si>
  <si>
    <t>The Imagination in Hume's Philosophy E-BOOK</t>
  </si>
  <si>
    <t>Costelloe, Timothy M.</t>
  </si>
  <si>
    <t>978-1-4744-3709-7</t>
  </si>
  <si>
    <t>The Sorrowful Muslim's Guide</t>
  </si>
  <si>
    <t>The Sorrowful Muslim's Guide E-BOOK</t>
  </si>
  <si>
    <t>Amin, Nesrin / Amin, Hussein Ahmad / Amin, Yasmin</t>
  </si>
  <si>
    <t>978-0-7486-2836-0</t>
  </si>
  <si>
    <t>Count Robert of Paris</t>
  </si>
  <si>
    <t>Count Robert of Paris E-BOOK</t>
  </si>
  <si>
    <t>978-1-4744-6389-8</t>
  </si>
  <si>
    <t>Media Ethics and Social Change</t>
  </si>
  <si>
    <t>Media Ethics and Social Change E-BOOK</t>
  </si>
  <si>
    <t>Alia, Valerie</t>
  </si>
  <si>
    <t>978-0-7486-4707-1</t>
  </si>
  <si>
    <t>Media and Memory</t>
  </si>
  <si>
    <t>Media and Memory E-BOOK</t>
  </si>
  <si>
    <t>Garde-Hansen, Joanne</t>
  </si>
  <si>
    <t>978-0-7486-2668-7</t>
  </si>
  <si>
    <t>The Prime Minister and Cabinet</t>
  </si>
  <si>
    <t>The Prime Minister and Cabinet E-BOOK</t>
  </si>
  <si>
    <t>Buckley, Stephen</t>
  </si>
  <si>
    <t>978-0-7486-9856-1</t>
  </si>
  <si>
    <t>Rudyard Kipling's Fiction</t>
  </si>
  <si>
    <t>Mapping Psychic Spaces</t>
  </si>
  <si>
    <t>Rudyard Kipling's Fiction E-BOOK</t>
  </si>
  <si>
    <t>Welby, Lizzy</t>
  </si>
  <si>
    <t>978-0-7486-2949-7</t>
  </si>
  <si>
    <t>Feminist Philosophies A–Z</t>
  </si>
  <si>
    <t>Feminist Philosophies A–Z E-BOOK</t>
  </si>
  <si>
    <t>McHugh, Nancy</t>
  </si>
  <si>
    <t>978-0-7486-3425-5</t>
  </si>
  <si>
    <t>American Culture in the 1910s</t>
  </si>
  <si>
    <t>American Culture in the 1910s E-BOOK</t>
  </si>
  <si>
    <t>Whalan, Mark</t>
  </si>
  <si>
    <t>978-1-4744-4117-9</t>
  </si>
  <si>
    <t>The Clandestine Lives of Colonel David Smiley</t>
  </si>
  <si>
    <t>Code Name 'Grin'</t>
  </si>
  <si>
    <t>The Clandestine Lives of Colonel David Smiley E-BOOK</t>
  </si>
  <si>
    <t>Jones, Clive</t>
  </si>
  <si>
    <t>Intelligence, Surveillance and Secret Warfare</t>
  </si>
  <si>
    <t>BIO008000 BIOGRAPHY &amp; AUTOBIOGRAPHY / Military</t>
  </si>
  <si>
    <t>978-1-4744-3039-5</t>
  </si>
  <si>
    <t>Shi’a Minorities in the Contemporary World</t>
  </si>
  <si>
    <t>Migration, Transnationalism and Multilocality</t>
  </si>
  <si>
    <t>Shi’a Minorities in the Contemporary World E-BOOK</t>
  </si>
  <si>
    <t>Scharbrodt, Oliver / Shanneik, Yafa</t>
  </si>
  <si>
    <t>Alternative Histories</t>
  </si>
  <si>
    <t>978-0-7486-3199-5</t>
  </si>
  <si>
    <t>The Edinburgh History of the Greeks, 1768 to 1913</t>
  </si>
  <si>
    <t>The Long Nineteenth Century</t>
  </si>
  <si>
    <t>The Edinburgh History of the Greeks, 1768 to 1913 E-BOOK</t>
  </si>
  <si>
    <t>Gallant, Thomas</t>
  </si>
  <si>
    <t>978-0-7486-2995-4</t>
  </si>
  <si>
    <t>An Introduction to Islamic Archaeology</t>
  </si>
  <si>
    <t>An Introduction to Islamic Archaeology E-BOOK</t>
  </si>
  <si>
    <t>978-1-4744-0050-3</t>
  </si>
  <si>
    <t>English Literature of the 1920s</t>
  </si>
  <si>
    <t>English Literature of the 1920s E-BOOK</t>
  </si>
  <si>
    <t>978-0-7486-7454-1</t>
  </si>
  <si>
    <t>Global Solidarity</t>
  </si>
  <si>
    <t>Global Solidarity E-BOOK</t>
  </si>
  <si>
    <t>Wilde, Lawrence</t>
  </si>
  <si>
    <t>978-1-4744-1057-1</t>
  </si>
  <si>
    <t>Contemporary Hollywood Animation</t>
  </si>
  <si>
    <t>Style, Storytelling, Culture and Ideology Since the 1990s</t>
  </si>
  <si>
    <t>Contemporary Hollywood Animation E-BOOK</t>
  </si>
  <si>
    <t>Brown, Noel</t>
  </si>
  <si>
    <t>978-1-4744-3270-2</t>
  </si>
  <si>
    <t>The Kizilbash-Alevis in Ottoman Anatolia</t>
  </si>
  <si>
    <t>Sufism, Politics and Community</t>
  </si>
  <si>
    <t>The Kizilbash-Alevis in Ottoman Anatolia E-BOOK</t>
  </si>
  <si>
    <t>Karakaya-Stump, Ayfer</t>
  </si>
  <si>
    <t>HIS037090 HISTORY / Modern / 16th Century</t>
  </si>
  <si>
    <t>978-0-7486-7687-3</t>
  </si>
  <si>
    <t>Foucault and Politics</t>
  </si>
  <si>
    <t>Foucault and Politics E-BOOK</t>
  </si>
  <si>
    <t>Kelly, Mark G. E.</t>
  </si>
  <si>
    <t>978-0-7486-2972-5</t>
  </si>
  <si>
    <t>The UK Parliament</t>
  </si>
  <si>
    <t>The UK Parliament E-BOOK</t>
  </si>
  <si>
    <t>Grant, Moyra</t>
  </si>
  <si>
    <t>978-0-7486-3497-2</t>
  </si>
  <si>
    <t>The Politics of Postanarchism</t>
  </si>
  <si>
    <t>The Politics of Postanarchism E-BOOK</t>
  </si>
  <si>
    <t>Newman, Saul</t>
  </si>
  <si>
    <t>978-0-7486-9937-7</t>
  </si>
  <si>
    <t>Commercial Arbitration</t>
  </si>
  <si>
    <t>The Scottish and International Perspectives</t>
  </si>
  <si>
    <t>Commercial Arbitration E-BOOK</t>
  </si>
  <si>
    <t>Yu, Hong-Lin</t>
  </si>
  <si>
    <t>LAW014000 LAW / Commercial / General</t>
  </si>
  <si>
    <t>978-1-4744-1960-4</t>
  </si>
  <si>
    <t>Portable Modernisms</t>
  </si>
  <si>
    <t>The Art of Travelling Light</t>
  </si>
  <si>
    <t>Portable Modernisms E-BOOK</t>
  </si>
  <si>
    <t>Ridge, Emily</t>
  </si>
  <si>
    <t>978-1-4744-4070-7</t>
  </si>
  <si>
    <t>Kathleen Collins</t>
  </si>
  <si>
    <t>The Black Essai Film</t>
  </si>
  <si>
    <t>Kathleen Collins E-BOOK</t>
  </si>
  <si>
    <t>Ramanathan, Geetha</t>
  </si>
  <si>
    <t>978-1-4744-6418-5</t>
  </si>
  <si>
    <t>Language and Computers</t>
  </si>
  <si>
    <t>A Practical Introduction to the Computer Analysis of Language</t>
  </si>
  <si>
    <t>Language and Computers E-BOOK</t>
  </si>
  <si>
    <t>Barnbrook, Geoffrey</t>
  </si>
  <si>
    <t>978-0-7486-4891-7</t>
  </si>
  <si>
    <t>Foucault's History of Sexuality Volume I, The Will to Knowledge</t>
  </si>
  <si>
    <t>Foucault's History of Sexuality Volume I, The Will to E-BOOK</t>
  </si>
  <si>
    <t>978-1-4744-6237-2</t>
  </si>
  <si>
    <t>Materiality and Aesthetics in Archaic and Classical Greek Poetry</t>
  </si>
  <si>
    <t>Materiality and Aesthetics in Archaic and Classical G E-BOOK</t>
  </si>
  <si>
    <t>Lather, Amy</t>
  </si>
  <si>
    <t>Ancient Cultures, New Materialisms</t>
  </si>
  <si>
    <t>EBOOK PACKAGE COMPLETE 2022 | EBOOK PACKAGE COMPLETE 2022 English | EBOOK PACKAGE Classical Studies 2022 | EBOOK PACKAGE Classical Studies 2022 English | Edinburgh University Press Complete eBook-Package 2021</t>
  </si>
  <si>
    <t>978-0-7486-4161-1</t>
  </si>
  <si>
    <t>Spanish America and British Romanticism, 1777–1826</t>
  </si>
  <si>
    <t>Rewriting Conquest</t>
  </si>
  <si>
    <t>Spanish America and British Romanticism, 1777–1826 E-BOOK</t>
  </si>
  <si>
    <t>Cole Heinowitz, Rebecca</t>
  </si>
  <si>
    <t>978-1-4744-4333-3</t>
  </si>
  <si>
    <t>Ottoman Sunnism</t>
  </si>
  <si>
    <t>New Perspectives</t>
  </si>
  <si>
    <t>Ottoman Sunnism E-BOOK</t>
  </si>
  <si>
    <t>Erginbaş, Vefa</t>
  </si>
  <si>
    <t>978-0-7486-9954-4</t>
  </si>
  <si>
    <t>Rights of Personality in Scots Law</t>
  </si>
  <si>
    <t>A Comparative Perspective</t>
  </si>
  <si>
    <t>Rights of Personality in Scots Law E-BOOK</t>
  </si>
  <si>
    <t>Whitty, Niall / Zimmermann, Reinhard</t>
  </si>
  <si>
    <t>978-0-7486-3337-1</t>
  </si>
  <si>
    <t>Deleuze and New Technology</t>
  </si>
  <si>
    <t>Deleuze and New Technology E-BOOK</t>
  </si>
  <si>
    <t>Savat, David / Poster, Mark</t>
  </si>
  <si>
    <t>978-1-4744-5841-2</t>
  </si>
  <si>
    <t>Novel Sensations</t>
  </si>
  <si>
    <t>Modernist Fiction and the Problem of Qualia</t>
  </si>
  <si>
    <t>Novel Sensations E-BOOK</t>
  </si>
  <si>
    <t>Day, Jon</t>
  </si>
  <si>
    <t>978-0-7486-6960-8</t>
  </si>
  <si>
    <t>Deleuze and Race</t>
  </si>
  <si>
    <t>Deleuze and Race E-BOOK</t>
  </si>
  <si>
    <t>Saldanha, Arun / Adams, Jason Michael</t>
  </si>
  <si>
    <t>978-0-7486-3139-1</t>
  </si>
  <si>
    <t>Derrida's Of Grammatology</t>
  </si>
  <si>
    <t>Derrida's Of Grammatology E-BOOK</t>
  </si>
  <si>
    <t>Bradley, Arthur</t>
  </si>
  <si>
    <t>978-1-4744-3426-3</t>
  </si>
  <si>
    <t>The Films of Albert Brooks</t>
  </si>
  <si>
    <t>Long, Christian B.</t>
  </si>
  <si>
    <t>978-0-7486-6454-2</t>
  </si>
  <si>
    <t>Deleuze and Law</t>
  </si>
  <si>
    <t>Deleuze and Law E-BOOK</t>
  </si>
  <si>
    <t>de Sutter, Laurent / McGee, Kyle</t>
  </si>
  <si>
    <t>978-0-7486-4593-0</t>
  </si>
  <si>
    <t>Between Desire and Pleasure</t>
  </si>
  <si>
    <t>A Deleuzian Theory of Sexuality</t>
  </si>
  <si>
    <t>Between Desire and Pleasure E-BOOK</t>
  </si>
  <si>
    <t>978-0-7486-8347-5</t>
  </si>
  <si>
    <t>Research Methods for Memory Studies</t>
  </si>
  <si>
    <t>Research Methods for Memory Studies E-BOOK</t>
  </si>
  <si>
    <t>Keightley, Emily / Pickering, Michael</t>
  </si>
  <si>
    <t>REF020000 REFERENCE / Research</t>
  </si>
  <si>
    <t>978-0-7486-5451-2</t>
  </si>
  <si>
    <t>Gilbert Simondon's Psychic and Collective Individuation</t>
  </si>
  <si>
    <t>Gilbert Simondon's Psychic and Collective Individuati E-BOOK</t>
  </si>
  <si>
    <t>Scott, David</t>
  </si>
  <si>
    <t>978-0-585-10279-5</t>
  </si>
  <si>
    <t>The American Landscape</t>
  </si>
  <si>
    <t>The American Landscape E-BOOK</t>
  </si>
  <si>
    <t>Mills, Stephen F.</t>
  </si>
  <si>
    <t>978-1-4744-2427-1</t>
  </si>
  <si>
    <t>The Films of William Castle</t>
  </si>
  <si>
    <t>Leeder, Murray</t>
  </si>
  <si>
    <t>978-1-4744-5430-8</t>
  </si>
  <si>
    <t>Spinoza, the Transindividual</t>
  </si>
  <si>
    <t>Spinoza, the Transindividual E-BOOK</t>
  </si>
  <si>
    <t>Balibar, Etienne / Kelly, Mark G. E.</t>
  </si>
  <si>
    <t>978-1-4744-5667-8</t>
  </si>
  <si>
    <t>Hotel Modernity</t>
  </si>
  <si>
    <t>Corporate Space in Literature and Film</t>
  </si>
  <si>
    <t>Hotel Modernity E-BOOK</t>
  </si>
  <si>
    <t>Moore, Robbie</t>
  </si>
  <si>
    <t>978-1-4744-3984-8</t>
  </si>
  <si>
    <t>Christianity in South and Central Asia</t>
  </si>
  <si>
    <t>Christianity in South and Central Asia E-BOOK</t>
  </si>
  <si>
    <t>Jeyaraj, Daniel / Johnson, Todd / Ross, Kenneth</t>
  </si>
  <si>
    <t>978-1-4744-0232-3</t>
  </si>
  <si>
    <t>Ḥikāyat Abī al-Qāsim</t>
  </si>
  <si>
    <t>A Literary Banquet</t>
  </si>
  <si>
    <t>Ḥikāyat Abī al-Qāsim E-BOOK</t>
  </si>
  <si>
    <t>Selove, Emily</t>
  </si>
  <si>
    <t>978-0-7486-3121-6</t>
  </si>
  <si>
    <t>Renaissance Literature</t>
  </si>
  <si>
    <t>Renaissance Literature E-BOOK</t>
  </si>
  <si>
    <t>Keenan, Siobhan</t>
  </si>
  <si>
    <t>978-0-7486-9469-3</t>
  </si>
  <si>
    <t>The Third Duke of Buccleuch and Adam Smith</t>
  </si>
  <si>
    <t>Estate Management and Improvement in Enlightenment Scotland</t>
  </si>
  <si>
    <t>The Third Duke of Buccleuch and Adam Smith E-BOOK</t>
  </si>
  <si>
    <t>Bonnyman, Brian</t>
  </si>
  <si>
    <t>978-1-4744-7123-7</t>
  </si>
  <si>
    <t>The Truth in Photography</t>
  </si>
  <si>
    <t>Oxford Literary Review Volume 32, Issue 2</t>
  </si>
  <si>
    <t>The Truth in Photography E-BOOK</t>
  </si>
  <si>
    <t>Naas, Michael</t>
  </si>
  <si>
    <t>Oxford Literary Review Special Issues</t>
  </si>
  <si>
    <t>978-1-4744-7490-0</t>
  </si>
  <si>
    <t>Studies in Arab Architecture</t>
  </si>
  <si>
    <t>Studies in Arab Architecture E-BOOK</t>
  </si>
  <si>
    <t>978-0-7486-4288-5</t>
  </si>
  <si>
    <t>The Edinburgh Companion to James Kelman</t>
  </si>
  <si>
    <t>The Edinburgh Companion to James Kelman E-BOOK</t>
  </si>
  <si>
    <t>978-0-7486-4322-6</t>
  </si>
  <si>
    <t>Active Citizenship</t>
  </si>
  <si>
    <t>What Could it Achieve and How?</t>
  </si>
  <si>
    <t>Active Citizenship E-BOOK</t>
  </si>
  <si>
    <t>Crick, Bernard / Lockyer, Andrew</t>
  </si>
  <si>
    <t>978-0-7486-4178-9</t>
  </si>
  <si>
    <t>Discover Your Scottish Ancestry</t>
  </si>
  <si>
    <t>Internet and Traditional Resources</t>
  </si>
  <si>
    <t>Discover Your Scottish Ancestry E-BOOK</t>
  </si>
  <si>
    <t>Holton, Graham / Winch, Jack</t>
  </si>
  <si>
    <t>978-1-4744-5548-0</t>
  </si>
  <si>
    <t>Scottish Romanticism and Collective Memory in the British Atlantic</t>
  </si>
  <si>
    <t>Scottish Romanticism and Collective Memory in the Bri E-BOOK</t>
  </si>
  <si>
    <t>McNeil, Kenneth</t>
  </si>
  <si>
    <t>978-0-7486-4629-6</t>
  </si>
  <si>
    <t>Deleuze and Ethics</t>
  </si>
  <si>
    <t>Deleuze and Ethics E-BOOK</t>
  </si>
  <si>
    <t>Smith, Daniel W. / Jun, Nathan</t>
  </si>
  <si>
    <t>978-0-7486-4603-6</t>
  </si>
  <si>
    <t>Contemporary Poetry</t>
  </si>
  <si>
    <t>Contemporary Poetry E-BOOK</t>
  </si>
  <si>
    <t>Williams, Nerys</t>
  </si>
  <si>
    <t>978-1-4744-7138-1</t>
  </si>
  <si>
    <t>Statistics for Corpus Linguistics</t>
  </si>
  <si>
    <t>Statistics for Corpus Linguistics E-BOOK</t>
  </si>
  <si>
    <t>Oakes, Michael</t>
  </si>
  <si>
    <t>978-1-4744-7188-6</t>
  </si>
  <si>
    <t>The Paul Virilio Reader</t>
  </si>
  <si>
    <t>The Paul Virilio Reader E-BOOK</t>
  </si>
  <si>
    <t>978-0-7486-9187-6</t>
  </si>
  <si>
    <t>Just Enough</t>
  </si>
  <si>
    <t>Sufficiency as a Demand of Justice</t>
  </si>
  <si>
    <t>Just Enough E-BOOK</t>
  </si>
  <si>
    <t>Shields, Liam</t>
  </si>
  <si>
    <t>978-1-4744-3888-9</t>
  </si>
  <si>
    <t>The Land Agent</t>
  </si>
  <si>
    <t>1700-1920</t>
  </si>
  <si>
    <t>The Land Agent E-BOOK</t>
  </si>
  <si>
    <t>Tindley, Annie / Rees, Lowri Ann / Reilly, Ciarán</t>
  </si>
  <si>
    <t>978-1-4744-7220-3</t>
  </si>
  <si>
    <t>War Aims in the Second World War</t>
  </si>
  <si>
    <t>The War Aims of the Key Belligerents 1939-1945</t>
  </si>
  <si>
    <t>War Aims in the Second World War E-BOOK</t>
  </si>
  <si>
    <t>Rothwell, Victor</t>
  </si>
  <si>
    <t>978-1-4744-2728-9</t>
  </si>
  <si>
    <t>Poor Relief and the Church in Scotland, 1560-1650</t>
  </si>
  <si>
    <t>Poor Relief and the Church in Scotland, 1560-1650 E-BOOK</t>
  </si>
  <si>
    <t>McCallum, John</t>
  </si>
  <si>
    <t>978-0-7486-5631-8</t>
  </si>
  <si>
    <t>Islam and the Foundations of Political Power</t>
  </si>
  <si>
    <t>Islam and the Foundations of Political Power E-BOOK</t>
  </si>
  <si>
    <t xml:space="preserve">Filali-Ansary, Abdou / Loutfi, Maryam / Abdel Razek, Ali </t>
  </si>
  <si>
    <t>HIS049000 HISTORY / Essays</t>
  </si>
  <si>
    <t>978-1-4744-3281-8</t>
  </si>
  <si>
    <t>Deleuze, Cinema and the Thought of the World</t>
  </si>
  <si>
    <t>Deleuze, Cinema and the Thought of the World E-BOOK</t>
  </si>
  <si>
    <t>Thomas, Allan James</t>
  </si>
  <si>
    <t>978-1-4744-4378-4</t>
  </si>
  <si>
    <t>The Art of Minorities</t>
  </si>
  <si>
    <t>Cultural Representation in Museums of the Middle East and North Africa</t>
  </si>
  <si>
    <t>The Art of Minorities E-BOOK</t>
  </si>
  <si>
    <t xml:space="preserve">Rey, Virginie </t>
  </si>
  <si>
    <t>ART015010 ART / African</t>
  </si>
  <si>
    <t>978-1-4744-6421-5</t>
  </si>
  <si>
    <t>The Acts of William I (1165-1214)</t>
  </si>
  <si>
    <t>The Acts of William I (1165-1214) E-BOOK</t>
  </si>
  <si>
    <t>978-1-4744-5641-8</t>
  </si>
  <si>
    <t>The Films of Sohrab Shahid Saless: Exile, Displacement and the Stateless Moving Image</t>
  </si>
  <si>
    <t>Fatehrad, Azadeh</t>
  </si>
  <si>
    <t>978-1-4744-4805-5</t>
  </si>
  <si>
    <t>Gothic Film</t>
  </si>
  <si>
    <t>Gothic Film E-BOOK</t>
  </si>
  <si>
    <t>Hand, Richard J. / McRoy, Jay</t>
  </si>
  <si>
    <t>978-0-7486-6911-0</t>
  </si>
  <si>
    <t>Katherine Mansfield and the (Post)colonial</t>
  </si>
  <si>
    <t>Katherine Mansfield and the (Post)colonial E-BOOK</t>
  </si>
  <si>
    <t>Wilson, Janet / Kimber, Gerri / da Sousa Correa, Delia</t>
  </si>
  <si>
    <t>978-0-7486-4950-1</t>
  </si>
  <si>
    <t>Social Interaction in Second Language Chat Rooms</t>
  </si>
  <si>
    <t>Social Interaction in Second Language Chat Rooms E-BOOK</t>
  </si>
  <si>
    <t>Jenks, Christopher</t>
  </si>
  <si>
    <t>978-0-7486-4397-4</t>
  </si>
  <si>
    <t>Greek Notions of the Past in the Archaic and Classical Eras</t>
  </si>
  <si>
    <t>History Without Historians</t>
  </si>
  <si>
    <t>Greek Notions of the Past in the Archaic and Classica E-BOOK</t>
  </si>
  <si>
    <t>Maciver, Calum / Marincola, John / Llewellyn-Jones, Lloyd</t>
  </si>
  <si>
    <t>978-0-7486-8607-0</t>
  </si>
  <si>
    <t>Reagan and Thatcher's Special Relationship</t>
  </si>
  <si>
    <t>Latin America and Anglo-American Relations</t>
  </si>
  <si>
    <t>Reagan and Thatcher's Special Relationship E-BOOK</t>
  </si>
  <si>
    <t>Treharne, Sally-Ann</t>
  </si>
  <si>
    <t>978-1-4744-0136-4</t>
  </si>
  <si>
    <t>Ivy Compton-Burnett</t>
  </si>
  <si>
    <t>Ivy Compton-Burnett E-BOOK</t>
  </si>
  <si>
    <t>Hardy, Barbara</t>
  </si>
  <si>
    <t>978-1-4744-3891-9</t>
  </si>
  <si>
    <t>Experience and Eternity in Spinoza</t>
  </si>
  <si>
    <t>Experience and Eternity in Spinoza E-BOOK</t>
  </si>
  <si>
    <t>Moreau, Pierre-Francois / Boncardo, Robert</t>
  </si>
  <si>
    <t>978-0-7486-8063-4</t>
  </si>
  <si>
    <t>Get Set for Communication Studies</t>
  </si>
  <si>
    <t>Get Set for Communication Studies E-BOOK</t>
  </si>
  <si>
    <t>Barton, Will / Beck, Andrew</t>
  </si>
  <si>
    <t>978-0-7486-4703-3</t>
  </si>
  <si>
    <t>Framing Pictures</t>
  </si>
  <si>
    <t>Film and the Visual Arts</t>
  </si>
  <si>
    <t>Framing Pictures E-BOOK</t>
  </si>
  <si>
    <t>Jacobs, Steven</t>
  </si>
  <si>
    <t>978-1-4744-1904-8</t>
  </si>
  <si>
    <t>The Films of Budd Boetticher</t>
  </si>
  <si>
    <t>Rhodes, Gary D / Singer, Robert</t>
  </si>
  <si>
    <t>978-0-585-15909-6</t>
  </si>
  <si>
    <t>Faith Beyond Reason</t>
  </si>
  <si>
    <t>Faith Beyond Reason E-BOOK</t>
  </si>
  <si>
    <t>Evans, C Stephen</t>
  </si>
  <si>
    <t>Reason and Religion</t>
  </si>
  <si>
    <t>Introductions and Overviews</t>
  </si>
  <si>
    <t>REL077000 RELIGION / Faith</t>
  </si>
  <si>
    <t>978-0-7486-2708-0</t>
  </si>
  <si>
    <t>Deleuze and the Social</t>
  </si>
  <si>
    <t>Deleuze and the Social E-BOOK</t>
  </si>
  <si>
    <t>Fuglsang, Martin / Sorensen, Bent Meier</t>
  </si>
  <si>
    <t>978-1-4744-7110-7</t>
  </si>
  <si>
    <t>Slavery and Servitude in North America, 1607-1800</t>
  </si>
  <si>
    <t>Slavery and Servitude in North America, 1607-1800 E-BOOK</t>
  </si>
  <si>
    <t>978-0-7486-4207-6</t>
  </si>
  <si>
    <t>Between Message and History</t>
  </si>
  <si>
    <t>Islam E-BOOK</t>
  </si>
  <si>
    <t>Filali-Ansary, Abdou / Charfi, Abdelmadjid / Karmali Ahmed, Sikeena</t>
  </si>
  <si>
    <t>978-1-4744-7285-2</t>
  </si>
  <si>
    <t>China's Early Mosques</t>
  </si>
  <si>
    <t>China's Early Mosques E-BOOK</t>
  </si>
  <si>
    <t>Steinhardt, Nancy Shatzman</t>
  </si>
  <si>
    <t>978-1-4744-7736-9</t>
  </si>
  <si>
    <t>Gold Rush Societies and Migrant Networks in the Tasman World</t>
  </si>
  <si>
    <t>Gold Rush Societies and Migrant Networks in the Tasma E-BOOK</t>
  </si>
  <si>
    <t>Davy, Daniel</t>
  </si>
  <si>
    <t>HIS004000 HISTORY / Australia &amp; New Zealand</t>
  </si>
  <si>
    <t>978-0-7486-3719-5</t>
  </si>
  <si>
    <t>Medieval Literature and Postcolonial Studies</t>
  </si>
  <si>
    <t>Medieval Literature and Postcolonial Studies E-BOOK</t>
  </si>
  <si>
    <t>Lampert-Weissig, Lisa</t>
  </si>
  <si>
    <t>978-0-7486-4324-0</t>
  </si>
  <si>
    <t>Contemporary British Drama</t>
  </si>
  <si>
    <t>Contemporary British Drama E-BOOK</t>
  </si>
  <si>
    <t>Lane, David</t>
  </si>
  <si>
    <t>978-0-7486-4743-9</t>
  </si>
  <si>
    <t>Gothic Literature</t>
  </si>
  <si>
    <t>Gothic Literature E-BOOK</t>
  </si>
  <si>
    <t>Smith, Andrew</t>
  </si>
  <si>
    <t>978-0-7486-9691-8</t>
  </si>
  <si>
    <t>Wisdom and Politics in Tenth-Century Iran: Volume I: The Nasihat al-muluk of Pseudo-Mawardi: Contexts and Themes</t>
  </si>
  <si>
    <t>Marlow, Louise</t>
  </si>
  <si>
    <t>978-0-7486-8647-6</t>
  </si>
  <si>
    <t>Deleuze and Guattari's A Thousand Plateaus</t>
  </si>
  <si>
    <t>Deleuze and Guattari's A Thousand Plateaus E-BOOK</t>
  </si>
  <si>
    <t>Edinburgh University Press Complete eBook-Package 2014-2015 | Western University EBA Selected eBooks 2023</t>
  </si>
  <si>
    <t>978-0-7486-3093-6</t>
  </si>
  <si>
    <t>Film and Video Censorship in Modern Britain</t>
  </si>
  <si>
    <t>Film and Video Censorship in Modern Britain E-BOOK</t>
  </si>
  <si>
    <t>Petley, Julian</t>
  </si>
  <si>
    <t>978-0-7486-3190-2</t>
  </si>
  <si>
    <t>Twelver Shiism</t>
  </si>
  <si>
    <t>Unity and Diversity in the Life of Islam, 632 to 1722</t>
  </si>
  <si>
    <t>Twelver Shiism E-BOOK</t>
  </si>
  <si>
    <t>Newman, Andrew J.</t>
  </si>
  <si>
    <t>978-1-4744-3366-2</t>
  </si>
  <si>
    <t>The Monastery</t>
  </si>
  <si>
    <t>The Monastery E-BOOK</t>
  </si>
  <si>
    <t>Scott, Walter / Fielding, Penny</t>
  </si>
  <si>
    <t>978-0-7486-2969-5</t>
  </si>
  <si>
    <t>Philosophy of Language A–Z</t>
  </si>
  <si>
    <t>Philosophy of Language A–Z E-BOOK</t>
  </si>
  <si>
    <t>Tanesini, Alessandra</t>
  </si>
  <si>
    <t>978-1-4744-2099-0</t>
  </si>
  <si>
    <t>Dickens and Demolition</t>
  </si>
  <si>
    <t>Literary Afterlives and Mid-Nineteenth Century Urban Development</t>
  </si>
  <si>
    <t>Dickens and Demolition E-BOOK</t>
  </si>
  <si>
    <t>Hofer-Robinson, Joanna</t>
  </si>
  <si>
    <t>978-0-7486-4223-6</t>
  </si>
  <si>
    <t>Not Half No End</t>
  </si>
  <si>
    <t>Militantly Melancholic Essays in Memory of Jacques Derrida</t>
  </si>
  <si>
    <t>Not Half No End E-BOOK</t>
  </si>
  <si>
    <t>Bennington, Geoffrey</t>
  </si>
  <si>
    <t>LIT004100 LITERARY CRITICISM / Caribbean &amp; Latin American</t>
  </si>
  <si>
    <t>978-0-7486-2627-4</t>
  </si>
  <si>
    <t>Ethnicity and Cultural Authority</t>
  </si>
  <si>
    <t>From Arnold to Du Bois</t>
  </si>
  <si>
    <t>Ethnicity and Cultural Authority E-BOOK</t>
  </si>
  <si>
    <t>Williams, Daniel G.</t>
  </si>
  <si>
    <t>978-0-7486-9644-4</t>
  </si>
  <si>
    <t>The New Romanian Cinema</t>
  </si>
  <si>
    <t>The New Romanian Cinema E-BOOK</t>
  </si>
  <si>
    <t>Duma, Dana / Stojanova, Christina</t>
  </si>
  <si>
    <t>978-1-4744-7270-8</t>
  </si>
  <si>
    <t>Sicily from Aeneas to Augustus</t>
  </si>
  <si>
    <t>New Approaches in Archaeology and History</t>
  </si>
  <si>
    <t>Sicily from Aeneas to Augustus E-BOOK</t>
  </si>
  <si>
    <t>Smith, Christopher J. / Serrati, John</t>
  </si>
  <si>
    <t>New Perspectives on the Ancient World</t>
  </si>
  <si>
    <t>978-1-4744-5515-2</t>
  </si>
  <si>
    <t>Modernism and Still Life</t>
  </si>
  <si>
    <t>Artists, Writers, Dancers</t>
  </si>
  <si>
    <t>Modernism and Still Life E-BOOK</t>
  </si>
  <si>
    <t>Tobin, Claudia</t>
  </si>
  <si>
    <t>978-1-4744-6801-5</t>
  </si>
  <si>
    <t>Speaking Against Number</t>
  </si>
  <si>
    <t>Heidegger, Language and the Politics of Calculation</t>
  </si>
  <si>
    <t>Speaking Against Number E-BOOK</t>
  </si>
  <si>
    <t>Elden, Stuart</t>
  </si>
  <si>
    <t>978-1-4744-1067-0</t>
  </si>
  <si>
    <t>The Revolutionary and Anti-Imperialist Writings of James Connolly 1893-1916</t>
  </si>
  <si>
    <t>The Revolutionary and Anti-Imperialist Writings of Ja E-BOOK</t>
  </si>
  <si>
    <t>McCarthy, Conor</t>
  </si>
  <si>
    <t>978-1-4744-0336-8</t>
  </si>
  <si>
    <t>The Incurable-Image</t>
  </si>
  <si>
    <t>Curating Post-Mexican Film and Media Arts</t>
  </si>
  <si>
    <t>The Incurable-Image E-BOOK</t>
  </si>
  <si>
    <t>Elhaik, Tarek</t>
  </si>
  <si>
    <t>978-1-4744-2858-3</t>
  </si>
  <si>
    <t>Commemorating Peterloo</t>
  </si>
  <si>
    <t>Violence, Resilience and Claim-making during the Romantic Era</t>
  </si>
  <si>
    <t>Commemorating Peterloo E-BOOK</t>
  </si>
  <si>
    <t>Demson, Michael / Hewitt, Regina</t>
  </si>
  <si>
    <t>978-1-4744-3725-7</t>
  </si>
  <si>
    <t>The Films of Andrei Tarkovsky</t>
  </si>
  <si>
    <t>Toymentsev, Sergei</t>
  </si>
  <si>
    <t>978-1-4744-2806-4</t>
  </si>
  <si>
    <t>Christianity in North Africa and West Asia</t>
  </si>
  <si>
    <t>Christianity in North Africa and West Asia E-BOOK</t>
  </si>
  <si>
    <t>Johnson, Todd / Ross, Kenneth / Tadros, Mariz</t>
  </si>
  <si>
    <t>978-1-4744-0370-2</t>
  </si>
  <si>
    <t>Anti-Colonial Texts from Central American Student Movements 1929–1983</t>
  </si>
  <si>
    <t>Anti-Colonial Texts from Central American Student Mov E-BOOK</t>
  </si>
  <si>
    <t>Vrana, Heather</t>
  </si>
  <si>
    <t>978-1-4744-2063-1</t>
  </si>
  <si>
    <t>Engaging Dialogue</t>
  </si>
  <si>
    <t>Cinematic Verbalism in American Independent Cinema</t>
  </si>
  <si>
    <t>Engaging Dialogue E-BOOK</t>
  </si>
  <si>
    <t>O'Meara, Jennifer</t>
  </si>
  <si>
    <t>978-0-7486-4459-9</t>
  </si>
  <si>
    <t>Rwanda and the Moral Obligation of Humanitarian Intervention</t>
  </si>
  <si>
    <t>Rwanda and the Moral Obligation of Humanitarian Inter E-BOOK</t>
  </si>
  <si>
    <t>Kassner, Joshua James</t>
  </si>
  <si>
    <t>978-1-4744-8095-6</t>
  </si>
  <si>
    <t>Deleuze and Space</t>
  </si>
  <si>
    <t>Deleuze and Space E-BOOK</t>
  </si>
  <si>
    <t>Buchanan, Ian / Lambert, Gregg</t>
  </si>
  <si>
    <t>978-1-4744-7125-1</t>
  </si>
  <si>
    <t>Thomas Lodge</t>
  </si>
  <si>
    <t>Rosalynd</t>
  </si>
  <si>
    <t>Thomas Lodge E-BOOK</t>
  </si>
  <si>
    <t>Nellist, Brian</t>
  </si>
  <si>
    <t>978-1-4744-0747-2</t>
  </si>
  <si>
    <t>Common Law and Feudal Society in Medieval Scotland</t>
  </si>
  <si>
    <t>Common Law and Feudal Society in Medieval Scotland E-BOOK</t>
  </si>
  <si>
    <t>Edinburgh Classic Editions</t>
  </si>
  <si>
    <t>978-0-7486-3175-9</t>
  </si>
  <si>
    <t>From Rome to Byzantium AD 363 to 565</t>
  </si>
  <si>
    <t>The Transformation of Ancient Rome</t>
  </si>
  <si>
    <t>From Rome to Byzantium AD 363 to 565 E-BOOK</t>
  </si>
  <si>
    <t>Lee, A. D.</t>
  </si>
  <si>
    <t>978-0-7486-5558-8</t>
  </si>
  <si>
    <t>Gillian Rose</t>
  </si>
  <si>
    <t>A Good Enough Justice</t>
  </si>
  <si>
    <t>Gillian Rose E-BOOK</t>
  </si>
  <si>
    <t>Schick, Kate</t>
  </si>
  <si>
    <t>978-1-4744-1651-1</t>
  </si>
  <si>
    <t>Reframing the Alhambra</t>
  </si>
  <si>
    <t>Architecture, Poetry, Textiles and Court Ceremonial</t>
  </si>
  <si>
    <t>Reframing the Alhambra E-BOOK</t>
  </si>
  <si>
    <t>Bush, Olga</t>
  </si>
  <si>
    <t>978-1-4744-2140-9</t>
  </si>
  <si>
    <t>The Unmaking of the Arab Intellectual</t>
  </si>
  <si>
    <t>Prophecy, Exile and the Nation</t>
  </si>
  <si>
    <t>The Unmaking of the Arab Intellectual E-BOOK</t>
  </si>
  <si>
    <t>Halabi, Zeina</t>
  </si>
  <si>
    <t>978-1-4744-6624-0</t>
  </si>
  <si>
    <t>George Strachan of the Mearns</t>
  </si>
  <si>
    <t>Sixteenth Century Orientalist</t>
  </si>
  <si>
    <t>George Strachan of the Mearns E-BOOK</t>
  </si>
  <si>
    <t>McInally, Tom</t>
  </si>
  <si>
    <t>978-1-4744-0543-0</t>
  </si>
  <si>
    <t>Black Nationalism in American History</t>
  </si>
  <si>
    <t>From the Nineteenth Century to the Million Man March</t>
  </si>
  <si>
    <t>Black Nationalism in American History E-BOOK</t>
  </si>
  <si>
    <t>Newman, Mark</t>
  </si>
  <si>
    <t>978-1-4744-6694-3</t>
  </si>
  <si>
    <t>Affect and Attention After Deleuze and Whitehead</t>
  </si>
  <si>
    <t>Ecological Attunement</t>
  </si>
  <si>
    <t>Affect and Attention After Deleuze and Whitehead E-BOOK</t>
  </si>
  <si>
    <t>Duvernoy, Russell J.</t>
  </si>
  <si>
    <t>Edinburgh University Press Complete eBook-Package 2020 | UIUC Life Sciences 2023 eBook package | UIUC Life Sciences P&amp;C 2023 Package</t>
  </si>
  <si>
    <t>978-0-7486-2992-3</t>
  </si>
  <si>
    <t>Rome and its Empire, AD 193-284</t>
  </si>
  <si>
    <t>Rome and its Empire, AD 193-284 E-BOOK</t>
  </si>
  <si>
    <t>Hekster, Olivier</t>
  </si>
  <si>
    <t>978-1-4744-5930-3</t>
  </si>
  <si>
    <t>Palestinian Citizens in Israel</t>
  </si>
  <si>
    <t>A History Through Fiction, 1948-2010</t>
  </si>
  <si>
    <t>Palestinian Citizens in Israel E-BOOK</t>
  </si>
  <si>
    <t>Makhoul, Manar H.</t>
  </si>
  <si>
    <t>978-0-7486-8210-2</t>
  </si>
  <si>
    <t>Law, Lawyers, and Humanism</t>
  </si>
  <si>
    <t>Selected Essays on the History of Scots Law, Volume 1</t>
  </si>
  <si>
    <t>Law, Lawyers, and Humanism E-BOOK</t>
  </si>
  <si>
    <t>Cairns, John W.</t>
  </si>
  <si>
    <t>978-0-7486-2884-1</t>
  </si>
  <si>
    <t>The Edinburgh History of the Book in Scotland, Volume 4</t>
  </si>
  <si>
    <t>Professionalism and Diversity 1880–2000</t>
  </si>
  <si>
    <t>The Edinburgh History of the Book in Scotland, Volume E-BOOK</t>
  </si>
  <si>
    <t>Finkelstein, David / McCleery, Alistair</t>
  </si>
  <si>
    <t>The Edinburgh History of the Book in Scotland</t>
  </si>
  <si>
    <t>978-1-4744-2501-8</t>
  </si>
  <si>
    <t>Derrida's Secret</t>
  </si>
  <si>
    <t>Perjury, Testimony, Oath</t>
  </si>
  <si>
    <t>Derrida's Secret E-BOOK</t>
  </si>
  <si>
    <t>Barbour, Charles</t>
  </si>
  <si>
    <t>978-1-4744-2798-2</t>
  </si>
  <si>
    <t>Geraldine Chaplin</t>
  </si>
  <si>
    <t>The Gift of Film Performance</t>
  </si>
  <si>
    <t>Geraldine Chaplin E-BOOK</t>
  </si>
  <si>
    <t>Rybin, Steven</t>
  </si>
  <si>
    <t>978-0-7486-3096-7</t>
  </si>
  <si>
    <t>Singapore English</t>
  </si>
  <si>
    <t>Singapore English E-BOOK</t>
  </si>
  <si>
    <t>Deterding, David</t>
  </si>
  <si>
    <t>978-1-4744-0934-6</t>
  </si>
  <si>
    <t>Muslims in Western Europe</t>
  </si>
  <si>
    <t>Muslims in Western Europe E-BOOK</t>
  </si>
  <si>
    <t>Otterbeck, Jonas / Nielsen, Jørgen S.</t>
  </si>
  <si>
    <t>978-1-4744-6796-4</t>
  </si>
  <si>
    <t>Augustus</t>
  </si>
  <si>
    <t>Augustus E-BOOK</t>
  </si>
  <si>
    <t>Edmondson, Jonathan</t>
  </si>
  <si>
    <t>978-1-4744-2398-4</t>
  </si>
  <si>
    <t>Medieval Monuments of Central Asia</t>
  </si>
  <si>
    <t>Qarakhanid Architecture of the 11th and 12th Centuries</t>
  </si>
  <si>
    <t>Medieval Monuments of Central Asia E-BOOK</t>
  </si>
  <si>
    <t>McClary, Richard Piran</t>
  </si>
  <si>
    <t>978-1-4744-7063-6</t>
  </si>
  <si>
    <t>Ibn'Aqil</t>
  </si>
  <si>
    <t>Religion and Culture in Classical Islam</t>
  </si>
  <si>
    <t>Ibn'Aqil E-BOOK</t>
  </si>
  <si>
    <t>978-1-4744-6831-2</t>
  </si>
  <si>
    <t>Postcolonial Theory</t>
  </si>
  <si>
    <t>Postcolonial Theory E-BOOK</t>
  </si>
  <si>
    <t>Gandhi, Leela</t>
  </si>
  <si>
    <t>Social Policy, Social Work, Development Aid</t>
  </si>
  <si>
    <t>SOC042000 SOCIAL SCIENCE / Developing &amp; Emerging Countries</t>
  </si>
  <si>
    <t>978-0-7486-9275-0</t>
  </si>
  <si>
    <t>The Reader in al-Jahiz</t>
  </si>
  <si>
    <t>The Epistolary Rhetoric of an Arabic Prose Master</t>
  </si>
  <si>
    <t>The Reader in al-Jahiz E-BOOK</t>
  </si>
  <si>
    <t>Hefter, Thomas</t>
  </si>
  <si>
    <t>978-1-4744-0182-1</t>
  </si>
  <si>
    <t>Kingship and Unity</t>
  </si>
  <si>
    <t>Scotland 1000-1306</t>
  </si>
  <si>
    <t>Kingship and Unity E-BOOK</t>
  </si>
  <si>
    <t>978-0-7486-3305-0</t>
  </si>
  <si>
    <t>Victorian Literature and Postcolonial Studies</t>
  </si>
  <si>
    <t>Victorian Literature and Postcolonial Studies E-BOOK</t>
  </si>
  <si>
    <t>Brantlinger, Patrick</t>
  </si>
  <si>
    <t>978-1-4744-7016-2</t>
  </si>
  <si>
    <t>Rainforest Relations</t>
  </si>
  <si>
    <t>Gender &amp; Resource Use by the Mende of Gola, Sierra Leone</t>
  </si>
  <si>
    <t>Rainforest Relations E-BOOK</t>
  </si>
  <si>
    <t>Leach, Melissa</t>
  </si>
  <si>
    <t>978-1-4744-6582-3</t>
  </si>
  <si>
    <t>Deleuze and Gender</t>
  </si>
  <si>
    <t>Deleuze Studies Volume 2: 2008 (Supplement)</t>
  </si>
  <si>
    <t>Deleuze and Gender E-BOOK</t>
  </si>
  <si>
    <t>Colebrook, Claire / Weinstein, Jami</t>
  </si>
  <si>
    <t>Deleuze Studies Special Issues</t>
  </si>
  <si>
    <t>978-0-7486-3021-9</t>
  </si>
  <si>
    <t>Henry James, Oscar Wilde and Aesthetic Culture</t>
  </si>
  <si>
    <t>Henry James, Oscar Wilde and Aesthetic Culture E-BOOK</t>
  </si>
  <si>
    <t>Mendelssohn, Michèle</t>
  </si>
  <si>
    <t>978-0-7486-4536-7</t>
  </si>
  <si>
    <t>Laruelle and Non-Philosophy</t>
  </si>
  <si>
    <t>Laruelle and Non-Philosophy E-BOOK</t>
  </si>
  <si>
    <t>Mullarkey, John / Smith, Anthony Paul</t>
  </si>
  <si>
    <t>978-1-4744-4143-8</t>
  </si>
  <si>
    <t>Ruler Visibility and Popular Belonging in the Ottoman Empire, 1808-1908</t>
  </si>
  <si>
    <t>Ruler Visibility and Popular Belonging in the Ottoman E-BOOK</t>
  </si>
  <si>
    <t>Stephanov, Darin N.</t>
  </si>
  <si>
    <t>978-1-4744-6840-4</t>
  </si>
  <si>
    <t>Félix Guattari in the Age of Semiocapitalism</t>
  </si>
  <si>
    <t>Deleuze Studies Volume 6, Issue 2</t>
  </si>
  <si>
    <t>Félix Guattari in the Age of Semiocapitalism E-BOOK</t>
  </si>
  <si>
    <t>Genosko, Gary</t>
  </si>
  <si>
    <t>978-1-4744-8320-9</t>
  </si>
  <si>
    <t>Qur’ānic Stories</t>
  </si>
  <si>
    <t>God, Revelation and the Audience</t>
  </si>
  <si>
    <t>Qur’ānic Stories E-BOOK</t>
  </si>
  <si>
    <t>Ozgur Alhassen, Leyla</t>
  </si>
  <si>
    <t>EBOOK PACKAGE COMPLETE 2021 | EBOOK PACKAGE COMPLETE 2021 English | EBOOK PACKAGE Classical Studies 2021 | EBOOK PACKAGE Classical Studies 2021 English | Edinburgh University Press Complete eBook-Package 2021</t>
  </si>
  <si>
    <t>EBA_BACKALL; EBA_CL_CL; EBA_EBACKALL; EBA_EBKALL; EBA_ECL_CL; EBA_EEBKALL; EBA_ESSHALL; EBA_EXCL; EBA_PPALL; EBA_SSHALL</t>
  </si>
  <si>
    <t>978-0-7486-7922-5</t>
  </si>
  <si>
    <t>A Short History of the Ismailis</t>
  </si>
  <si>
    <t>Traditions of a Muslim Community</t>
  </si>
  <si>
    <t>A Short History of the Ismailis E-BOOK</t>
  </si>
  <si>
    <t>Daftary, Farhad</t>
  </si>
  <si>
    <t>978-1-4744-6983-8</t>
  </si>
  <si>
    <t>Interpretations of Law and Ethics in Muslim Contexts</t>
  </si>
  <si>
    <t>Interpretations of Law and Ethics in Muslim Contexts E-BOOK</t>
  </si>
  <si>
    <t>LAW036000 LAW / Ethics &amp; Professional Responsibility</t>
  </si>
  <si>
    <t>978-0-7486-2724-0</t>
  </si>
  <si>
    <t>Starkey, Paul</t>
  </si>
  <si>
    <t>978-1-4744-0162-3</t>
  </si>
  <si>
    <t>American Gothic Culture</t>
  </si>
  <si>
    <t>American Gothic Culture E-BOOK</t>
  </si>
  <si>
    <t>Haslam, Jason  / Faflak, Joel</t>
  </si>
  <si>
    <t>978-1-4744-6966-1</t>
  </si>
  <si>
    <t>Women's Writing of the Victorian Period 1837-1901</t>
  </si>
  <si>
    <t>Women's Writing of the Victorian Period 1837-1901 E-BOOK</t>
  </si>
  <si>
    <t>Jump, Harriet Devine</t>
  </si>
  <si>
    <t>Women's Writing Anthologies</t>
  </si>
  <si>
    <t>978-0-7486-3135-3</t>
  </si>
  <si>
    <t>Walter Scott and Modernity</t>
  </si>
  <si>
    <t>Walter Scott and Modernity E-BOOK</t>
  </si>
  <si>
    <t>Lincoln, Andrew</t>
  </si>
  <si>
    <t>978-1-4744-5154-3</t>
  </si>
  <si>
    <t>Da'wa</t>
  </si>
  <si>
    <t>A Global History of Islamic Missionary Thought and Practice</t>
  </si>
  <si>
    <t>Da'wa E-BOOK</t>
  </si>
  <si>
    <t>Kuiper, Matthew J.</t>
  </si>
  <si>
    <t>EBOOK PACKAGE COMPLETE 2021 | EBOOK PACKAGE COMPLETE 2021 English | EBOOK PACKAGE Theol., Relig.Stud., Jewish Stud. 2021 | EBOOK PACKAGE Theol., Relig.Stud., Jewish Stud. 2021 English | Edinburgh University Press Complete eBook-Package 2021</t>
  </si>
  <si>
    <t>978-1-4744-6955-5</t>
  </si>
  <si>
    <t>Deleuze and Marx</t>
  </si>
  <si>
    <t>Deleuze Studies Volume 3: 2009 (Supplement)</t>
  </si>
  <si>
    <t>Deleuze and Marx E-BOOK</t>
  </si>
  <si>
    <t>Jain, Dhruv</t>
  </si>
  <si>
    <t>978-1-4744-7308-8</t>
  </si>
  <si>
    <t>British Propaganda in the Twentieth Century</t>
  </si>
  <si>
    <t>Selling Democracy</t>
  </si>
  <si>
    <t>British Propaganda in the Twentieth Century E-BOOK</t>
  </si>
  <si>
    <t>Taylor, Philip M.</t>
  </si>
  <si>
    <t>978-0-7486-3662-4</t>
  </si>
  <si>
    <t>Thomas Jefferson</t>
  </si>
  <si>
    <t>Reputation and Legacy</t>
  </si>
  <si>
    <t>Thomas Jefferson E-BOOK</t>
  </si>
  <si>
    <t>Cogliano, Francis D.</t>
  </si>
  <si>
    <t>HIS036040 HISTORY / United States / 19th Century</t>
  </si>
  <si>
    <t>978-1-4744-1426-5</t>
  </si>
  <si>
    <t>Semiramis' Legacy</t>
  </si>
  <si>
    <t>The History of Persia According to Diodorus of Sicily</t>
  </si>
  <si>
    <t>Semiramis' Legacy E-BOOK</t>
  </si>
  <si>
    <t>Stronk, Jan</t>
  </si>
  <si>
    <t>978-0-7486-3594-8</t>
  </si>
  <si>
    <t>Power Play</t>
  </si>
  <si>
    <t>Sport, the Media and Popular Culture</t>
  </si>
  <si>
    <t>Power Play E-BOOK</t>
  </si>
  <si>
    <t>Boyle, Raymond / Haynes, Richard</t>
  </si>
  <si>
    <t>978-0-7486-4663-0</t>
  </si>
  <si>
    <t>Security Arabic</t>
  </si>
  <si>
    <t>Security Arabic E-BOOK</t>
  </si>
  <si>
    <t>978-0-7486-2823-0</t>
  </si>
  <si>
    <t>Noble Power in Scotland from the Reformation to the Revolution</t>
  </si>
  <si>
    <t>Noble Power in Scotland from the Reformation to the R E-BOOK</t>
  </si>
  <si>
    <t>978-1-4744-8040-6</t>
  </si>
  <si>
    <t>The Decline of the Ottoman Empire and The Rise of the Turkish Republic</t>
  </si>
  <si>
    <t>Observations of an American Diplomat, 1919-1927</t>
  </si>
  <si>
    <t>The Decline of the Ottoman Empire and The Rise of the E-BOOK</t>
  </si>
  <si>
    <t>Özoğlu, Hakan</t>
  </si>
  <si>
    <t>978-1-4744-6358-4</t>
  </si>
  <si>
    <t>Creative Practice Research in the Age of Neoliberal Hopelessness</t>
  </si>
  <si>
    <t>Creative Practice Research in the Age of Neoliberal H E-BOOK</t>
  </si>
  <si>
    <t>Piotrowska, Agnieszka</t>
  </si>
  <si>
    <t>EDU037000 EDUCATION / Research</t>
  </si>
  <si>
    <t>978-1-4744-3083-8</t>
  </si>
  <si>
    <t>Nietzsche's Human, All Too Human</t>
  </si>
  <si>
    <t>Nietzsche's Human, All Too Human E-BOOK</t>
  </si>
  <si>
    <t>Abbey, Ruth</t>
  </si>
  <si>
    <t>Edinburgh Critical Guides to Nietzsche</t>
  </si>
  <si>
    <t>978-0-7486-9997-1</t>
  </si>
  <si>
    <t>Portmahomack</t>
  </si>
  <si>
    <t>Monastery of the Picts</t>
  </si>
  <si>
    <t>Portmahomack E-BOOK</t>
  </si>
  <si>
    <t>Carver, Martin</t>
  </si>
  <si>
    <t>978-1-4744-5334-9</t>
  </si>
  <si>
    <t>The Military-Peace Complex</t>
  </si>
  <si>
    <t>Gender and Materiality in Afghanistan</t>
  </si>
  <si>
    <t>The Military-Peace Complex E-BOOK</t>
  </si>
  <si>
    <t>Partis-Jennings, Hannah</t>
  </si>
  <si>
    <t>978-0-7486-2806-3</t>
  </si>
  <si>
    <t>African Filmmaking</t>
  </si>
  <si>
    <t>North and South of the Sahara</t>
  </si>
  <si>
    <t>African Filmmaking E-BOOK</t>
  </si>
  <si>
    <t>Armes, Roy</t>
  </si>
  <si>
    <t>978-1-4744-9699-5</t>
  </si>
  <si>
    <t>Shi'ism</t>
  </si>
  <si>
    <t>Shi'ism E-BOOK</t>
  </si>
  <si>
    <t>Halm, Heinz</t>
  </si>
  <si>
    <t>REL037040 RELIGION / Islam / Shi'a</t>
  </si>
  <si>
    <t>Edinburgh University Press Backlist eBook-Package 2013-2000 | UC San Diego Pick and Choose eBook Package 2024</t>
  </si>
  <si>
    <t>978-1-4744-5130-7</t>
  </si>
  <si>
    <t>Schelling's Ontology of Powers</t>
  </si>
  <si>
    <t>Schelling's Ontology of Powers E-BOOK</t>
  </si>
  <si>
    <t>Alderwick, Charlotte</t>
  </si>
  <si>
    <t>978-0-7486-2727-1</t>
  </si>
  <si>
    <t>Film's Musical Moments</t>
  </si>
  <si>
    <t>Film's Musical Moments E-BOOK</t>
  </si>
  <si>
    <t>Conrich, Ian / Tincknell, Estella</t>
  </si>
  <si>
    <t>978-0-7486-7023-9</t>
  </si>
  <si>
    <t>Bergson and the Art of Immanence</t>
  </si>
  <si>
    <t>Painting, Photography, Film</t>
  </si>
  <si>
    <t>Bergson and the Art of Immanence E-BOOK</t>
  </si>
  <si>
    <t>Ó Maoilearca, John / de Mille, Charlotte</t>
  </si>
  <si>
    <t>978-0-7486-9809-7</t>
  </si>
  <si>
    <t>Recovering Scotland's Slavery Past</t>
  </si>
  <si>
    <t>The Caribbean Connection</t>
  </si>
  <si>
    <t>Recovering Scotland's Slavery Past E-BOOK</t>
  </si>
  <si>
    <t>978-0-7486-4511-4</t>
  </si>
  <si>
    <t>Hegel's Political Philosophy</t>
  </si>
  <si>
    <t>A Systematic Reading of the Philosophy of Right</t>
  </si>
  <si>
    <t>Hegel's Political Philosophy E-BOOK</t>
  </si>
  <si>
    <t>Brooks, Thom</t>
  </si>
  <si>
    <t>978-0-7486-7858-7</t>
  </si>
  <si>
    <t>Spying on the World</t>
  </si>
  <si>
    <t>The Declassified Documents of the Joint Intelligence Committee, 1936-2013</t>
  </si>
  <si>
    <t>Spying on the World E-BOOK</t>
  </si>
  <si>
    <t>Goodman, Michael S. / Aldrich, Richard J. / Cormac, Rory</t>
  </si>
  <si>
    <t>978-1-4744-7345-3</t>
  </si>
  <si>
    <t>Early Islam</t>
  </si>
  <si>
    <t>Early Islam E-BOOK</t>
  </si>
  <si>
    <t>978-0-7486-9350-4</t>
  </si>
  <si>
    <t>The Political Aesthetics of Global Protest</t>
  </si>
  <si>
    <t>The Arab Spring and Beyond</t>
  </si>
  <si>
    <t>The Political Aesthetics of Global Protest E-BOOK</t>
  </si>
  <si>
    <t>Spellman-Poots, Kathryn / Werbner, Pnina / Webb, Martin</t>
  </si>
  <si>
    <t>978-0-7486-7312-4</t>
  </si>
  <si>
    <t>An Introduction to Middle English</t>
  </si>
  <si>
    <t>An Introduction to Middle English E-BOOK</t>
  </si>
  <si>
    <t>Horobin, Simon / Smith, Jeremy</t>
  </si>
  <si>
    <t>978-1-4744-6612-7</t>
  </si>
  <si>
    <t>Flora of Turkey, Volume 7</t>
  </si>
  <si>
    <t>Flora of Turkey, Volume 7 E-BOOK</t>
  </si>
  <si>
    <t>978-1-4744-6954-8</t>
  </si>
  <si>
    <t>Ethics A–Z</t>
  </si>
  <si>
    <t>Ethics A–Z E-BOOK</t>
  </si>
  <si>
    <t>Jacobs, Jonathan</t>
  </si>
  <si>
    <t>978-0-7486-2904-6</t>
  </si>
  <si>
    <t>Augustan Rome 44 BC to AD 14</t>
  </si>
  <si>
    <t>The Restoration of the Republic and the Establishment of the Empire</t>
  </si>
  <si>
    <t>Augustan Rome 44 BC to AD 14 E-BOOK</t>
  </si>
  <si>
    <t>Richardson, J. S.</t>
  </si>
  <si>
    <t>978-1-4744-0011-4</t>
  </si>
  <si>
    <t>Aesthetics, Ethics and Trauma in the Cinema of Pedro Almodóvar</t>
  </si>
  <si>
    <t>Aesthetics, Ethics and Trauma in the Cinema of Pedro  E-BOOK</t>
  </si>
  <si>
    <t>Gutiérrez-Albilla, Julián Daniel</t>
  </si>
  <si>
    <t>978-1-4744-8032-1</t>
  </si>
  <si>
    <t>Indexicalism</t>
  </si>
  <si>
    <t>The Metaphysics of Paradox</t>
  </si>
  <si>
    <t>Indexicalism E-BOOK</t>
  </si>
  <si>
    <t>Bensusan, Hilan</t>
  </si>
  <si>
    <t>978-1-4744-3815-5</t>
  </si>
  <si>
    <t>Distributed Cognition in Medieval and Renaissance Culture</t>
  </si>
  <si>
    <t>Distributed Cognition in Medieval and Renaissance Cul E-BOOK</t>
  </si>
  <si>
    <t>Anderson, Miranda / Wheeler, Michael</t>
  </si>
  <si>
    <t>978-0-7486-3125-4</t>
  </si>
  <si>
    <t>Indian English</t>
  </si>
  <si>
    <t>Indian English E-BOOK</t>
  </si>
  <si>
    <t>Pingali, Sailaja</t>
  </si>
  <si>
    <t>978-0-7486-2706-6</t>
  </si>
  <si>
    <t>The Edinburgh International Encyclopaedia of Psychoanalysis</t>
  </si>
  <si>
    <t>The Edinburgh International Encyclopaedia of Psychoan E-BOOK</t>
  </si>
  <si>
    <t>Skelton, Ross</t>
  </si>
  <si>
    <t>Psychiatry, Psychotherapy</t>
  </si>
  <si>
    <t>PSY029000 PSYCHOLOGY / Reference</t>
  </si>
  <si>
    <t>978-1-4744-7607-2</t>
  </si>
  <si>
    <t>Spinoza, the Epicurean</t>
  </si>
  <si>
    <t>Authority and Utility in Materialism</t>
  </si>
  <si>
    <t>Spinoza, the Epicurean E-BOOK</t>
  </si>
  <si>
    <t>Vardoulakis, Dimitris</t>
  </si>
  <si>
    <t>978-1-4744-0725-0</t>
  </si>
  <si>
    <t>Transnational Film Remakes</t>
  </si>
  <si>
    <t>Transnational Film Remakes E-BOOK</t>
  </si>
  <si>
    <t>Smith, Iain Robert / Verevis, Constantine</t>
  </si>
  <si>
    <t>978-1-4744-2112-6</t>
  </si>
  <si>
    <t>Critical and Clinical Cartographies</t>
  </si>
  <si>
    <t>Architecture, Robotics, Medicine, Philosophy</t>
  </si>
  <si>
    <t>Critical and Clinical Cartographies E-BOOK</t>
  </si>
  <si>
    <t>Radman, Andrej / Sohn, Heidi</t>
  </si>
  <si>
    <t>New Materialisms</t>
  </si>
  <si>
    <t>978-0-7486-4496-4</t>
  </si>
  <si>
    <t>Media Arabic</t>
  </si>
  <si>
    <t>Media Arabic E-BOOK</t>
  </si>
  <si>
    <t>Kendall, Elisabeth</t>
  </si>
  <si>
    <t>978-0-7486-2721-9</t>
  </si>
  <si>
    <t>Media Policy and Globalization</t>
  </si>
  <si>
    <t>Media Policy and Globalization E-BOOK</t>
  </si>
  <si>
    <t>Chakravartty, Paula / Sarikakis, Katharine</t>
  </si>
  <si>
    <t>978-1-4744-8236-3</t>
  </si>
  <si>
    <t>The Films of Doris Wishman</t>
  </si>
  <si>
    <t>Kozma, Alicia / Freibert, Finley</t>
  </si>
  <si>
    <t>978-1-4744-7526-6</t>
  </si>
  <si>
    <t>We Ourselves</t>
  </si>
  <si>
    <t>The Politics of Us, Letting Be II</t>
  </si>
  <si>
    <t>We Ourselves E-BOOK</t>
  </si>
  <si>
    <t>RayAlexander, Christopher / Garcia, Tristan / RayAlexander, Abigail</t>
  </si>
  <si>
    <t>978-1-4744-3835-3</t>
  </si>
  <si>
    <t>Speculative Grammatology</t>
  </si>
  <si>
    <t>Deconstruction and the New Materialism</t>
  </si>
  <si>
    <t>Speculative Grammatology E-BOOK</t>
  </si>
  <si>
    <t>Goldgaber, Deborah</t>
  </si>
  <si>
    <t>978-0-7486-4291-5</t>
  </si>
  <si>
    <t>The Baudrillard Dictionary</t>
  </si>
  <si>
    <t>The Baudrillard Dictionary E-BOOK</t>
  </si>
  <si>
    <t>Smith, Richard G.</t>
  </si>
  <si>
    <t>978-1-4744-6891-6</t>
  </si>
  <si>
    <t>Greeks And Barbarians</t>
  </si>
  <si>
    <t>Greeks And Barbarians E-BOOK</t>
  </si>
  <si>
    <t>Harrison, Thomas</t>
  </si>
  <si>
    <t>978-1-4744-1725-9</t>
  </si>
  <si>
    <t>Cheap Modernism</t>
  </si>
  <si>
    <t>Expanding Markets, Publishers’ Series and the Avant-Garde</t>
  </si>
  <si>
    <t>Cheap Modernism E-BOOK</t>
  </si>
  <si>
    <t>978-1-4744-9713-8</t>
  </si>
  <si>
    <t>Women's Writing of the Early Modern Period 1588-1688</t>
  </si>
  <si>
    <t>Women's Writing of the Early Modern Period 1588-1688 E-BOOK</t>
  </si>
  <si>
    <t>978-0-7486-7000-0</t>
  </si>
  <si>
    <t>Sublime Art</t>
  </si>
  <si>
    <t>Towards an Aesthetics of the Future</t>
  </si>
  <si>
    <t>Sublime Art E-BOOK</t>
  </si>
  <si>
    <t>Zepke, Stephen</t>
  </si>
  <si>
    <t>978-0-7486-3724-9</t>
  </si>
  <si>
    <t>Reality TV</t>
  </si>
  <si>
    <t>Reality TV E-BOOK</t>
  </si>
  <si>
    <t>Kavka, Misha</t>
  </si>
  <si>
    <t>TV Genres</t>
  </si>
  <si>
    <t>978-0-7486-4758-3</t>
  </si>
  <si>
    <t>Volleys of Humanity</t>
  </si>
  <si>
    <t>Essays 1972–2009</t>
  </si>
  <si>
    <t>Volleys of Humanity E-BOOK</t>
  </si>
  <si>
    <t>Prenowitz, Eric / Cixous, Hélène</t>
  </si>
  <si>
    <t>978-0-7486-3224-4</t>
  </si>
  <si>
    <t>Contemporary Issues in Islam</t>
  </si>
  <si>
    <t>Contemporary Issues in Islam E-BOOK</t>
  </si>
  <si>
    <t>Afsaruddin, Asma</t>
  </si>
  <si>
    <t>978-0-7486-9803-5</t>
  </si>
  <si>
    <t>Discourses of Regulation and Resistance</t>
  </si>
  <si>
    <t>Censoring Translation in the Stalin and Khrushchev Era Soviet Union</t>
  </si>
  <si>
    <t>Discourses of Regulation and Resistance E-BOOK</t>
  </si>
  <si>
    <t>Sherry, Samantha</t>
  </si>
  <si>
    <t>Slavic Languages</t>
  </si>
  <si>
    <t>FOR021000 FOREIGN LANGUAGE STUDY / Russian</t>
  </si>
  <si>
    <t>978-0-7486-3749-2</t>
  </si>
  <si>
    <t>The Sociolinguistics of Writing</t>
  </si>
  <si>
    <t>The Sociolinguistics of Writing E-BOOK</t>
  </si>
  <si>
    <t>Lillis, Theresa</t>
  </si>
  <si>
    <t>978-1-4744-2348-9</t>
  </si>
  <si>
    <t>Volpone's Bastards</t>
  </si>
  <si>
    <t>Theorising Jonson's City Comedy</t>
  </si>
  <si>
    <t>Volpone's Bastards E-BOOK</t>
  </si>
  <si>
    <t>Hui, Isaac</t>
  </si>
  <si>
    <t>978-1-4744-2157-7</t>
  </si>
  <si>
    <t>Language on Display</t>
  </si>
  <si>
    <t>Writers, Fiction and Linguistic Culture in Post-Soviet Russia</t>
  </si>
  <si>
    <t>Language on Display E-BOOK</t>
  </si>
  <si>
    <t>Lunde, Ingunn</t>
  </si>
  <si>
    <t>978-0-7486-8185-3</t>
  </si>
  <si>
    <t>A History of Islam in Indonesia</t>
  </si>
  <si>
    <t>Unity in Diversity</t>
  </si>
  <si>
    <t>A History of Islam in Indonesia E-BOOK</t>
  </si>
  <si>
    <t>Kersten, Carool</t>
  </si>
  <si>
    <t>978-1-4744-4024-0</t>
  </si>
  <si>
    <t>Rancière and Music</t>
  </si>
  <si>
    <t>Rancière and Music E-BOOK</t>
  </si>
  <si>
    <t>Stover, Chris / Cachopo, João Pedro / Nickleson, Patrick</t>
  </si>
  <si>
    <t>978-0-7486-9459-4</t>
  </si>
  <si>
    <t>Spirit Becomes Matter</t>
  </si>
  <si>
    <t>The Brontes, George Eliot, Nietzsche</t>
  </si>
  <si>
    <t>Spirit Becomes Matter E-BOOK</t>
  </si>
  <si>
    <t>Staten, Henry</t>
  </si>
  <si>
    <t>978-0-7486-3640-2</t>
  </si>
  <si>
    <t>Spanish Horror Film</t>
  </si>
  <si>
    <t>Spanish Horror Film E-BOOK</t>
  </si>
  <si>
    <t>Lázaro-Reboll, Antonio</t>
  </si>
  <si>
    <t>978-1-4744-1782-2</t>
  </si>
  <si>
    <t>The Pilgrims Society and Public Diplomacy, 1895–1945</t>
  </si>
  <si>
    <t>The Pilgrims Society and Public Diplomacy, 1895–1945 E-BOOK</t>
  </si>
  <si>
    <t>Bowman, Stephen</t>
  </si>
  <si>
    <t>978-0-7486-7556-2</t>
  </si>
  <si>
    <t>Textual Deceptions</t>
  </si>
  <si>
    <t>False Memoirs and Literary Hoaxes in the Contemporary Era</t>
  </si>
  <si>
    <t>Textual Deceptions E-BOOK</t>
  </si>
  <si>
    <t>Vice, Sue</t>
  </si>
  <si>
    <t>978-0-7486-7738-2</t>
  </si>
  <si>
    <t>Arabic Corpus Linguistics</t>
  </si>
  <si>
    <t>Arabic Corpus Linguistics E-BOOK</t>
  </si>
  <si>
    <t>Younis, Nagwa / McEnery, Tony / Hardie, Andrew</t>
  </si>
  <si>
    <t>978-1-4744-7236-4</t>
  </si>
  <si>
    <t>Writing Men</t>
  </si>
  <si>
    <t>Literary Masculinities from Frankenstein to the New Man</t>
  </si>
  <si>
    <t>Writing Men E-BOOK</t>
  </si>
  <si>
    <t>978-0-7486-2901-5</t>
  </si>
  <si>
    <t>Court, Kirk, and Community</t>
  </si>
  <si>
    <t>Scotland 1470-1625</t>
  </si>
  <si>
    <t>Court, Kirk, and Community E-BOOK</t>
  </si>
  <si>
    <t>Wormald, Jenny</t>
  </si>
  <si>
    <t>978-0-7486-3610-5</t>
  </si>
  <si>
    <t>Deleuze and History</t>
  </si>
  <si>
    <t>Deleuze and History E-BOOK</t>
  </si>
  <si>
    <t>Bell, Jeffrey A. / Colebrook, Claire</t>
  </si>
  <si>
    <t>978-1-4744-3412-6</t>
  </si>
  <si>
    <t>Cemberlitas Hamami in Istanbul</t>
  </si>
  <si>
    <t>Biographical Memoir of a Turkish Bath</t>
  </si>
  <si>
    <t>Cemberlitas Hamami in Istanbul E-BOOK</t>
  </si>
  <si>
    <t>Macaraig, Nina</t>
  </si>
  <si>
    <t>978-1-4744-1769-3</t>
  </si>
  <si>
    <t>Self-Harm in New Woman Writing</t>
  </si>
  <si>
    <t>Self-Harm in New Woman Writing E-BOOK</t>
  </si>
  <si>
    <t>Gray, Alexandra</t>
  </si>
  <si>
    <t>978-1-4744-5114-7</t>
  </si>
  <si>
    <t>Hume's Scepticism</t>
  </si>
  <si>
    <t>Pyrrhonian and Academic</t>
  </si>
  <si>
    <t>Hume's Scepticism E-BOOK</t>
  </si>
  <si>
    <t>Fosl, Peter S.</t>
  </si>
  <si>
    <t>978-0-7486-2953-4</t>
  </si>
  <si>
    <t>A History of Everyday Life in Scotland, 1800 to 1900</t>
  </si>
  <si>
    <t>A History of Everyday Life in Scotland, 1800 to 1900 E-BOOK</t>
  </si>
  <si>
    <t>Morton, Graeme / Griffiths, Trevor</t>
  </si>
  <si>
    <t>A History of Everyday Life in Scotland</t>
  </si>
  <si>
    <t>978-1-4744-7103-9</t>
  </si>
  <si>
    <t>The Sitcom</t>
  </si>
  <si>
    <t>The Sitcom E-BOOK</t>
  </si>
  <si>
    <t>Mills, Brett</t>
  </si>
  <si>
    <t>978-1-4744-4674-7</t>
  </si>
  <si>
    <t>Women in the Law Courts of Classical Athens</t>
  </si>
  <si>
    <t>Women in the Law Courts of Classical Athens E-BOOK</t>
  </si>
  <si>
    <t>Kapparis, Konstantinos</t>
  </si>
  <si>
    <t>978-1-4744-6241-9</t>
  </si>
  <si>
    <t>Gaelic in Scotland</t>
  </si>
  <si>
    <t>Policies, Movements, Ideologies</t>
  </si>
  <si>
    <t>Gaelic in Scotland E-BOOK</t>
  </si>
  <si>
    <t>McLeod, Wilson</t>
  </si>
  <si>
    <t>978-0-7486-8180-8</t>
  </si>
  <si>
    <t>The Phonetics/Phonology Interface</t>
  </si>
  <si>
    <t>The Phonetics/Phonology Interface E-BOOK</t>
  </si>
  <si>
    <t>Zsiga, Elizabeth</t>
  </si>
  <si>
    <t>978-1-4744-4242-8</t>
  </si>
  <si>
    <t>Annals of the Parish</t>
  </si>
  <si>
    <t>Annals of the Parish E-BOOK</t>
  </si>
  <si>
    <t>Galt, John / Irvine, Robert P.</t>
  </si>
  <si>
    <t>978-0-7486-2999-2</t>
  </si>
  <si>
    <t>Rome and the Mediterranean 290 to 146 BC</t>
  </si>
  <si>
    <t>The Imperial Republic</t>
  </si>
  <si>
    <t>Rome and the Mediterranean 290 to 146 BC E-BOOK</t>
  </si>
  <si>
    <t>Rosenstein, Nathan</t>
  </si>
  <si>
    <t>978-1-4744-7732-1</t>
  </si>
  <si>
    <t>Katherine Mansfield and Bliss and Other Stories</t>
  </si>
  <si>
    <t>Katherine Mansfield and Bliss and Other Stories E-BOOK</t>
  </si>
  <si>
    <t>Martin, Todd / Duffy, Enda / Kimber, Gerri</t>
  </si>
  <si>
    <t>978-1-4744-0104-3</t>
  </si>
  <si>
    <t>The Politics of Romanticism</t>
  </si>
  <si>
    <t>The Social Contract and Literature</t>
  </si>
  <si>
    <t>The Politics of Romanticism E-BOOK</t>
  </si>
  <si>
    <t>Beenstock, Zoe</t>
  </si>
  <si>
    <t>978-0-7486-2888-9</t>
  </si>
  <si>
    <t>The BNC Handbook</t>
  </si>
  <si>
    <t>Exploring the British National Corpus with SARA</t>
  </si>
  <si>
    <t>The BNC Handbook E-BOOK</t>
  </si>
  <si>
    <t>Aston, Guy / Burnard, Lou</t>
  </si>
  <si>
    <t>978-0-7486-7769-6</t>
  </si>
  <si>
    <t>Prisons in the Late Ottoman Empire</t>
  </si>
  <si>
    <t>Microcosms of Modernity</t>
  </si>
  <si>
    <t>Prisons in the Late Ottoman Empire E-BOOK</t>
  </si>
  <si>
    <t>Schull, Kent F.</t>
  </si>
  <si>
    <t>978-1-4744-6386-7</t>
  </si>
  <si>
    <t>A Treatise on Mystical Love</t>
  </si>
  <si>
    <t>A Treatise on Mystical Love E-BOOK</t>
  </si>
  <si>
    <t>Al Shafie, Hassan / al-Daylami, Ali / Bell, Joseph Norment</t>
  </si>
  <si>
    <t>JAIS Monographs</t>
  </si>
  <si>
    <t>978-0-7486-9540-9</t>
  </si>
  <si>
    <t>Multicultural Immunisation</t>
  </si>
  <si>
    <t>Liberalism and Esposito</t>
  </si>
  <si>
    <t>Multicultural Immunisation E-BOOK</t>
  </si>
  <si>
    <t>Ulbricht, Alexej</t>
  </si>
  <si>
    <t>978-1-4744-7281-4</t>
  </si>
  <si>
    <t>The Vindication of Absolute Idealism</t>
  </si>
  <si>
    <t>The Vindication of Absolute Idealism E-BOOK</t>
  </si>
  <si>
    <t>Sprigge, Timothy</t>
  </si>
  <si>
    <t>978-1-4744-6721-6</t>
  </si>
  <si>
    <t>Urdu Vocabulary</t>
  </si>
  <si>
    <t>A Workbook for Intermediate and Advanced Students</t>
  </si>
  <si>
    <t>Urdu Vocabulary E-BOOK</t>
  </si>
  <si>
    <t>Bruce, Gregory Maxwell</t>
  </si>
  <si>
    <t>FOR030000 FOREIGN LANGUAGE STUDY / Indic Languages</t>
  </si>
  <si>
    <t>978-0-7486-3630-3</t>
  </si>
  <si>
    <t>Practice-led Research, Research-led Practice in the Creative Arts</t>
  </si>
  <si>
    <t>Practice-led Research, Research-led Practice in the C E-BOOK</t>
  </si>
  <si>
    <t>Smith, Hazel / Dean, Roger</t>
  </si>
  <si>
    <t>SOC024000 SOCIAL SCIENCE / Research</t>
  </si>
  <si>
    <t>978-1-4744-3807-0</t>
  </si>
  <si>
    <t>Nordic Film Cultures and Cinemas of Elsewhere</t>
  </si>
  <si>
    <t>Nordic Film Cultures and Cinemas of Elsewhere E-BOOK</t>
  </si>
  <si>
    <t>Westerstahl Stenport, Anna / Lunde, Arne</t>
  </si>
  <si>
    <t>Northern Europe</t>
  </si>
  <si>
    <t>HIS044000 HISTORY / Europe / Scandinavia</t>
  </si>
  <si>
    <t>978-0-7486-8623-0</t>
  </si>
  <si>
    <t>Unfinished Worlds</t>
  </si>
  <si>
    <t>Hermeneutics, Aesthetics and Gadamer</t>
  </si>
  <si>
    <t>Unfinished Worlds E-BOOK</t>
  </si>
  <si>
    <t>Davey, Nicholas</t>
  </si>
  <si>
    <t>978-1-4744-2821-7</t>
  </si>
  <si>
    <t>The Contingency of Necessity</t>
  </si>
  <si>
    <t>Reason and God as Matters of Fact</t>
  </si>
  <si>
    <t>The Contingency of Necessity E-BOOK</t>
  </si>
  <si>
    <t>Tritten, Tyler</t>
  </si>
  <si>
    <t>978-1-4744-1328-2</t>
  </si>
  <si>
    <t>Adam Ferguson and the Idea of Civil Society</t>
  </si>
  <si>
    <t>Moral Science in the Scottish Enlightenment</t>
  </si>
  <si>
    <t>Adam Ferguson and the Idea of Civil Society E-BOOK</t>
  </si>
  <si>
    <t>Smith, Craig</t>
  </si>
  <si>
    <t>Cultural History</t>
  </si>
  <si>
    <t>HIS039000 HISTORY / Civilization</t>
  </si>
  <si>
    <t>978-1-4744-3759-2</t>
  </si>
  <si>
    <t>Post-Colonial Settlement Strategy</t>
  </si>
  <si>
    <t>Post-Colonial Settlement Strategy E-BOOK</t>
  </si>
  <si>
    <t>Eiran, Ehud</t>
  </si>
  <si>
    <t>978-0-7486-9258-3</t>
  </si>
  <si>
    <t>The Scottish Town in the Age of the Enlightenment 1740-1820</t>
  </si>
  <si>
    <t>The Scottish Town in the Age of the Enlightenment 174 E-BOOK</t>
  </si>
  <si>
    <t>Harris, Bob / McKean, Charles</t>
  </si>
  <si>
    <t>978-0-7486-9974-2</t>
  </si>
  <si>
    <t>The Government and Politics of Wales</t>
  </si>
  <si>
    <t>The Government and Politics of Wales E-BOOK</t>
  </si>
  <si>
    <t>Southall, Robert / Deacon, Russell / Denton, Alison</t>
  </si>
  <si>
    <t>978-1-4744-5401-8</t>
  </si>
  <si>
    <t>Jews and Palestinians in the Late Ottoman Era, 1908-1914</t>
  </si>
  <si>
    <t>Claiming the Homeland</t>
  </si>
  <si>
    <t>Jews and Palestinians in the Late Ottoman Era, 1908-1 E-BOOK</t>
  </si>
  <si>
    <t>Fishman, Louis</t>
  </si>
  <si>
    <t>978-0-7486-3627-3</t>
  </si>
  <si>
    <t>The Edinburgh Companion to Contemporary Scottish Poetry</t>
  </si>
  <si>
    <t>The Edinburgh Companion to Contemporary Scottish Poet E-BOOK</t>
  </si>
  <si>
    <t>McGuire, Matt / Nicholson, Colin</t>
  </si>
  <si>
    <t>978-0-7486-5056-9</t>
  </si>
  <si>
    <t>Deleuze's Literary Clinic</t>
  </si>
  <si>
    <t>Criticism and the Politics of Symptoms</t>
  </si>
  <si>
    <t>Deleuze's Literary Clinic E-BOOK</t>
  </si>
  <si>
    <t>Tynan, Aidan</t>
  </si>
  <si>
    <t>978-0-7486-7886-0</t>
  </si>
  <si>
    <t>Butler and Ethics</t>
  </si>
  <si>
    <t>Butler and Ethics E-BOOK</t>
  </si>
  <si>
    <t>Lloyd, Moya</t>
  </si>
  <si>
    <t>978-0-7486-6840-3</t>
  </si>
  <si>
    <t>Key Concepts in Literary Theory</t>
  </si>
  <si>
    <t>Key Concepts in Literary Theory E-BOOK</t>
  </si>
  <si>
    <t>Womack, Kenneth / Wolfreys, Julian / Robbins, Ruth</t>
  </si>
  <si>
    <t>978-0-7486-8137-2</t>
  </si>
  <si>
    <t>Transatlantic Transcendentalism</t>
  </si>
  <si>
    <t>Coleridge, Emerson, and Nature</t>
  </si>
  <si>
    <t>Transatlantic Transcendentalism E-BOOK</t>
  </si>
  <si>
    <t>Harvey, Samantha</t>
  </si>
  <si>
    <t>978-0-7486-8082-5</t>
  </si>
  <si>
    <t>Epistemology A–Z</t>
  </si>
  <si>
    <t>Epistemology A–Z E-BOOK</t>
  </si>
  <si>
    <t>Pritchard, Duncan / Blaauw, Martijn</t>
  </si>
  <si>
    <t>978-0-7486-3666-2</t>
  </si>
  <si>
    <t>The Politics of Religious Change on the Upper Guinea Coast</t>
  </si>
  <si>
    <t>Iconoclasm Done and Undone</t>
  </si>
  <si>
    <t>The Politics of Religious Change on the Upper Guinea  E-BOOK</t>
  </si>
  <si>
    <t>Sarró, Ramon</t>
  </si>
  <si>
    <t>978-0-7486-6945-5</t>
  </si>
  <si>
    <t>Deleuze and Education</t>
  </si>
  <si>
    <t>Deleuze and Education E-BOOK</t>
  </si>
  <si>
    <t>Semetsky, Inna / Masny, Diana</t>
  </si>
  <si>
    <t>978-1-4744-8557-9</t>
  </si>
  <si>
    <t>Deleuze and the Problem of Affect</t>
  </si>
  <si>
    <t>Deleuze and the Problem of Affect E-BOOK</t>
  </si>
  <si>
    <t>Cross, D.</t>
  </si>
  <si>
    <t>978-1-4744-6903-6</t>
  </si>
  <si>
    <t>Media Rights and Intellectual Property</t>
  </si>
  <si>
    <t>Media Rights and Intellectual Property E-BOOK</t>
  </si>
  <si>
    <t>Haynes, Richard</t>
  </si>
  <si>
    <t>978-0-7486-8333-8</t>
  </si>
  <si>
    <t>Al-Jahiz</t>
  </si>
  <si>
    <t>In Praise of Books</t>
  </si>
  <si>
    <t>Al-Jahiz E-BOOK</t>
  </si>
  <si>
    <t>Montgomery, James E.</t>
  </si>
  <si>
    <t>978-1-4744-7116-9</t>
  </si>
  <si>
    <t>The Shrines of the 'Alids in Medieval Syria</t>
  </si>
  <si>
    <t>Sunnis, Shi'is and the Architecture of Coexistence</t>
  </si>
  <si>
    <t>The Shrines of the 'Alids in Medieval Syria E-BOOK</t>
  </si>
  <si>
    <t>Mulder, Stephennie</t>
  </si>
  <si>
    <t>Edinburgh University Press Complete eBook-Package 2014-2015 | University of South Florida 2024 EBA Selections</t>
  </si>
  <si>
    <t>978-1-4744-2306-9</t>
  </si>
  <si>
    <t>Speculative Empiricism</t>
  </si>
  <si>
    <t>Revisiting Whitehead</t>
  </si>
  <si>
    <t>Speculative Empiricism E-BOOK</t>
  </si>
  <si>
    <t>Weber, Tomas Joseph / Stengers, Isabelle / Debaise, Didier</t>
  </si>
  <si>
    <t>978-0-7486-4554-1</t>
  </si>
  <si>
    <t>Practice in TESOL</t>
  </si>
  <si>
    <t>Practice in TESOL E-BOOK</t>
  </si>
  <si>
    <t>Farr, Fiona</t>
  </si>
  <si>
    <t>978-1-4744-6192-4</t>
  </si>
  <si>
    <t>Subversive Readers</t>
  </si>
  <si>
    <t>978-0-585-15908-9</t>
  </si>
  <si>
    <t>God, Reason and Theistic Proofs</t>
  </si>
  <si>
    <t>God, Reason and Theistic Proofs E-BOOK</t>
  </si>
  <si>
    <t>Davis, Stephen T</t>
  </si>
  <si>
    <t>978-0-7486-9397-9</t>
  </si>
  <si>
    <t>Robert Bruce</t>
  </si>
  <si>
    <t>And the Community of the Realm of Scotland: An Edinburgh Classic Edition</t>
  </si>
  <si>
    <t>Robert Bruce E-BOOK</t>
  </si>
  <si>
    <t>Barrow, G W S / Brown, Michael</t>
  </si>
  <si>
    <t>978-0-7486-9310-8</t>
  </si>
  <si>
    <t>The 'War on Terror' and American Film</t>
  </si>
  <si>
    <t>9/11 Frames Per Second</t>
  </si>
  <si>
    <t>The 'War on Terror' and American Film E-BOOK</t>
  </si>
  <si>
    <t>978-0-7486-9254-5</t>
  </si>
  <si>
    <t>Deleuze and Guattari's What is Philosophy?</t>
  </si>
  <si>
    <t>Deleuze and Guattari's What is Philosophy? E-BOOK</t>
  </si>
  <si>
    <t>Bell, Jeffrey A.</t>
  </si>
  <si>
    <t>978-0-7486-6949-3</t>
  </si>
  <si>
    <t>Moving Images</t>
  </si>
  <si>
    <t>Nineteenth-Century Reading and Screen Practices</t>
  </si>
  <si>
    <t>Moving Images E-BOOK</t>
  </si>
  <si>
    <t>Groth, Helen</t>
  </si>
  <si>
    <t>978-1-4744-7198-5</t>
  </si>
  <si>
    <t>Athenian Democracy</t>
  </si>
  <si>
    <t>Athenian Democracy E-BOOK</t>
  </si>
  <si>
    <t>Rhodes, P. J.</t>
  </si>
  <si>
    <t>978-1-4744-0785-4</t>
  </si>
  <si>
    <t>STARZ Spartacus</t>
  </si>
  <si>
    <t>Reimagining an Icon on Screen</t>
  </si>
  <si>
    <t>STARZ Spartacus E-BOOK</t>
  </si>
  <si>
    <t>Augoustakis, Antony / Cyrino, Monica</t>
  </si>
  <si>
    <t>978-1-4744-4216-9</t>
  </si>
  <si>
    <t>The Films of Teuvo Tulio: An Excessive Outsider</t>
  </si>
  <si>
    <t>Seppälä, Jaakko / Bacon, Henry / Laine, Kimmo</t>
  </si>
  <si>
    <t>978-1-4744-3320-4</t>
  </si>
  <si>
    <t>Affects, Actions and Passions in Spinoza</t>
  </si>
  <si>
    <t>The Unity of Body and Mind</t>
  </si>
  <si>
    <t>Affects, Actions and Passions in Spinoza E-BOOK</t>
  </si>
  <si>
    <t>Jaquet, Chantal / Reznichenko, Tatiana</t>
  </si>
  <si>
    <t>978-0-7486-5473-4</t>
  </si>
  <si>
    <t>The Edinburgh Companion to Liz Lochhead</t>
  </si>
  <si>
    <t>The Edinburgh Companion to Liz Lochhead E-BOOK</t>
  </si>
  <si>
    <t>Varty, Anne</t>
  </si>
  <si>
    <t>978-0-7486-2844-5</t>
  </si>
  <si>
    <t>Scotland Re-formed, 1488-1587</t>
  </si>
  <si>
    <t>Scotland Re-formed, 1488-1587 E-BOOK</t>
  </si>
  <si>
    <t>Dawson, Jane</t>
  </si>
  <si>
    <t>978-0-7486-4422-3</t>
  </si>
  <si>
    <t>Derrida's Voice and Phenomenon</t>
  </si>
  <si>
    <t>Derrida's Voice and Phenomenon E-BOOK</t>
  </si>
  <si>
    <t>978-1-4744-6823-7</t>
  </si>
  <si>
    <t>The United States and World War II</t>
  </si>
  <si>
    <t>The Awakening Giant</t>
  </si>
  <si>
    <t>The United States and World War II E-BOOK</t>
  </si>
  <si>
    <t>Folly, Martin</t>
  </si>
  <si>
    <t>978-1-4744-9700-8</t>
  </si>
  <si>
    <t>Introduction to the Qur'an</t>
  </si>
  <si>
    <t>Introduction to the Qur'an E-BOOK</t>
  </si>
  <si>
    <t>Watt, William Montgomery / Bell, Richard</t>
  </si>
  <si>
    <t>Quran</t>
  </si>
  <si>
    <t>REL041000 RELIGION / Islam / Koran &amp; Sacred Writings</t>
  </si>
  <si>
    <t>978-0-7486-4716-3</t>
  </si>
  <si>
    <t>Re-imagining the 'Dark Continent' in fin de siècle Literature</t>
  </si>
  <si>
    <t>Re-imagining the 'Dark Continent' in fin de siècle Li E-BOOK</t>
  </si>
  <si>
    <t>McLaughlan, Robbie</t>
  </si>
  <si>
    <t>978-1-4744-7578-5</t>
  </si>
  <si>
    <t>Godwin and the Book</t>
  </si>
  <si>
    <t>Imagining Media, 1783-1836</t>
  </si>
  <si>
    <t>Godwin and the Book E-BOOK</t>
  </si>
  <si>
    <t>McCray, J. Louise</t>
  </si>
  <si>
    <t>978-0-7486-8528-8</t>
  </si>
  <si>
    <t>Francois Laruelle's Principles of Non-Philosophy</t>
  </si>
  <si>
    <t>Francois Laruelle's Principles of Non-Philosophy E-BOOK</t>
  </si>
  <si>
    <t>Smith, Anthony Paul</t>
  </si>
  <si>
    <t>978-0-7486-6934-9</t>
  </si>
  <si>
    <t>Magic Realist Cinema in East Central Europe</t>
  </si>
  <si>
    <t>Magic Realist Cinema in East Central Europe E-BOOK</t>
  </si>
  <si>
    <t>Skrodzka, Aga</t>
  </si>
  <si>
    <t>978-1-4744-5296-0</t>
  </si>
  <si>
    <t>Tyrone Power</t>
  </si>
  <si>
    <t>Gender, Genre and Image in Classical Hollywood Cinema</t>
  </si>
  <si>
    <t>Tyrone Power E-BOOK</t>
  </si>
  <si>
    <t>Kelly, Gillian</t>
  </si>
  <si>
    <t>978-0-7486-3083-7</t>
  </si>
  <si>
    <t>British Propaganda to France, 1940-1944</t>
  </si>
  <si>
    <t>Machinery, Method and Message</t>
  </si>
  <si>
    <t>British Propaganda to France, 1940-1944 E-BOOK</t>
  </si>
  <si>
    <t>Brooks, Tim</t>
  </si>
  <si>
    <t>978-1-4744-7326-2</t>
  </si>
  <si>
    <t>Contemporary Native American Literature</t>
  </si>
  <si>
    <t>Contemporary Native American Literature E-BOOK</t>
  </si>
  <si>
    <t>Tillett, Rebecca</t>
  </si>
  <si>
    <t>LIT004060 LITERARY CRITICISM / Native American</t>
  </si>
  <si>
    <t>978-1-4744-2509-4</t>
  </si>
  <si>
    <t>Roman Law Essentials</t>
  </si>
  <si>
    <t>Roman Law Essentials E-BOOK</t>
  </si>
  <si>
    <t>Edinburgh Law Essentials</t>
  </si>
  <si>
    <t>978-0-7486-2914-5</t>
  </si>
  <si>
    <t>Philosophy of Science A–Z</t>
  </si>
  <si>
    <t>Philosophy of Science A–Z E-BOOK</t>
  </si>
  <si>
    <t>Psillos, Stathis</t>
  </si>
  <si>
    <t>978-0-7486-2671-7</t>
  </si>
  <si>
    <t>The Twenties in America</t>
  </si>
  <si>
    <t>Politics and History</t>
  </si>
  <si>
    <t>The Twenties in America E-BOOK</t>
  </si>
  <si>
    <t>Palmer, Niall</t>
  </si>
  <si>
    <t>978-1-4744-7350-7</t>
  </si>
  <si>
    <t>The American Presidency</t>
  </si>
  <si>
    <t>The American Presidency E-BOOK</t>
  </si>
  <si>
    <t>978-0-7486-7565-4</t>
  </si>
  <si>
    <t>Designs on the Past</t>
  </si>
  <si>
    <t>How Hollywood Created the Ancient World</t>
  </si>
  <si>
    <t>Designs on the Past E-BOOK</t>
  </si>
  <si>
    <t>Llewellyn-Jones, Lloyd</t>
  </si>
  <si>
    <t>978-1-4744-2271-0</t>
  </si>
  <si>
    <t>Speculative Realism and Science Fiction</t>
  </si>
  <si>
    <t>Speculative Realism and Science Fiction E-BOOK</t>
  </si>
  <si>
    <t>Willems, Brian</t>
  </si>
  <si>
    <t>LIT004260 LITERARY CRITICISM / Science Fiction &amp; Fantasy</t>
  </si>
  <si>
    <t>978-0-7486-3198-8</t>
  </si>
  <si>
    <t>Ecology and Modern Scottish Literature</t>
  </si>
  <si>
    <t>Ecology and Modern Scottish Literature E-BOOK</t>
  </si>
  <si>
    <t>Gairn, Louisa</t>
  </si>
  <si>
    <t>978-0-7486-4636-4</t>
  </si>
  <si>
    <t>Scottish Ethnicity and the Making of New Zealand Society, 1850-1930</t>
  </si>
  <si>
    <t>Scottish Ethnicity and the Making of New Zealand Soci E-BOOK</t>
  </si>
  <si>
    <t>Bueltmann, Tanja</t>
  </si>
  <si>
    <t>978-1-4744-9688-9</t>
  </si>
  <si>
    <t>The Advance of African Capital</t>
  </si>
  <si>
    <t>The Growth of Nigerian Private Enterprise</t>
  </si>
  <si>
    <t>The Advance of African Capital E-BOOK</t>
  </si>
  <si>
    <t>Forrest, Tom</t>
  </si>
  <si>
    <t>978-1-4744-2102-7</t>
  </si>
  <si>
    <t>Theatrical Milton</t>
  </si>
  <si>
    <t>Politics and Poetics of the Staged Body</t>
  </si>
  <si>
    <t>Theatrical Milton E-BOOK</t>
  </si>
  <si>
    <t>Prawdzik, Brendan</t>
  </si>
  <si>
    <t>978-0-7486-3324-1</t>
  </si>
  <si>
    <t>Music Video and the Politics of Representation</t>
  </si>
  <si>
    <t>Music Video and the Politics of Representation E-BOOK</t>
  </si>
  <si>
    <t>Railton, Diane / Watson, Paul</t>
  </si>
  <si>
    <t>978-0-7486-3026-4</t>
  </si>
  <si>
    <t>US Government and Politics</t>
  </si>
  <si>
    <t>US Government and Politics E-BOOK</t>
  </si>
  <si>
    <t>Storey, William</t>
  </si>
  <si>
    <t>978-1-4744-1127-1</t>
  </si>
  <si>
    <t>Listening for Theatrical Form in Early Modern England</t>
  </si>
  <si>
    <t>Listening for Theatrical Form in Early Modern England E-BOOK</t>
  </si>
  <si>
    <t>Deutermann, Allison</t>
  </si>
  <si>
    <t>978-1-4744-7118-3</t>
  </si>
  <si>
    <t>Investing for Generations</t>
  </si>
  <si>
    <t>A History of the Alliance Trust</t>
  </si>
  <si>
    <t>Investing for Generations E-BOOK</t>
  </si>
  <si>
    <t>Munn, Charles</t>
  </si>
  <si>
    <t>978-1-4744-2812-5</t>
  </si>
  <si>
    <t>Thomas Reid - Essays on the Intellectual Powers of Man</t>
  </si>
  <si>
    <t>A Critical Edition</t>
  </si>
  <si>
    <t>Thomas Reid - Essays on the Intellectual Powers of Ma E-BOOK</t>
  </si>
  <si>
    <t>Haakonssen, Knud / Reid, Thomas / Brookes, Derek</t>
  </si>
  <si>
    <t>978-1-4744-7804-5</t>
  </si>
  <si>
    <t>Mapping the Rockumentary</t>
  </si>
  <si>
    <t>Images of Sound and Fury</t>
  </si>
  <si>
    <t>Mapping the Rockumentary E-BOOK</t>
  </si>
  <si>
    <t>Iversen, Gunnar / MacKenzie, Scott</t>
  </si>
  <si>
    <t>MUS035000 MUSIC / Genres &amp; Styles / Rock</t>
  </si>
  <si>
    <t>978-0-7486-6970-7</t>
  </si>
  <si>
    <t>Untimely Affects</t>
  </si>
  <si>
    <t>Gilles Deleuze and an Ethics of Cinema</t>
  </si>
  <si>
    <t>Untimely Affects E-BOOK</t>
  </si>
  <si>
    <t>Boljkovac, Nadine</t>
  </si>
  <si>
    <t>978-1-4744-6086-6</t>
  </si>
  <si>
    <t>Sino-Enchantment</t>
  </si>
  <si>
    <t>The Fantastic in Contemporary Chinese Cinemas</t>
  </si>
  <si>
    <t>Sino-Enchantment E-BOOK</t>
  </si>
  <si>
    <t>Chan, Kenneth / Stuckey, Andrew</t>
  </si>
  <si>
    <t>978-0-7486-9142-5</t>
  </si>
  <si>
    <t>Romantic Realities</t>
  </si>
  <si>
    <t>Speculative Realism and British Romanticism</t>
  </si>
  <si>
    <t>Romantic Realities E-BOOK</t>
  </si>
  <si>
    <t>Gottlieb, Evan</t>
  </si>
  <si>
    <t>978-0-7486-7839-6</t>
  </si>
  <si>
    <t>The Sense of Film Narration</t>
  </si>
  <si>
    <t>The Sense of Film Narration E-BOOK</t>
  </si>
  <si>
    <t>Garwood, Ian</t>
  </si>
  <si>
    <t>978-1-4744-7174-9</t>
  </si>
  <si>
    <t>Homer's 'Odyssey'</t>
  </si>
  <si>
    <t>Homer's 'Odyssey' E-BOOK</t>
  </si>
  <si>
    <t>Power, Henry</t>
  </si>
  <si>
    <t>978-1-4744-6547-2</t>
  </si>
  <si>
    <t>Deleuze and Literature</t>
  </si>
  <si>
    <t>Deleuze and Literature E-BOOK</t>
  </si>
  <si>
    <t>Buchanan, Ian / Marks, John</t>
  </si>
  <si>
    <t>978-1-4744-5591-6</t>
  </si>
  <si>
    <t>European Integration</t>
  </si>
  <si>
    <t>Historical Trajectories, Geopolitical Contexts</t>
  </si>
  <si>
    <t>European Integration E-BOOK</t>
  </si>
  <si>
    <t>Arnason, Johann P.</t>
  </si>
  <si>
    <t>978-0-7486-2970-1</t>
  </si>
  <si>
    <t>Chinese Philosophy A–Z</t>
  </si>
  <si>
    <t>Chinese Philosophy A–Z E-BOOK</t>
  </si>
  <si>
    <t>Mou, Bo</t>
  </si>
  <si>
    <t>978-1-4744-4240-4</t>
  </si>
  <si>
    <t>Building Early Modern Edinburgh</t>
  </si>
  <si>
    <t>A Social History of Craftwork and Incorporation</t>
  </si>
  <si>
    <t>Building Early Modern Edinburgh E-BOOK</t>
  </si>
  <si>
    <t>Allen, Aaron</t>
  </si>
  <si>
    <t>978-0-7486-2821-6</t>
  </si>
  <si>
    <t>From Pictland to Alba, 789-1070</t>
  </si>
  <si>
    <t>From Pictland to Alba, 789-1070 E-BOOK</t>
  </si>
  <si>
    <t>Woolf, Alex</t>
  </si>
  <si>
    <t>978-0-7486-8011-5</t>
  </si>
  <si>
    <t>Defining Greek Narrative</t>
  </si>
  <si>
    <t>Defining Greek Narrative E-BOOK</t>
  </si>
  <si>
    <t>Cairns, Douglas / Scodel, Ruth</t>
  </si>
  <si>
    <t>978-0-7486-2661-8</t>
  </si>
  <si>
    <t>John Mills and British Cinema</t>
  </si>
  <si>
    <t>Masculinity, Identity and Nation</t>
  </si>
  <si>
    <t>John Mills and British Cinema E-BOOK</t>
  </si>
  <si>
    <t>978-1-4744-5491-9</t>
  </si>
  <si>
    <t>The Story of the Scottish Parliament</t>
  </si>
  <si>
    <t>The First Two Decades Explained</t>
  </si>
  <si>
    <t>The Story of the Scottish Parliament E-BOOK</t>
  </si>
  <si>
    <t>978-0-7486-3119-3</t>
  </si>
  <si>
    <t>Research Methods for Cultural Studies</t>
  </si>
  <si>
    <t>Research Methods for Cultural Studies E-BOOK</t>
  </si>
  <si>
    <t>Pickering, Michael</t>
  </si>
  <si>
    <t>978-0-7486-2902-2</t>
  </si>
  <si>
    <t>The End of the Roman Republic 146 to 44 BC</t>
  </si>
  <si>
    <t>Conquest and Crisis</t>
  </si>
  <si>
    <t>The End of the Roman Republic 146 to 44 BC E-BOOK</t>
  </si>
  <si>
    <t>Steel, Catherine</t>
  </si>
  <si>
    <t>978-0-7486-3770-6</t>
  </si>
  <si>
    <t>The Edinburgh Companion to Muriel Spark</t>
  </si>
  <si>
    <t>The Edinburgh Companion to Muriel Spark E-BOOK</t>
  </si>
  <si>
    <t>Gardiner, Michael / Maley, Willy</t>
  </si>
  <si>
    <t>978-1-4744-6578-6</t>
  </si>
  <si>
    <t>The Poetics of Singularity</t>
  </si>
  <si>
    <t>The Counter-Culturalist Turn in Heidegger, Derrida, Blanchot and the later Gadamer</t>
  </si>
  <si>
    <t>The Poetics of Singularity E-BOOK</t>
  </si>
  <si>
    <t>Clark, Timothy</t>
  </si>
  <si>
    <t>978-1-4744-0462-4</t>
  </si>
  <si>
    <t>The Films of Amy Heckerling</t>
  </si>
  <si>
    <t>Smith, Frances / Shary, Timothy</t>
  </si>
  <si>
    <t>978-1-4744-7080-3</t>
  </si>
  <si>
    <t>Christians and Chiefs in Zimbabwe</t>
  </si>
  <si>
    <t>A Social History of the Hwesa People, 1870s -1990s</t>
  </si>
  <si>
    <t>Christians and Chiefs in Zimbabwe E-BOOK</t>
  </si>
  <si>
    <t>Maxwell, David</t>
  </si>
  <si>
    <t xml:space="preserve">History of Religion </t>
  </si>
  <si>
    <t>REL033000 RELIGION / History</t>
  </si>
  <si>
    <t>978-1-4744-7130-5</t>
  </si>
  <si>
    <t>The Civil Rights Movement</t>
  </si>
  <si>
    <t>The Civil Rights Movement E-BOOK</t>
  </si>
  <si>
    <t>978-1-4744-6821-3</t>
  </si>
  <si>
    <t>Politics and Post-Structuralism</t>
  </si>
  <si>
    <t>Politics and Post-Structuralism E-BOOK</t>
  </si>
  <si>
    <t>Finlayson, Alan / Valentine, Jeremy</t>
  </si>
  <si>
    <t>978-1-4744-7061-2</t>
  </si>
  <si>
    <t>Scotland and the Union</t>
  </si>
  <si>
    <t>Hume Papers on Public Policy 2.2</t>
  </si>
  <si>
    <t>Scotland and the Union E-BOOK</t>
  </si>
  <si>
    <t>978-1-4744-7043-8</t>
  </si>
  <si>
    <t>Volume 8</t>
  </si>
  <si>
    <t>Macdonald, Alastair / MacPherson, Jim</t>
  </si>
  <si>
    <t>978-1-4744-6447-5</t>
  </si>
  <si>
    <t>Islamic Calligraphy</t>
  </si>
  <si>
    <t>Islamic Calligraphy E-BOOK</t>
  </si>
  <si>
    <t>Graphic Arts</t>
  </si>
  <si>
    <t>ART003000 ART / Techniques / Calligraphy</t>
  </si>
  <si>
    <t>978-0-7486-4472-8</t>
  </si>
  <si>
    <t>Institutions in Global Distributive Justice</t>
  </si>
  <si>
    <t>Institutions in Global Distributive Justice E-BOOK</t>
  </si>
  <si>
    <t>Miklos, Andras</t>
  </si>
  <si>
    <t>978-1-4744-6790-2</t>
  </si>
  <si>
    <t>Troublemakers</t>
  </si>
  <si>
    <t>The Struggle for Environmental Justice in Scotland</t>
  </si>
  <si>
    <t>Troublemakers E-BOOK</t>
  </si>
  <si>
    <t>978-1-4744-7208-1</t>
  </si>
  <si>
    <t>The Jacobite Wars</t>
  </si>
  <si>
    <t>Scotland and the Military Campaigns of 1715 and 1745</t>
  </si>
  <si>
    <t>The Jacobite Wars E-BOOK</t>
  </si>
  <si>
    <t>978-1-4744-0380-1</t>
  </si>
  <si>
    <t>Greek Laughter and Tears</t>
  </si>
  <si>
    <t>Antiquity and After</t>
  </si>
  <si>
    <t>Greek Laughter and Tears E-BOOK</t>
  </si>
  <si>
    <t>Alexiou, Margaret / Cairns, Douglas</t>
  </si>
  <si>
    <t>978-0-7486-3034-9</t>
  </si>
  <si>
    <t>American Culture in the 1940s</t>
  </si>
  <si>
    <t>American Culture in the 1940s E-BOOK</t>
  </si>
  <si>
    <t>Foertsch, Jacqueline</t>
  </si>
  <si>
    <t>978-0-7486-2723-3</t>
  </si>
  <si>
    <t>Philosophy of Mind A–Z</t>
  </si>
  <si>
    <t>Philosophy of Mind A–Z E-BOOK</t>
  </si>
  <si>
    <t>Rakova, Marina</t>
  </si>
  <si>
    <t>978-1-4744-0265-1</t>
  </si>
  <si>
    <t>Agamben and Radical Politics</t>
  </si>
  <si>
    <t>Agamben and Radical Politics E-BOOK</t>
  </si>
  <si>
    <t>McLoughlin, Daniel</t>
  </si>
  <si>
    <t>978-1-4744-5759-0</t>
  </si>
  <si>
    <t>Blasphemy and Apostasy in Islam</t>
  </si>
  <si>
    <t>Debates in Shi’a Jurisprudence</t>
  </si>
  <si>
    <t>Blasphemy and Apostasy in Islam E-BOOK</t>
  </si>
  <si>
    <t>Mavani, Hamid / Kadivar, Mohsen / Parolin, Gianluca</t>
  </si>
  <si>
    <t>978-1-4744-6589-2</t>
  </si>
  <si>
    <t>A History of Islamic Law</t>
  </si>
  <si>
    <t>A History of Islamic Law E-BOOK</t>
  </si>
  <si>
    <t>Coulson, Noel</t>
  </si>
  <si>
    <t>978-1-4744-6846-6</t>
  </si>
  <si>
    <t>New Terror, New Wars</t>
  </si>
  <si>
    <t>New Terror, New Wars E-BOOK</t>
  </si>
  <si>
    <t>Contemporary Ethical Debates</t>
  </si>
  <si>
    <t>978-1-4744-1542-2</t>
  </si>
  <si>
    <t>Minorities in the Contemporary Egyptian Novel</t>
  </si>
  <si>
    <t>Minorities in the Contemporary Egyptian Novel E-BOOK</t>
  </si>
  <si>
    <t>Youssef, Mary</t>
  </si>
  <si>
    <t>978-0-7486-9675-8</t>
  </si>
  <si>
    <t>Romantic Gothic</t>
  </si>
  <si>
    <t>Romantic Gothic E-BOOK</t>
  </si>
  <si>
    <t>Wright, Angela / Townshend, Dale</t>
  </si>
  <si>
    <t>978-0-7486-3141-4</t>
  </si>
  <si>
    <t>Newfoundland and Labrador English</t>
  </si>
  <si>
    <t>Newfoundland and Labrador English E-BOOK</t>
  </si>
  <si>
    <t>Clarke, Sandra</t>
  </si>
  <si>
    <t>978-1-4744-6586-1</t>
  </si>
  <si>
    <t>Katherine Mansfield and the Arts</t>
  </si>
  <si>
    <t>Katherine Manfield Studies, Volume 3</t>
  </si>
  <si>
    <t>Katherine Mansfield and the Arts E-BOOK</t>
  </si>
  <si>
    <t>978-0-7486-2622-9</t>
  </si>
  <si>
    <t>Alternative and Activist Media</t>
  </si>
  <si>
    <t>Alternative and Activist Media E-BOOK</t>
  </si>
  <si>
    <t>Waltz, Mitzi</t>
  </si>
  <si>
    <t>SOC052000 SOCIAL SCIENCE / Media Studies</t>
  </si>
  <si>
    <t>978-1-4744-0656-7</t>
  </si>
  <si>
    <t>The Films of Preston Sturges</t>
  </si>
  <si>
    <t>Jaeckle, Jeff / Kozloff, Sarah</t>
  </si>
  <si>
    <t>978-0-7486-2921-3</t>
  </si>
  <si>
    <t>Imperial Rome AD 284 to 363</t>
  </si>
  <si>
    <t>The New Empire</t>
  </si>
  <si>
    <t>Imperial Rome AD 284 to 363 E-BOOK</t>
  </si>
  <si>
    <t>Harries, Jill</t>
  </si>
  <si>
    <t>978-0-7486-5073-6</t>
  </si>
  <si>
    <t>Italian Post-Neorealist Cinema</t>
  </si>
  <si>
    <t>Italian Post-Neorealist Cinema E-BOOK</t>
  </si>
  <si>
    <t>Barattoni, Luca</t>
  </si>
  <si>
    <t>978-0-7486-9578-2</t>
  </si>
  <si>
    <t>The Qur'an</t>
  </si>
  <si>
    <t>A Historical-Critical Introduction</t>
  </si>
  <si>
    <t>The Qur'an E-BOOK</t>
  </si>
  <si>
    <t>Sinai, Nicolai</t>
  </si>
  <si>
    <t>978-0-7486-8599-8</t>
  </si>
  <si>
    <t>Space, Politics and Aesthetics</t>
  </si>
  <si>
    <t>Space, Politics and Aesthetics E-BOOK</t>
  </si>
  <si>
    <t>Dikeç, Mustafa</t>
  </si>
  <si>
    <t>978-0-7486-8319-2</t>
  </si>
  <si>
    <t>Nancy and the Political</t>
  </si>
  <si>
    <t>Nancy and the Political E-BOOK</t>
  </si>
  <si>
    <t>Dejanovic, Sanja</t>
  </si>
  <si>
    <t>978-0-7486-4186-4</t>
  </si>
  <si>
    <t>Gender and Political Identities in Scotland, 1919-1939</t>
  </si>
  <si>
    <t>Gender and Political Identities in Scotland, 1919-193 E-BOOK</t>
  </si>
  <si>
    <t>Hughes, Annmarie</t>
  </si>
  <si>
    <t>978-0-7486-4326-4</t>
  </si>
  <si>
    <t>From Agamben to Zizek</t>
  </si>
  <si>
    <t>From Agamben to Zizek E-BOOK</t>
  </si>
  <si>
    <t>978-1-4744-4230-5</t>
  </si>
  <si>
    <t>Distributed Cognition in Enlightenment and Romantic Culture</t>
  </si>
  <si>
    <t>Distributed Cognition in Enlightenment and Romantic C E-BOOK</t>
  </si>
  <si>
    <t>Wheeler, Michael / Anderson, Miranda / Rousseau, George</t>
  </si>
  <si>
    <t>978-0-7486-4498-8</t>
  </si>
  <si>
    <t>Genealogy and Knowledge in Muslim Societies</t>
  </si>
  <si>
    <t>Understanding the Past</t>
  </si>
  <si>
    <t>Genealogy and Knowledge in Muslim Societies E-BOOK</t>
  </si>
  <si>
    <t>Savant, Sarah Bowen / de Felipe, Helena</t>
  </si>
  <si>
    <t>978-0-7486-9805-9</t>
  </si>
  <si>
    <t>Mixed Methods Research for TESOL</t>
  </si>
  <si>
    <t>Mixed Methods Research for TESOL E-BOOK</t>
  </si>
  <si>
    <t>Brown, James</t>
  </si>
  <si>
    <t>978-1-4744-5603-6</t>
  </si>
  <si>
    <t>The Films of Michel Gondry</t>
  </si>
  <si>
    <t>Block, Marcelline / Kirby, Jennifer</t>
  </si>
  <si>
    <t>978-1-4744-0966-7</t>
  </si>
  <si>
    <t>Research Methods for Creating and Curating Data in the Digital Humanities</t>
  </si>
  <si>
    <t>Research Methods for Creating and Curating Data in th E-BOOK</t>
  </si>
  <si>
    <t>Hayler, Matt / Griffin, Gabriele</t>
  </si>
  <si>
    <t>978-1-4744-0045-9</t>
  </si>
  <si>
    <t>An Introduction to International Varieties of English</t>
  </si>
  <si>
    <t>An Introduction to International Varieties of English E-BOOK</t>
  </si>
  <si>
    <t>978-1-4744-6134-4</t>
  </si>
  <si>
    <t>How Literature Comes to Matter</t>
  </si>
  <si>
    <t>Post-Anthropocentric Approaches to Fiction</t>
  </si>
  <si>
    <t>How Literature Comes to Matter E-BOOK</t>
  </si>
  <si>
    <t>Pedersen, Martin Karlsson / Moslund, Sten Pultz / Marcussen, Marlene Karlsson</t>
  </si>
  <si>
    <t>978-0-7486-9374-0</t>
  </si>
  <si>
    <t>Lesbian Modernism</t>
  </si>
  <si>
    <t>Censorship, Sexuality and Genre Fiction</t>
  </si>
  <si>
    <t>Lesbian Modernism E-BOOK</t>
  </si>
  <si>
    <t>English, Elizabeth</t>
  </si>
  <si>
    <t>978-0-7486-4607-4</t>
  </si>
  <si>
    <t>Politics of the Gift</t>
  </si>
  <si>
    <t>Exchanges in Poststructuralism</t>
  </si>
  <si>
    <t>Politics of the Gift E-BOOK</t>
  </si>
  <si>
    <t>Moore, Gerald</t>
  </si>
  <si>
    <t>978-1-4744-0926-1</t>
  </si>
  <si>
    <t>The Style of Sleaze</t>
  </si>
  <si>
    <t>The American Exploitation Film, 1959-1977</t>
  </si>
  <si>
    <t>The Style of Sleaze E-BOOK</t>
  </si>
  <si>
    <t>Waddell, Calum</t>
  </si>
  <si>
    <t>978-0-7486-4343-1</t>
  </si>
  <si>
    <t>Post-War Anglophone Lebanese Fiction</t>
  </si>
  <si>
    <t>Home Matters in the Diaspora</t>
  </si>
  <si>
    <t>Post-War Anglophone Lebanese Fiction E-BOOK</t>
  </si>
  <si>
    <t>Hout, Syrine</t>
  </si>
  <si>
    <t>978-1-4744-6450-5</t>
  </si>
  <si>
    <t>The Social Turn in Second Language Acquisition</t>
  </si>
  <si>
    <t>The Social Turn in Second Language Acquisition E-BOOK</t>
  </si>
  <si>
    <t>978-1-4744-0874-5</t>
  </si>
  <si>
    <t>Research Methods for History</t>
  </si>
  <si>
    <t>Research Methods for History E-BOOK</t>
  </si>
  <si>
    <t>Faire, Lucy / Gunn, Simon</t>
  </si>
  <si>
    <t>978-0-7486-2848-3</t>
  </si>
  <si>
    <t>Industry, Reform and Empire</t>
  </si>
  <si>
    <t>Scotland, 1790-1880</t>
  </si>
  <si>
    <t>Industry, Reform and Empire E-BOOK</t>
  </si>
  <si>
    <t>Hutchison, Iain</t>
  </si>
  <si>
    <t>978-1-4744-1502-6</t>
  </si>
  <si>
    <t>Essays on Hume, Smith and the Scottish Enlightenment</t>
  </si>
  <si>
    <t>Essays on Hume, Smith and the Scottish Enlightenment E-BOOK</t>
  </si>
  <si>
    <t>978-1-4744-6794-0</t>
  </si>
  <si>
    <t>Strangers and Traders</t>
  </si>
  <si>
    <t>Yoruba Migrants, Markets and the State in Northern Ghana</t>
  </si>
  <si>
    <t>Strangers and Traders E-BOOK</t>
  </si>
  <si>
    <t>Eades, Jeremy</t>
  </si>
  <si>
    <t>978-1-4744-0970-4</t>
  </si>
  <si>
    <t>Tanaka Kinuyo</t>
  </si>
  <si>
    <t>Nation, Stardom and Female Subjectivity</t>
  </si>
  <si>
    <t>Tanaka Kinuyo E-BOOK</t>
  </si>
  <si>
    <t>González-López, Irene / Smith, Michael</t>
  </si>
  <si>
    <t>978-1-4744-3265-8</t>
  </si>
  <si>
    <t>Anne of Geierstein</t>
  </si>
  <si>
    <t>Anne of Geierstein E-BOOK</t>
  </si>
  <si>
    <t>978-1-4744-0393-1</t>
  </si>
  <si>
    <t>Indie Reframed</t>
  </si>
  <si>
    <t>Women’s Filmmaking and Contemporary American Independent Cinema</t>
  </si>
  <si>
    <t>Indie Reframed E-BOOK</t>
  </si>
  <si>
    <t>Perkins, Claire / Schreiber, Michele / Badley, Linda</t>
  </si>
  <si>
    <t>978-1-4744-3819-3</t>
  </si>
  <si>
    <t>Schelling's Naturalism</t>
  </si>
  <si>
    <t>Motion, Space and the Volition of Thought</t>
  </si>
  <si>
    <t>Schelling's Naturalism E-BOOK</t>
  </si>
  <si>
    <t>Woodard, Ben</t>
  </si>
  <si>
    <t>978-1-4744-7059-9</t>
  </si>
  <si>
    <t>Law on the Electronic Frontier</t>
  </si>
  <si>
    <t>Hume Papers on Public Policy 2.4</t>
  </si>
  <si>
    <t>Law on the Electronic Frontier E-BOOK</t>
  </si>
  <si>
    <t>MacQueen, Hector / Simpson, Margaret</t>
  </si>
  <si>
    <t>978-0-7486-4643-2</t>
  </si>
  <si>
    <t>Gender and Enlightenment Culture in Eighteenth-Century Scotland</t>
  </si>
  <si>
    <t>Gender and Enlightenment Culture in Eighteenth-Centur E-BOOK</t>
  </si>
  <si>
    <t>Carr, Rosalind</t>
  </si>
  <si>
    <t>978-0-7486-9195-1</t>
  </si>
  <si>
    <t>Taylor and Politics</t>
  </si>
  <si>
    <t>Taylor and Politics E-BOOK</t>
  </si>
  <si>
    <t>Browne, Craig / Lynch, Andrew</t>
  </si>
  <si>
    <t>978-1-4744-1186-8</t>
  </si>
  <si>
    <t>On the Idea of Potency</t>
  </si>
  <si>
    <t>Juridical and Theological Roots of the Western Cultural Tradition</t>
  </si>
  <si>
    <t>On the Idea of Potency E-BOOK</t>
  </si>
  <si>
    <t>Castrucci, Emanuele</t>
  </si>
  <si>
    <t>978-0-7486-9412-9</t>
  </si>
  <si>
    <t>Drawn from Life</t>
  </si>
  <si>
    <t>Issues and Themes in Animated Documentary Cinema</t>
  </si>
  <si>
    <t>Drawn from Life E-BOOK</t>
  </si>
  <si>
    <t>Murray, Jonathan / Ehrlich, Nea</t>
  </si>
  <si>
    <t>978-1-4744-6984-5</t>
  </si>
  <si>
    <t>Native American Studies</t>
  </si>
  <si>
    <t>Native American Studies E-BOOK</t>
  </si>
  <si>
    <t>Kidwell, Clara Sue / Velie, Alan</t>
  </si>
  <si>
    <t>Introducing Ethnic Studies</t>
  </si>
  <si>
    <t>SOC021000 SOCIAL SCIENCE / Ethnic Studies / Native American Studies</t>
  </si>
  <si>
    <t>978-1-4744-4337-1</t>
  </si>
  <si>
    <t>The Desert in Modern Literature and Philosophy</t>
  </si>
  <si>
    <t>Wasteland Aesthetics</t>
  </si>
  <si>
    <t>The Desert in Modern Literature and Philosophy E-BOOK</t>
  </si>
  <si>
    <t xml:space="preserve">LIT024050 LITERARY CRITICISM / Modern / 20th Century </t>
  </si>
  <si>
    <t>978-1-4744-2016-7</t>
  </si>
  <si>
    <t>Agonistic Mourning</t>
  </si>
  <si>
    <t>Political Dissidence and the Women in Black</t>
  </si>
  <si>
    <t>Agonistic Mourning E-BOOK</t>
  </si>
  <si>
    <t>Athanasiou, Athena</t>
  </si>
  <si>
    <t>978-0-7486-3430-9</t>
  </si>
  <si>
    <t>Irish English, volume 1 - Northern Ireland</t>
  </si>
  <si>
    <t>Irish English, volume 1 - Northern Ireland E-BOOK</t>
  </si>
  <si>
    <t>Corrigan, Karen P.</t>
  </si>
  <si>
    <t>978-0-7486-4633-3</t>
  </si>
  <si>
    <t>The Edinburgh Companion to Hugh MacDiarmid</t>
  </si>
  <si>
    <t>The Edinburgh Companion to Hugh MacDiarmid E-BOOK</t>
  </si>
  <si>
    <t>Lyall, Scott / Palmer McCulloch, Margery</t>
  </si>
  <si>
    <t>978-0-7486-2637-3</t>
  </si>
  <si>
    <t>Pragmatic Stylistics</t>
  </si>
  <si>
    <t>Pragmatic Stylistics E-BOOK</t>
  </si>
  <si>
    <t>Black, Elizabeth</t>
  </si>
  <si>
    <t>978-0-585-44170-2</t>
  </si>
  <si>
    <t>Cruising Culture</t>
  </si>
  <si>
    <t>Promiscuity, Desire and American Gay Literature</t>
  </si>
  <si>
    <t>Cruising Culture E-BOOK</t>
  </si>
  <si>
    <t>SantaMaria, Ben</t>
  </si>
  <si>
    <t>Tendencies: Identities, Texts, Cultures</t>
  </si>
  <si>
    <t>978-0-7486-9300-9</t>
  </si>
  <si>
    <t>In Secrecy's Shadow</t>
  </si>
  <si>
    <t>The OSS and CIA in Hollywood Cinema 1941-1979</t>
  </si>
  <si>
    <t>In Secrecy's Shadow E-BOOK</t>
  </si>
  <si>
    <t>Willmetts, Simon</t>
  </si>
  <si>
    <t>978-1-4744-7252-4</t>
  </si>
  <si>
    <t>Gender and Sexuality</t>
  </si>
  <si>
    <t>Paragraph Volume 17 Number 1</t>
  </si>
  <si>
    <t>Gender and Sexuality E-BOOK</t>
  </si>
  <si>
    <t>Sharrock, Cath</t>
  </si>
  <si>
    <t>978-0-7486-3127-8</t>
  </si>
  <si>
    <t>American Theatre</t>
  </si>
  <si>
    <t>History, Context, Form</t>
  </si>
  <si>
    <t>American Theatre E-BOOK</t>
  </si>
  <si>
    <t>Saxon, Theresa</t>
  </si>
  <si>
    <t>PER011000 PERFORMING ARTS / Theater / General</t>
  </si>
  <si>
    <t>978-1-4744-7048-3</t>
  </si>
  <si>
    <t>Teaching Scottish Literature</t>
  </si>
  <si>
    <t>Curriculum and Classroom Applications (Scottish Language and Literature Volume 3)</t>
  </si>
  <si>
    <t>Teaching Scottish Literature E-BOOK</t>
  </si>
  <si>
    <t>MacGillivray, Alan</t>
  </si>
  <si>
    <t>Scottish Language and Literature</t>
  </si>
  <si>
    <t>978-0-7486-3773-7</t>
  </si>
  <si>
    <t>Memento</t>
  </si>
  <si>
    <t>Memento E-BOOK</t>
  </si>
  <si>
    <t>Molloy, Claire</t>
  </si>
  <si>
    <t>978-0-7486-2958-9</t>
  </si>
  <si>
    <t>Debating the Highland Clearances</t>
  </si>
  <si>
    <t>Debating the Highland Clearances E-BOOK</t>
  </si>
  <si>
    <t>Debates and Documents in Scottish History</t>
  </si>
  <si>
    <t>978-1-4744-9192-1</t>
  </si>
  <si>
    <t>Katherine Mansfield and Children</t>
  </si>
  <si>
    <t>Katherine Mansfield and Children E-BOOK</t>
  </si>
  <si>
    <t>Kimber, Gerri / Martin, Todd</t>
  </si>
  <si>
    <t>978-0-7486-9664-2</t>
  </si>
  <si>
    <t>Cixous’s Semi-Fictions</t>
  </si>
  <si>
    <t>Thinking at the Borders of Fiction</t>
  </si>
  <si>
    <t>Cixous’s Semi-Fictions E-BOOK</t>
  </si>
  <si>
    <t>Hanrahan, Mairéad</t>
  </si>
  <si>
    <t>978-0-7486-2890-2</t>
  </si>
  <si>
    <t>American Culture in the 1950s</t>
  </si>
  <si>
    <t>American Culture in the 1950s E-BOOK</t>
  </si>
  <si>
    <t>978-0-7486-5564-9</t>
  </si>
  <si>
    <t>Sufism in the Contemporary Arabic Novel</t>
  </si>
  <si>
    <t>Sufism in the Contemporary Arabic Novel E-BOOK</t>
  </si>
  <si>
    <t>Elmarsafy, Ziad</t>
  </si>
  <si>
    <t>978-1-4744-6653-0</t>
  </si>
  <si>
    <t>The Films of Rachid Bouchareb</t>
  </si>
  <si>
    <t>Gott, Michael / Kealhofer-Kemp, Leslie</t>
  </si>
  <si>
    <t>978-1-4744-5520-6</t>
  </si>
  <si>
    <t>Multimodal Participation and Engagement</t>
  </si>
  <si>
    <t>Social interaction in the Classroom</t>
  </si>
  <si>
    <t>Multimodal Participation and Engagement E-BOOK</t>
  </si>
  <si>
    <t>Jacknick, Christine M.</t>
  </si>
  <si>
    <t>EBOOK PACKAGE COMPLETE 2021 | EBOOK PACKAGE COMPLETE 2021 English | EBOOK PACKAGE Linguistics 2021 | EBOOK PACKAGE Linguistics 2021 English | Edinburgh University Press Complete eBook-Package 2021</t>
  </si>
  <si>
    <t>978-0-7486-2634-2</t>
  </si>
  <si>
    <t>Scandalous Knowledge</t>
  </si>
  <si>
    <t>Science, Truth and the Human</t>
  </si>
  <si>
    <t>Scandalous Knowledge E-BOOK</t>
  </si>
  <si>
    <t>Herrnstein Smith, Barbara</t>
  </si>
  <si>
    <t>978-1-4744-5261-8</t>
  </si>
  <si>
    <t>Jewish Orthodoxy in Scotland</t>
  </si>
  <si>
    <t>Rabbi Dr Salis Daiches and Religious Leadership</t>
  </si>
  <si>
    <t>Jewish Orthodoxy in Scotland E-BOOK</t>
  </si>
  <si>
    <t>Holtschneider, Hannah</t>
  </si>
  <si>
    <t>978-1-4744-5790-3</t>
  </si>
  <si>
    <t>Home and Identity in Nineteenth-Century Literary London</t>
  </si>
  <si>
    <t>Home and Identity in Nineteenth-Century Literary Lond E-BOOK</t>
  </si>
  <si>
    <t>Robertson, Lisa C.</t>
  </si>
  <si>
    <t>978-1-4744-1835-5</t>
  </si>
  <si>
    <t>Victorian Poetry and the Poetics of the Literary Periodical</t>
  </si>
  <si>
    <t>Victorian Poetry and the Poetics of the Literary Peri E-BOOK</t>
  </si>
  <si>
    <t>Ehnes, Caley</t>
  </si>
  <si>
    <t>978-1-4744-7264-7</t>
  </si>
  <si>
    <t>‘Half-London’ in Zambia</t>
  </si>
  <si>
    <t>contested identities in a Catholic mission school</t>
  </si>
  <si>
    <t>‘Half-London’ in Zambia E-BOOK</t>
  </si>
  <si>
    <t>Simpson, Anthony</t>
  </si>
  <si>
    <t>978-0-7486-4171-0</t>
  </si>
  <si>
    <t>Death-Drive</t>
  </si>
  <si>
    <t>Freudian Hauntings in Literature and Art</t>
  </si>
  <si>
    <t>Death-Drive E-BOOK</t>
  </si>
  <si>
    <t>Rowland Smith, Robert</t>
  </si>
  <si>
    <t>978-0-7486-3072-1</t>
  </si>
  <si>
    <t>Modern American Literature</t>
  </si>
  <si>
    <t>Modern American Literature E-BOOK</t>
  </si>
  <si>
    <t>Morley, Catherine</t>
  </si>
  <si>
    <t>978-0-7486-8344-4</t>
  </si>
  <si>
    <t>Research Methods for English Studies</t>
  </si>
  <si>
    <t>Research Methods for English Studies E-BOOK</t>
  </si>
  <si>
    <t>Griffin, Gabriele</t>
  </si>
  <si>
    <t>978-1-4744-6857-2</t>
  </si>
  <si>
    <t>Roman Law, Scots Law and Legal History</t>
  </si>
  <si>
    <t>Roman Law, Scots Law and Legal History E-BOOK</t>
  </si>
  <si>
    <t>Gordon, William</t>
  </si>
  <si>
    <t>978-1-4744-7335-4</t>
  </si>
  <si>
    <t>Euthanasia - Choice and Death</t>
  </si>
  <si>
    <t>Euthanasia - Choice and Death E-BOOK</t>
  </si>
  <si>
    <t>Tulloch, Gail</t>
  </si>
  <si>
    <t>978-1-4744-0741-0</t>
  </si>
  <si>
    <t>Prophetic Translation</t>
  </si>
  <si>
    <t>The Making of Modern Egyptian Literature</t>
  </si>
  <si>
    <t>Prophetic Translation E-BOOK</t>
  </si>
  <si>
    <t>Kesrouany, Maya I.</t>
  </si>
  <si>
    <t>978-0-7486-4184-0</t>
  </si>
  <si>
    <t>Famine in Scotland - the 'Ill Years' of the 1690s</t>
  </si>
  <si>
    <t>Famine in Scotland - the 'Ill Years' of the 1690s E-BOOK</t>
  </si>
  <si>
    <t>Cullen, Karen</t>
  </si>
  <si>
    <t>978-0-7486-8071-9</t>
  </si>
  <si>
    <t>A Glossary of Applied Linguistics</t>
  </si>
  <si>
    <t>A Glossary of Applied Linguistics E-BOOK</t>
  </si>
  <si>
    <t>Davies, Alan</t>
  </si>
  <si>
    <t>978-1-4744-6044-6</t>
  </si>
  <si>
    <t>The Dome of the Rock and its Umayyad Mosaic Inscriptions</t>
  </si>
  <si>
    <t>The Dome of the Rock and its Umayyad Mosaic Inscripti E-BOOK</t>
  </si>
  <si>
    <t>978-0-7486-4710-1</t>
  </si>
  <si>
    <t>Open Subjects</t>
  </si>
  <si>
    <t>English Renaissance Republicans, Modern Selfhoods and the Virtue of Vulnerability</t>
  </si>
  <si>
    <t>Open Subjects E-BOOK</t>
  </si>
  <si>
    <t>Kuzner, James</t>
  </si>
  <si>
    <t>978-1-4744-2452-3</t>
  </si>
  <si>
    <t>Epic Heroes on Screen</t>
  </si>
  <si>
    <t>Epic Heroes on Screen E-BOOK</t>
  </si>
  <si>
    <t>Augoustakis, Antony / Raucci, Stacie</t>
  </si>
  <si>
    <t>Edinburgh University Press Complete eBook-Package 2018 | MUN EBA Selections 2023</t>
  </si>
  <si>
    <t>978-1-4744-1567-5</t>
  </si>
  <si>
    <t>The Lyric Poem and Aestheticism</t>
  </si>
  <si>
    <t>Forms of Modernity</t>
  </si>
  <si>
    <t>The Lyric Poem and Aestheticism E-BOOK</t>
  </si>
  <si>
    <t>Thain, Marion</t>
  </si>
  <si>
    <t>978-1-4744-6398-0</t>
  </si>
  <si>
    <t>Get Set for American Studies</t>
  </si>
  <si>
    <t>Get Set for American Studies E-BOOK</t>
  </si>
  <si>
    <t>Ashbee, Edward</t>
  </si>
  <si>
    <t>978-1-4744-5142-0</t>
  </si>
  <si>
    <t>Shoe Reels</t>
  </si>
  <si>
    <t>The History and Philosophy of Footwear in Film</t>
  </si>
  <si>
    <t>Shoe Reels E-BOOK</t>
  </si>
  <si>
    <t>Ezra, Elizabeth / Wheatley, Catherine</t>
  </si>
  <si>
    <t>978-1-4744-6932-6</t>
  </si>
  <si>
    <t>History of Ancient Egypt</t>
  </si>
  <si>
    <t>Translated by David Lorton</t>
  </si>
  <si>
    <t>History of Ancient Egypt E-BOOK</t>
  </si>
  <si>
    <t>Hornung, Erik</t>
  </si>
  <si>
    <t>Egyptology</t>
  </si>
  <si>
    <t>HIS002030 HISTORY / Ancient / Egypt</t>
  </si>
  <si>
    <t>978-0-7486-6906-6</t>
  </si>
  <si>
    <t>Retheorising Statelessness</t>
  </si>
  <si>
    <t>A Background Theory of Membership in World Politics</t>
  </si>
  <si>
    <t>Retheorising Statelessness E-BOOK</t>
  </si>
  <si>
    <t>Staples, Kelly</t>
  </si>
  <si>
    <t>978-0-7486-3370-8</t>
  </si>
  <si>
    <t>The Spanish Prisoner</t>
  </si>
  <si>
    <t>The Spanish Prisoner E-BOOK</t>
  </si>
  <si>
    <t>978-1-4744-4094-3</t>
  </si>
  <si>
    <t>Twenty-First-Century Gothic</t>
  </si>
  <si>
    <t>Twenty-First-Century Gothic E-BOOK</t>
  </si>
  <si>
    <t>Wester, Maisha / Aldana Reyes, Xavier</t>
  </si>
  <si>
    <t>Edinburgh University Press Complete eBook-Package 2019 | University of South Florida 2024 EBA Selections</t>
  </si>
  <si>
    <t>978-1-4744-2146-1</t>
  </si>
  <si>
    <t>Suffragist Artists in Partnership</t>
  </si>
  <si>
    <t>Gender, Word and Image</t>
  </si>
  <si>
    <t>Suffragist Artists in Partnership E-BOOK</t>
  </si>
  <si>
    <t>Rose, Lucy Ella</t>
  </si>
  <si>
    <t>978-1-4744-0717-5</t>
  </si>
  <si>
    <t>The Pre-Raphaelites and Orientalism</t>
  </si>
  <si>
    <t>Language and Cognition in Remediations of the East</t>
  </si>
  <si>
    <t>The Pre-Raphaelites and Orientalism E-BOOK</t>
  </si>
  <si>
    <t>Sasso, Eleonora</t>
  </si>
  <si>
    <t>978-1-4744-3416-4</t>
  </si>
  <si>
    <t>Queer Defamiliarisation</t>
  </si>
  <si>
    <t>Writing, Mattering, Making Strange</t>
  </si>
  <si>
    <t>Queer Defamiliarisation E-BOOK</t>
  </si>
  <si>
    <t>Palmer, Helen</t>
  </si>
  <si>
    <t>978-1-4744-7273-9</t>
  </si>
  <si>
    <t>Warlords and Holy Men</t>
  </si>
  <si>
    <t>Scotland AD80-1000</t>
  </si>
  <si>
    <t>Warlords and Holy Men E-BOOK</t>
  </si>
  <si>
    <t>Smyth, Alfred</t>
  </si>
  <si>
    <t>978-1-4744-6613-4</t>
  </si>
  <si>
    <t>Flora of Turkey, Volume 8</t>
  </si>
  <si>
    <t>Flora of Turkey, Volume 8 E-BOOK</t>
  </si>
  <si>
    <t>978-0-7486-6814-4</t>
  </si>
  <si>
    <t>François Laruelle’s Philosophies of Difference</t>
  </si>
  <si>
    <t>François Laruelle’s Philosophies of Difference E-BOOK</t>
  </si>
  <si>
    <t>978-1-4744-2058-7</t>
  </si>
  <si>
    <t>Architectural Materialisms</t>
  </si>
  <si>
    <t>Nonhuman Creativity</t>
  </si>
  <si>
    <t>Architectural Materialisms E-BOOK</t>
  </si>
  <si>
    <t>Voyatzaki, Maria</t>
  </si>
  <si>
    <t>978-0-7486-4702-6</t>
  </si>
  <si>
    <t>Far from Heaven</t>
  </si>
  <si>
    <t>Far from Heaven E-BOOK</t>
  </si>
  <si>
    <t>Davis, Glyn</t>
  </si>
  <si>
    <t>978-1-4744-0117-3</t>
  </si>
  <si>
    <t>Human Rights and Cultural Diversity</t>
  </si>
  <si>
    <t>Core Issues and Cases</t>
  </si>
  <si>
    <t>Human Rights and Cultural Diversity E-BOOK</t>
  </si>
  <si>
    <t>Fagan, Andrew</t>
  </si>
  <si>
    <t>Textbooks in Global Justice and Human Rights</t>
  </si>
  <si>
    <t>CSCU DEI P&amp;C 2023 | Edinburgh University Press Complete eBook-Package 2017</t>
  </si>
  <si>
    <t>978-1-4744-1701-3</t>
  </si>
  <si>
    <t>Close-Up</t>
  </si>
  <si>
    <t>Great Cinematic Performances Volume 1: America</t>
  </si>
  <si>
    <t>Close-Up E-BOOK</t>
  </si>
  <si>
    <t>Stevens, Kyle / Pomerance, Murray</t>
  </si>
  <si>
    <t>978-0-7486-4634-0</t>
  </si>
  <si>
    <t>The Edinburgh Companion to Scottish Drama</t>
  </si>
  <si>
    <t>The Edinburgh Companion to Scottish Drama E-BOOK</t>
  </si>
  <si>
    <t>978-1-4744-0028-2</t>
  </si>
  <si>
    <t>Rome Season Two</t>
  </si>
  <si>
    <t>Trial and Triumph</t>
  </si>
  <si>
    <t>Rome Season Two E-BOOK</t>
  </si>
  <si>
    <t>Cyrino, Monica</t>
  </si>
  <si>
    <t>978-0-7486-3505-4</t>
  </si>
  <si>
    <t>Deleuze and Performance</t>
  </si>
  <si>
    <t>Deleuze and Performance E-BOOK</t>
  </si>
  <si>
    <t>Cull, Laura</t>
  </si>
  <si>
    <t>978-1-4744-4105-6</t>
  </si>
  <si>
    <t>Imperial Visions of Late Byzantium</t>
  </si>
  <si>
    <t>Manuel II Palaiologos and Rhetoric in Purple</t>
  </si>
  <si>
    <t>Imperial Visions of Late Byzantium E-BOOK</t>
  </si>
  <si>
    <t>Leonte, Florin</t>
  </si>
  <si>
    <t>Edinburgh Byzantine Studies</t>
  </si>
  <si>
    <t>978-1-4744-6548-9</t>
  </si>
  <si>
    <t>Deleuze and Music</t>
  </si>
  <si>
    <t>Deleuze and Music E-BOOK</t>
  </si>
  <si>
    <t>Buchanan, Ian / Swiboda, Marcel</t>
  </si>
  <si>
    <t>978-1-4744-5858-0</t>
  </si>
  <si>
    <t>Armenians Beyond Diaspora</t>
  </si>
  <si>
    <t>Making Lebanon their Own</t>
  </si>
  <si>
    <t>Armenians Beyond Diaspora E-BOOK</t>
  </si>
  <si>
    <t>Nalbantian, Tsolin</t>
  </si>
  <si>
    <t>978-1-4744-3027-2</t>
  </si>
  <si>
    <t>Posthuman Space in Samuel Beckett's Short Prose</t>
  </si>
  <si>
    <t>Posthuman Space in Samuel Beckett's Short Prose E-BOOK</t>
  </si>
  <si>
    <t>Boulter, Jonathan</t>
  </si>
  <si>
    <t>978-1-4744-4752-2</t>
  </si>
  <si>
    <t>Sayfo - An Account of the Assyrian Genocide</t>
  </si>
  <si>
    <t>Sayfo - An Account of the Assyrian Genocide E-BOOK</t>
  </si>
  <si>
    <t>Kiczko, Łukasz / Neman Qarabash, Abed Mshiho / Abdalla, Michael</t>
  </si>
  <si>
    <t>HIS026030 HISTORY / Middle East / Iraq</t>
  </si>
  <si>
    <t>978-1-4744-4698-3</t>
  </si>
  <si>
    <t>Miracles of Healing</t>
  </si>
  <si>
    <t>Psychotherapy and Religion in Twentieth-Century Scotland</t>
  </si>
  <si>
    <t>Miracles of Healing E-BOOK</t>
  </si>
  <si>
    <t>Miller, Gavin</t>
  </si>
  <si>
    <t>Psychology</t>
  </si>
  <si>
    <t>Development Psychology</t>
  </si>
  <si>
    <t>PSY026000 PSYCHOLOGY / Movements / Psychoanalysis</t>
  </si>
  <si>
    <t>978-0-7486-4245-8</t>
  </si>
  <si>
    <t>Reading and Responsibility</t>
  </si>
  <si>
    <t>Deconstruction's Traces</t>
  </si>
  <si>
    <t>Reading and Responsibility E-BOOK</t>
  </si>
  <si>
    <t>Attridge, Derek</t>
  </si>
  <si>
    <t>978-1-4744-3673-1</t>
  </si>
  <si>
    <t>Protestants, Gender and the Arab Renaissance in Late Ottoman Syria</t>
  </si>
  <si>
    <t>Protestants, Gender and the Arab Renaissance in Late  E-BOOK</t>
  </si>
  <si>
    <t>Womack, Deanna Ferree</t>
  </si>
  <si>
    <t>978-0-7486-7881-5</t>
  </si>
  <si>
    <t>Badiou and the Political Condition</t>
  </si>
  <si>
    <t>Badiou and the Political Condition E-BOOK</t>
  </si>
  <si>
    <t>Constantinou, Marios</t>
  </si>
  <si>
    <t>978-1-4744-3051-7</t>
  </si>
  <si>
    <t>Deleuze and Evolutionary Theory</t>
  </si>
  <si>
    <t>Deleuze and Evolutionary Theory E-BOOK</t>
  </si>
  <si>
    <t>Bennett, Michael James / Posteraro, Tano S.</t>
  </si>
  <si>
    <t>978-1-4744-7397-2</t>
  </si>
  <si>
    <t>Gender and Seriality</t>
  </si>
  <si>
    <t>Practices and Politics of Contemporary US Television</t>
  </si>
  <si>
    <t>Gender and Seriality E-BOOK</t>
  </si>
  <si>
    <t>Sulimma, Maria</t>
  </si>
  <si>
    <t>978-1-4744-6434-5</t>
  </si>
  <si>
    <t>Cultural Pessimism</t>
  </si>
  <si>
    <t>Narratives of Decline in the Postmodern World</t>
  </si>
  <si>
    <t>Cultural Pessimism E-BOOK</t>
  </si>
  <si>
    <t>Bennett, Oliver</t>
  </si>
  <si>
    <t>978-1-4744-6848-0</t>
  </si>
  <si>
    <t>Transnationalism in Practice</t>
  </si>
  <si>
    <t>Essays on American Studies, Literature and Religion</t>
  </si>
  <si>
    <t>Transnationalism in Practice E-BOOK</t>
  </si>
  <si>
    <t>Giles, Paul</t>
  </si>
  <si>
    <t>978-0-7486-8414-4</t>
  </si>
  <si>
    <t>Iconoclastic Theology</t>
  </si>
  <si>
    <t>Gilles Deleuze and the Secretion of Atheism</t>
  </si>
  <si>
    <t>Iconoclastic Theology E-BOOK</t>
  </si>
  <si>
    <t>Shults, F. LeRon</t>
  </si>
  <si>
    <t>978-0-7486-3154-4</t>
  </si>
  <si>
    <t>Electoral Systems and Voting in the United Kingdom</t>
  </si>
  <si>
    <t>Electoral Systems and Voting in the United Kingdom E-BOOK</t>
  </si>
  <si>
    <t>Robinson, Chris</t>
  </si>
  <si>
    <t>978-0-7486-1116-4</t>
  </si>
  <si>
    <t>Memory, Narrative, Identity</t>
  </si>
  <si>
    <t>Remembering the Self</t>
  </si>
  <si>
    <t>Memory, Narrative, Identity E-BOOK</t>
  </si>
  <si>
    <t>King, Nicola</t>
  </si>
  <si>
    <t>978-1-4744-4459-0</t>
  </si>
  <si>
    <t>The Films of Xavier Dolan</t>
  </si>
  <si>
    <t>Lafontaine, Andrée</t>
  </si>
  <si>
    <t>Canada</t>
  </si>
  <si>
    <t>HIS006020 HISTORY / Canada / Post-Confederation (1867-)</t>
  </si>
  <si>
    <t>978-1-4744-1624-5</t>
  </si>
  <si>
    <t>Modernism, Fiction and Mathematics</t>
  </si>
  <si>
    <t>Modernism, Fiction and Mathematics E-BOOK</t>
  </si>
  <si>
    <t>Engelhardt, Nina</t>
  </si>
  <si>
    <t>978-1-4744-7482-5</t>
  </si>
  <si>
    <t>Studies in Islamic Painting, Epigraphy and Decorative Arts</t>
  </si>
  <si>
    <t>Studies in Islamic Painting, Epigraphy and Decorative E-BOOK</t>
  </si>
  <si>
    <t>978-1-4744-6838-1</t>
  </si>
  <si>
    <t>The Ethics of Development</t>
  </si>
  <si>
    <t>The Ethics of Development E-BOOK</t>
  </si>
  <si>
    <t>Gasper, Des</t>
  </si>
  <si>
    <t>978-1-4744-7223-4</t>
  </si>
  <si>
    <t>John Ruskin</t>
  </si>
  <si>
    <t>Præterita</t>
  </si>
  <si>
    <t>John Ruskin E-BOOK</t>
  </si>
  <si>
    <t>Ruskin, John / Cockshut, A O J</t>
  </si>
  <si>
    <t>The Whitehouse Edition of John Ruskin</t>
  </si>
  <si>
    <t>978-0-7486-8014-6</t>
  </si>
  <si>
    <t>A Not-So-Special Relationship</t>
  </si>
  <si>
    <t>The US, The UK and German Unification, 1945-1990</t>
  </si>
  <si>
    <t>A Not-So-Special Relationship E-BOOK</t>
  </si>
  <si>
    <t>Ratti, Luca</t>
  </si>
  <si>
    <t>General German History</t>
  </si>
  <si>
    <t>HIS014000 HISTORY / Europe / Germany</t>
  </si>
  <si>
    <t>978-1-4744-7078-0</t>
  </si>
  <si>
    <t>Programming for Corpus Linguistics</t>
  </si>
  <si>
    <t>How to Do Text Analysis with Java</t>
  </si>
  <si>
    <t>Programming for Corpus Linguistics E-BOOK</t>
  </si>
  <si>
    <t>Mason, Oliver</t>
  </si>
  <si>
    <t>Programming and Languages</t>
  </si>
  <si>
    <t>COM051010 COMPUTERS / Programming Languages / General</t>
  </si>
  <si>
    <t>978-0-7486-4551-0</t>
  </si>
  <si>
    <t>Ethnographies of Islam</t>
  </si>
  <si>
    <t>Ritual Performances and Everyday Practices</t>
  </si>
  <si>
    <t>Ethnographies of Islam E-BOOK</t>
  </si>
  <si>
    <t>Spellman-Poots, Kathryn</t>
  </si>
  <si>
    <t>978-1-4744-1304-6</t>
  </si>
  <si>
    <t>New Realism</t>
  </si>
  <si>
    <t>Contemporary British Cinema</t>
  </si>
  <si>
    <t>New Realism E-BOOK</t>
  </si>
  <si>
    <t>Forrest, David</t>
  </si>
  <si>
    <t>978-0-7486-3041-7</t>
  </si>
  <si>
    <t>A History of Everyday Life in Twentieth-Century Scotland</t>
  </si>
  <si>
    <t>A History of Everyday Life in Twentieth-Century Scotl E-BOOK</t>
  </si>
  <si>
    <t>Abrams, Lynn / Brown, Callum</t>
  </si>
  <si>
    <t>978-1-4744-3441-6</t>
  </si>
  <si>
    <t>The Schelling-Eschenmayer Controversy, 1801</t>
  </si>
  <si>
    <t>Nature and Identity</t>
  </si>
  <si>
    <t>The Schelling-Eschenmayer Controversy, 1801 E-BOOK</t>
  </si>
  <si>
    <t>Berger, Benjamin / Whistler, Daniel</t>
  </si>
  <si>
    <t>978-1-4744-1433-3</t>
  </si>
  <si>
    <t>Deleuze's Bergsonism</t>
  </si>
  <si>
    <t>Deleuze's Bergsonism E-BOOK</t>
  </si>
  <si>
    <t>Lundy, Craig</t>
  </si>
  <si>
    <t>978-0-7486-9860-8</t>
  </si>
  <si>
    <t>Ivanhoe</t>
  </si>
  <si>
    <t>Ivanhoe E-BOOK</t>
  </si>
  <si>
    <t>Scott, Walter / Tulloch, Graham</t>
  </si>
  <si>
    <t>978-1-4744-3305-1</t>
  </si>
  <si>
    <t>The Antiquary</t>
  </si>
  <si>
    <t>The Antiquary E-BOOK</t>
  </si>
  <si>
    <t>978-0-7486-9956-8</t>
  </si>
  <si>
    <t>Anthony Trollope's Late Style</t>
  </si>
  <si>
    <t>Victorian Liberalism and Literary Form</t>
  </si>
  <si>
    <t>Anthony Trollope's Late Style E-BOOK</t>
  </si>
  <si>
    <t xml:space="preserve">Van Dam, Frederik </t>
  </si>
  <si>
    <t>978-1-4744-7538-9</t>
  </si>
  <si>
    <t>Elizabeth Robins Pennell</t>
  </si>
  <si>
    <t>Elizabeth Robins Pennell E-BOOK</t>
  </si>
  <si>
    <t>Buchanan, Dave / Morse Jones, Kimberly</t>
  </si>
  <si>
    <t>978-1-4744-1373-2</t>
  </si>
  <si>
    <t>Recognition in the Arabic Narrative Tradition</t>
  </si>
  <si>
    <t>Discovery, Deliverance and Delusion</t>
  </si>
  <si>
    <t>Recognition in the Arabic Narrative Tradition E-BOOK</t>
  </si>
  <si>
    <t>Kennedy, Philip</t>
  </si>
  <si>
    <t>978-0-7486-2937-4</t>
  </si>
  <si>
    <t>An Introduction to Regional Englishes</t>
  </si>
  <si>
    <t>Dialect Variation in England</t>
  </si>
  <si>
    <t>An Introduction to Regional Englishes E-BOOK</t>
  </si>
  <si>
    <t>Beal, Joan</t>
  </si>
  <si>
    <t>978-0-7486-4563-3</t>
  </si>
  <si>
    <t>Deleuze</t>
  </si>
  <si>
    <t>A Philosophy of the Event: together with The Vocabulary of Deleuze</t>
  </si>
  <si>
    <t>Deleuze E-BOOK</t>
  </si>
  <si>
    <t>Zourabichvili, Francois / Lambert, Gregg / Smith, Daniel W.</t>
  </si>
  <si>
    <t>978-1-4744-3963-3</t>
  </si>
  <si>
    <t>Modernist Life Histories</t>
  </si>
  <si>
    <t>Biological Theory and The Experimental Bildungsroman</t>
  </si>
  <si>
    <t>Modernist Life Histories E-BOOK</t>
  </si>
  <si>
    <t>Newman, Daniel Aureliano</t>
  </si>
  <si>
    <t>978-1-4744-0212-5</t>
  </si>
  <si>
    <t>The Politics of Diplomacy</t>
  </si>
  <si>
    <t>U.S. Presidents and the Northern Ireland Conflict, 1967-1998</t>
  </si>
  <si>
    <t>The Politics of Diplomacy E-BOOK</t>
  </si>
  <si>
    <t>Cooper, James</t>
  </si>
  <si>
    <t>978-1-4744-1676-4</t>
  </si>
  <si>
    <t>The Refusal of Politics</t>
  </si>
  <si>
    <t>The Refusal of Politics E-BOOK</t>
  </si>
  <si>
    <t>Dubreuil, Laurent / Browning, Cory</t>
  </si>
  <si>
    <t>978-1-4744-7133-6</t>
  </si>
  <si>
    <t>Obafemi Awolowo and the Making of Remo</t>
  </si>
  <si>
    <t>The Local Politics of a Nigerian Nationalist</t>
  </si>
  <si>
    <t>Obafemi Awolowo and the Making of Remo E-BOOK</t>
  </si>
  <si>
    <t>Nolte, Insa</t>
  </si>
  <si>
    <t>978-0-7486-2996-1</t>
  </si>
  <si>
    <t>Northern and Insular Scots</t>
  </si>
  <si>
    <t>Northern and Insular Scots E-BOOK</t>
  </si>
  <si>
    <t>978-0-7486-9265-1</t>
  </si>
  <si>
    <t>Social Interaction and L2 Classroom Discourse</t>
  </si>
  <si>
    <t>Social Interaction and L2 Classroom Discourse E-BOOK</t>
  </si>
  <si>
    <t>Sert, Olcay</t>
  </si>
  <si>
    <t>978-1-4744-4726-3</t>
  </si>
  <si>
    <t>Italian Politics and Nineteenth-Century British Literature and Culture</t>
  </si>
  <si>
    <t>Italian Politics and Nineteenth-Century British Liter E-BOOK</t>
  </si>
  <si>
    <t>Cove, Patricia</t>
  </si>
  <si>
    <t>978-1-4744-0744-1</t>
  </si>
  <si>
    <t>Church and University in the Scottish Enlightenment</t>
  </si>
  <si>
    <t>The Moderate Literati of Edinburgh</t>
  </si>
  <si>
    <t>Church and University in the Scottish Enlightenment E-BOOK</t>
  </si>
  <si>
    <t>Sher, Richard B.</t>
  </si>
  <si>
    <t>978-1-4744-4341-8</t>
  </si>
  <si>
    <t>Unbecoming Human</t>
  </si>
  <si>
    <t>Philosophy of Animality After Deleuze</t>
  </si>
  <si>
    <t>Unbecoming Human E-BOOK</t>
  </si>
  <si>
    <t>Cimatti, Felice / Gironi, Fabio</t>
  </si>
  <si>
    <t>978-0-7486-2991-6</t>
  </si>
  <si>
    <t>Ben Jonson, Renaissance Dramatist</t>
  </si>
  <si>
    <t>Ben Jonson, Renaissance Dramatist E-BOOK</t>
  </si>
  <si>
    <t>McEvoy, Sean</t>
  </si>
  <si>
    <t>978-0-7486-5468-0</t>
  </si>
  <si>
    <t>Human Rights from Community</t>
  </si>
  <si>
    <t>A Rights-Based Approach to Development</t>
  </si>
  <si>
    <t>Human Rights from Community E-BOOK</t>
  </si>
  <si>
    <t>Onazi, Oche</t>
  </si>
  <si>
    <t>978-0-7486-4339-4</t>
  </si>
  <si>
    <t>Thomas Reid on Mathematics and Natural Philosophy</t>
  </si>
  <si>
    <t>Thomas Reid on Mathematics and Natural Philosophy E-BOOK</t>
  </si>
  <si>
    <t>978-0-7486-4445-2</t>
  </si>
  <si>
    <t>The Edinburgh Companion to Scottish Women's Writing</t>
  </si>
  <si>
    <t>The Edinburgh Companion to Scottish Women's Writing E-BOOK</t>
  </si>
  <si>
    <t>978-0-7486-3695-2</t>
  </si>
  <si>
    <t>The Edinburgh Companion to Twentieth-Century Scottish Literature</t>
  </si>
  <si>
    <t>The Edinburgh Companion to Twentieth-Century Scottish E-BOOK</t>
  </si>
  <si>
    <t>Brown, Ian / Riach, Alan</t>
  </si>
  <si>
    <t>978-1-4744-3401-0</t>
  </si>
  <si>
    <t>Blogging from Egypt</t>
  </si>
  <si>
    <t>Digital Literature, 2005-2016</t>
  </si>
  <si>
    <t>Blogging from Egypt E-BOOK</t>
  </si>
  <si>
    <t>Pepe, Teresa</t>
  </si>
  <si>
    <t>978-1-4744-1592-7</t>
  </si>
  <si>
    <t>Garcian Meditations</t>
  </si>
  <si>
    <t>The Dialectics of Persistence in Form and Object</t>
  </si>
  <si>
    <t>Garcian Meditations E-BOOK</t>
  </si>
  <si>
    <t>Cogburn, Jon</t>
  </si>
  <si>
    <t>978-0-7486-5514-4</t>
  </si>
  <si>
    <t>The Edinburgh Companion to James Hogg</t>
  </si>
  <si>
    <t>The Edinburgh Companion to James Hogg E-BOOK</t>
  </si>
  <si>
    <t>Duncan, Ian / Mack, Douglas</t>
  </si>
  <si>
    <t>978-0-7486-2647-2</t>
  </si>
  <si>
    <t>Get Set for Media and Cultural Studies</t>
  </si>
  <si>
    <t>Get Set for Media and Cultural Studies E-BOOK</t>
  </si>
  <si>
    <t>Purvis, Tony</t>
  </si>
  <si>
    <t>978-0-7486-8214-0</t>
  </si>
  <si>
    <t>Enlightenment, Legal Education, and Critique</t>
  </si>
  <si>
    <t>Selected Essays on the History of Scots Law, Volume 2</t>
  </si>
  <si>
    <t>Enlightenment, Legal Education, and Critique E-BOOK</t>
  </si>
  <si>
    <t>Edinburgh University Press Complete eBook-Package 2014-2015 | Pick and Choose Law eBook Package BU 2022 | Pick and Choose eBook Package Cornell Eng Law 2000-2021 | UCB LAW SCHOOL Pick &amp; Choose 2022 | WUSTL 2022 Part 2 Law P&amp;C eBook Package | Yale P&amp;C Law Package 2023</t>
  </si>
  <si>
    <t>978-1-4744-0579-9</t>
  </si>
  <si>
    <t>Sonallah Ibrahim</t>
  </si>
  <si>
    <t>Rebel with a Pen</t>
  </si>
  <si>
    <t>Sonallah Ibrahim E-BOOK</t>
  </si>
  <si>
    <t>978-0-7486-9093-0</t>
  </si>
  <si>
    <t>The Decadent Image</t>
  </si>
  <si>
    <t>The Poetry of Wilde, Symons, and Dowson</t>
  </si>
  <si>
    <t>The Decadent Image E-BOOK</t>
  </si>
  <si>
    <t>Boyiopoulos, Kostas</t>
  </si>
  <si>
    <t>978-1-4744-1169-1</t>
  </si>
  <si>
    <t>Public Debate in Russia</t>
  </si>
  <si>
    <t>Matters of (Dis)order</t>
  </si>
  <si>
    <t>Public Debate in Russia E-BOOK</t>
  </si>
  <si>
    <t>Vakhtin, Nikolai / Firsov, Boris</t>
  </si>
  <si>
    <t>978-1-4744-7352-1</t>
  </si>
  <si>
    <t>Animation and America</t>
  </si>
  <si>
    <t>Animation and America E-BOOK</t>
  </si>
  <si>
    <t>Wells, Paul</t>
  </si>
  <si>
    <t>ART004000 ART / Techniques / Cartooning</t>
  </si>
  <si>
    <t>978-0-7486-4163-5</t>
  </si>
  <si>
    <t>Badiou and Deleuze Read Literature</t>
  </si>
  <si>
    <t>Badiou and Deleuze Read Literature E-BOOK</t>
  </si>
  <si>
    <t>Lecercle, Jean-Jacques</t>
  </si>
  <si>
    <t>978-0-7486-9127-2</t>
  </si>
  <si>
    <t>Courts and Elites in the Hellenistic Empires</t>
  </si>
  <si>
    <t>The Near East After the Achaemenids, c. 330 to 30 BCE</t>
  </si>
  <si>
    <t>Courts and Elites in the Hellenistic Empires E-BOOK</t>
  </si>
  <si>
    <t>Strootman, Rolf</t>
  </si>
  <si>
    <t>978-1-4744-8589-0</t>
  </si>
  <si>
    <t>Collected Essays in Speculative Philosophy</t>
  </si>
  <si>
    <t>Collected Essays in Speculative Philosophy E-BOOK</t>
  </si>
  <si>
    <t>McGrath, Sean / Bradley, James</t>
  </si>
  <si>
    <t>EBOOK PACKAGE COMPLETE 2022 | EBOOK PACKAGE COMPLETE 2022 English | EBOOK PACKAGE Philosophy 2022 | EBOOK PACKAGE Philosophy 2022 English | Edinburgh University Press Complete eBook-Package 2021 | U Chicago P&amp;C UPL Single Titles 2024</t>
  </si>
  <si>
    <t>978-1-4744-3109-5</t>
  </si>
  <si>
    <t>Ana Kokkinos</t>
  </si>
  <si>
    <t>An Oeuvre of Outsiders</t>
  </si>
  <si>
    <t>Ana Kokkinos E-BOOK</t>
  </si>
  <si>
    <t>McWilliam, Kelly</t>
  </si>
  <si>
    <t>978-0-7486-3366-1</t>
  </si>
  <si>
    <t>Democratic Piety</t>
  </si>
  <si>
    <t>Complexity, Conflict and Violence</t>
  </si>
  <si>
    <t>Democratic Piety E-BOOK</t>
  </si>
  <si>
    <t>978-1-4744-5653-1</t>
  </si>
  <si>
    <t>Lyotard and Politics</t>
  </si>
  <si>
    <t>Lyotard and Politics E-BOOK</t>
  </si>
  <si>
    <t>978-1-4744-7275-3</t>
  </si>
  <si>
    <t>Islam and the Prayer Economy</t>
  </si>
  <si>
    <t>History and Authority in a Malian Town</t>
  </si>
  <si>
    <t>Islam and the Prayer Economy E-BOOK</t>
  </si>
  <si>
    <t>Soares, Benjamin</t>
  </si>
  <si>
    <t>978-1-4744-2879-8</t>
  </si>
  <si>
    <t>Placemaking</t>
  </si>
  <si>
    <t>A New Materialist Theory of Pedagogy</t>
  </si>
  <si>
    <t>Placemaking E-BOOK</t>
  </si>
  <si>
    <t>Page, Tara</t>
  </si>
  <si>
    <t>978-1-4744-4900-7</t>
  </si>
  <si>
    <t>The Principles of Deleuzian Philosophy</t>
  </si>
  <si>
    <t>The Principles of Deleuzian Philosophy E-BOOK</t>
  </si>
  <si>
    <t>Kokubun, Koichiro / Nishina, Wren</t>
  </si>
  <si>
    <t>978-0-7486-3223-7</t>
  </si>
  <si>
    <t>World Ethics</t>
  </si>
  <si>
    <t>The New Agenda</t>
  </si>
  <si>
    <t>World Ethics E-BOOK</t>
  </si>
  <si>
    <t>978-0-7486-2689-2</t>
  </si>
  <si>
    <t>A Glossary of Semantics and Pragmatics</t>
  </si>
  <si>
    <t>A Glossary of Semantics and Pragmatics E-BOOK</t>
  </si>
  <si>
    <t>Cruse, Alan</t>
  </si>
  <si>
    <t>978-0-7486-8462-5</t>
  </si>
  <si>
    <t>Literature and Music in the Atlantic World, 1767-1867</t>
  </si>
  <si>
    <t>Literature and Music in the Atlantic World, 1767-1867 E-BOOK</t>
  </si>
  <si>
    <t xml:space="preserve">Jones, Catherine </t>
  </si>
  <si>
    <t>978-0-7486-4360-8</t>
  </si>
  <si>
    <t>The Priority of Events</t>
  </si>
  <si>
    <t>Deleuze's Logic of Sense</t>
  </si>
  <si>
    <t>The Priority of Events E-BOOK</t>
  </si>
  <si>
    <t>Bowden, Sean</t>
  </si>
  <si>
    <t>978-1-4744-5024-9</t>
  </si>
  <si>
    <t>Outsourcing US Intelligence</t>
  </si>
  <si>
    <t>Contractors and Government Accountability</t>
  </si>
  <si>
    <t>Outsourcing US Intelligence E-BOOK</t>
  </si>
  <si>
    <t>Van Puyvelde, Damien</t>
  </si>
  <si>
    <t>978-0-7486-3168-1</t>
  </si>
  <si>
    <t>Sheppard, D.J.</t>
  </si>
  <si>
    <t>978-0-7486-4267-0</t>
  </si>
  <si>
    <t>The Sutherland Estate, 1850-1920</t>
  </si>
  <si>
    <t>Aristocratic Decline, Estate Management and Land Reform</t>
  </si>
  <si>
    <t>The Sutherland Estate, 1850-1920 E-BOOK</t>
  </si>
  <si>
    <t>Tindley, Annie</t>
  </si>
  <si>
    <t>978-0-7486-3102-5</t>
  </si>
  <si>
    <t>A Glossary of UK Government and Politics</t>
  </si>
  <si>
    <t>A Glossary of UK Government and Politics E-BOOK</t>
  </si>
  <si>
    <t>978-0-7486-4600-5</t>
  </si>
  <si>
    <t>The Lyotard Dictionary</t>
  </si>
  <si>
    <t>The Lyotard Dictionary E-BOOK</t>
  </si>
  <si>
    <t>978-0-7486-4631-9</t>
  </si>
  <si>
    <t>Edmund Spenser's 'The Faerie Queene'</t>
  </si>
  <si>
    <t>Edmund Spenser's 'The Faerie Queene' E-BOOK</t>
  </si>
  <si>
    <t>Zurcher, Andrew</t>
  </si>
  <si>
    <t>978-0-7486-4531-2</t>
  </si>
  <si>
    <t>History and Becoming</t>
  </si>
  <si>
    <t>Deleuze's Philosophy of Creativity</t>
  </si>
  <si>
    <t>History and Becoming E-BOOK</t>
  </si>
  <si>
    <t>978-0-7486-4330-1</t>
  </si>
  <si>
    <t>Understanding Torture</t>
  </si>
  <si>
    <t>Understanding Torture E-BOOK</t>
  </si>
  <si>
    <t>Wisnewski, J. Jeremy</t>
  </si>
  <si>
    <t>978-0-7486-2881-0</t>
  </si>
  <si>
    <t>The Edinburgh History of the Book in Scotland, Volume 3</t>
  </si>
  <si>
    <t>Ambition and Industry 1800–1880</t>
  </si>
  <si>
    <t>Bell, Bill</t>
  </si>
  <si>
    <t>978-0-7486-9633-8</t>
  </si>
  <si>
    <t>The Cinema of Ozu Yasujiro</t>
  </si>
  <si>
    <t>Histories of the Everyday</t>
  </si>
  <si>
    <t>The Cinema of Ozu Yasujiro E-BOOK</t>
  </si>
  <si>
    <t>Joo, Woojeong</t>
  </si>
  <si>
    <t>978-1-4744-2520-9</t>
  </si>
  <si>
    <t>Marmion</t>
  </si>
  <si>
    <t>A Tale of Flodden Field</t>
  </si>
  <si>
    <t>Marmion E-BOOK</t>
  </si>
  <si>
    <t>Scott, Walter / McIntosh, Ainsley</t>
  </si>
  <si>
    <t>The Edinburgh Edition of Walter Scott's Poetry</t>
  </si>
  <si>
    <t>978-0-7486-2620-5</t>
  </si>
  <si>
    <t>Get Set for Teacher Training</t>
  </si>
  <si>
    <t>Get Set for Teacher Training E-BOOK</t>
  </si>
  <si>
    <t>Skinner, Don</t>
  </si>
  <si>
    <t>Specialist Studies in Education</t>
  </si>
  <si>
    <t>STU026000 STUDY AIDS / Study Guides</t>
  </si>
  <si>
    <t>978-0-7486-3481-1</t>
  </si>
  <si>
    <t>Descartes' Meditations on First Philosophy</t>
  </si>
  <si>
    <t>Descartes' Meditations on First Philosophy E-BOOK</t>
  </si>
  <si>
    <t>Brandhorst, Kurt</t>
  </si>
  <si>
    <t>978-0-7486-9558-4</t>
  </si>
  <si>
    <t>The Meillassoux Dictionary</t>
  </si>
  <si>
    <t>The Meillassoux Dictionary E-BOOK</t>
  </si>
  <si>
    <t>Gratton, Peter / Ennis, Paul J.</t>
  </si>
  <si>
    <t>978-1-4744-2131-7</t>
  </si>
  <si>
    <t>The Dissolution of Character in Late Romanticism, 1820 - 1839</t>
  </si>
  <si>
    <t>The Dissolution of Character in Late Romanticism, 182 E-BOOK</t>
  </si>
  <si>
    <t>Cope, Jonas</t>
  </si>
  <si>
    <t>978-1-4744-7369-9</t>
  </si>
  <si>
    <t>Permanent Pilgrims</t>
  </si>
  <si>
    <t>The Role of Pilgrimage in the Lives of West African Muslims in Sudan</t>
  </si>
  <si>
    <t>Permanent Pilgrims E-BOOK</t>
  </si>
  <si>
    <t>Yamba, C Bawa</t>
  </si>
  <si>
    <t>978-0-7486-2879-7</t>
  </si>
  <si>
    <t>Post-Marxism Versus Cultural Studies</t>
  </si>
  <si>
    <t>Theory, Politics and Intervention</t>
  </si>
  <si>
    <t>Post-Marxism Versus Cultural Studies E-BOOK</t>
  </si>
  <si>
    <t>978-0-7486-3108-7</t>
  </si>
  <si>
    <t>Victorian Literature</t>
  </si>
  <si>
    <t>Victorian Literature E-BOOK</t>
  </si>
  <si>
    <t>Amigoni, David</t>
  </si>
  <si>
    <t>978-0-7486-9218-7</t>
  </si>
  <si>
    <t>Primordial Modernism</t>
  </si>
  <si>
    <t>Animals, Ideas, transition (1927-1938)</t>
  </si>
  <si>
    <t>Primordial Modernism E-BOOK</t>
  </si>
  <si>
    <t>Setz, Cathryn</t>
  </si>
  <si>
    <t>978-0-7486-8085-6</t>
  </si>
  <si>
    <t>Jewish Philosophy A–Z</t>
  </si>
  <si>
    <t>Jewish Philosophy A–Z E-BOOK</t>
  </si>
  <si>
    <t>Hughes, Aaron</t>
  </si>
  <si>
    <t>978-0-7486-3831-4</t>
  </si>
  <si>
    <t>Immanence - Deleuze and Philosophy</t>
  </si>
  <si>
    <t>Immanence - Deleuze and Philosophy E-BOOK</t>
  </si>
  <si>
    <t>de Beistegui, Miguel</t>
  </si>
  <si>
    <t>978-1-4744-5468-1</t>
  </si>
  <si>
    <t>Principles of Radical CV Phonology</t>
  </si>
  <si>
    <t>A Theory of Segmental and Syllabic Structure</t>
  </si>
  <si>
    <t>Principles of Radical CV Phonology E-BOOK</t>
  </si>
  <si>
    <t>van der Hulst, Harry</t>
  </si>
  <si>
    <t>978-0-7486-3451-4</t>
  </si>
  <si>
    <t>Spinoza's Ethics</t>
  </si>
  <si>
    <t>Spinoza's Ethics E-BOOK</t>
  </si>
  <si>
    <t>978-1-4744-7081-0</t>
  </si>
  <si>
    <t>Ranching &amp; Enterprise in Eastern Botswana</t>
  </si>
  <si>
    <t>A Case Study of Black &amp; WhiteFarmers</t>
  </si>
  <si>
    <t>Ranching &amp; Enterprise in Eastern Botswana E-BOOK</t>
  </si>
  <si>
    <t>Mazonde, Isaac Ncube</t>
  </si>
  <si>
    <t>978-1-4744-7471-9</t>
  </si>
  <si>
    <t>Religion, Identity and Power</t>
  </si>
  <si>
    <t>Turkey and the Balkans in the Twenty-First Century</t>
  </si>
  <si>
    <t>Religion, Identity and Power E-BOOK</t>
  </si>
  <si>
    <t>Öztürk, Ahmet Erdi / Haynes, Jeffrey</t>
  </si>
  <si>
    <t>978-1-4744-0247-7</t>
  </si>
  <si>
    <t>Cowboy Classics</t>
  </si>
  <si>
    <t>The Roots of the American Western in the Epic Tradition</t>
  </si>
  <si>
    <t>Cowboy Classics E-BOOK</t>
  </si>
  <si>
    <t>Day, Kirsten</t>
  </si>
  <si>
    <t>978-0-7486-7977-5</t>
  </si>
  <si>
    <t>The Wars of Scotland, 1214-1371</t>
  </si>
  <si>
    <t>The Wars of Scotland, 1214-1371 E-BOOK</t>
  </si>
  <si>
    <t>978-0-7486-3024-0</t>
  </si>
  <si>
    <t>The Battle of Britain on Screen</t>
  </si>
  <si>
    <t>'The Few' in British Film and Television Drama</t>
  </si>
  <si>
    <t>The Battle of Britain on Screen E-BOOK</t>
  </si>
  <si>
    <t>Mackenzie, S.P.</t>
  </si>
  <si>
    <t>978-0-7486-5626-4</t>
  </si>
  <si>
    <t>From Data to Theories</t>
  </si>
  <si>
    <t>Morphology E-BOOK</t>
  </si>
  <si>
    <t>Fábregas, Antonio / Scalise, Sergio</t>
  </si>
  <si>
    <t>978-0-7486-8202-7</t>
  </si>
  <si>
    <t>New Taiwanese Cinema in Focus</t>
  </si>
  <si>
    <t>Moving Within and Beyond the Frame</t>
  </si>
  <si>
    <t>New Taiwanese Cinema in Focus E-BOOK</t>
  </si>
  <si>
    <t>Wilson, Flannery</t>
  </si>
  <si>
    <t>978-1-4744-6467-3</t>
  </si>
  <si>
    <t>Theatres of Struggle and the End of Apartheid</t>
  </si>
  <si>
    <t>Theatres of Struggle and the End of Apartheid E-BOOK</t>
  </si>
  <si>
    <t>Bozzoli, Belinda</t>
  </si>
  <si>
    <t>978-0-7486-7466-4</t>
  </si>
  <si>
    <t>Deleuze and Architecture</t>
  </si>
  <si>
    <t>Deleuze and Architecture E-BOOK</t>
  </si>
  <si>
    <t>Frichot, Hélène / Loo, Stephen</t>
  </si>
  <si>
    <t>978-1-4744-2431-8</t>
  </si>
  <si>
    <t>Teaching Language and Promoting Citizenship</t>
  </si>
  <si>
    <t>Teaching Language and Promoting Citizenship E-BOOK</t>
  </si>
  <si>
    <t>Hennebry-Leung, Mairin / Gayton, Angela</t>
  </si>
  <si>
    <t>978-1-4744-6608-0</t>
  </si>
  <si>
    <t>Flora of Turkey, Volume 3</t>
  </si>
  <si>
    <t>Flora of Turkey, Volume 3 E-BOOK</t>
  </si>
  <si>
    <t>978-1-4744-4246-6</t>
  </si>
  <si>
    <t>Presidential Privilege and the Freedom of Information Act</t>
  </si>
  <si>
    <t>Presidential Privilege and the Freedom of Information E-BOOK</t>
  </si>
  <si>
    <t>Baron, Kevin M.</t>
  </si>
  <si>
    <t>978-1-4744-1717-4</t>
  </si>
  <si>
    <t>Asia after Versailles</t>
  </si>
  <si>
    <t>Asian Perspectives on the Paris Peace Conference and the Interwar Order, 1919-33</t>
  </si>
  <si>
    <t>Asia after Versailles E-BOOK</t>
  </si>
  <si>
    <t>Zachmann, Urs Matthias</t>
  </si>
  <si>
    <t>Edinburgh East Asian Studies</t>
  </si>
  <si>
    <t>978-1-4744-1707-5</t>
  </si>
  <si>
    <t>Religion in the Egyptian Novel</t>
  </si>
  <si>
    <t>Religion in the Egyptian Novel E-BOOK</t>
  </si>
  <si>
    <t>Phillips, Christina</t>
  </si>
  <si>
    <t>978-0-7486-4177-2</t>
  </si>
  <si>
    <t>Development Models in Muslim Contexts</t>
  </si>
  <si>
    <t>Chinese, 'Islamic' and Neo-liberal Alternatives</t>
  </si>
  <si>
    <t>Development Models in Muslim Contexts E-BOOK</t>
  </si>
  <si>
    <t>Springborg, Robert</t>
  </si>
  <si>
    <t>BUS035000 BUSINESS &amp; ECONOMICS / International / General</t>
  </si>
  <si>
    <t>978-1-4744-0702-1</t>
  </si>
  <si>
    <t>Jimmy Carter and the Anglo-American 'Special Relationship'</t>
  </si>
  <si>
    <t>Jimmy Carter and the Anglo-American 'Special Relation E-BOOK</t>
  </si>
  <si>
    <t>Robb, Thomas K.</t>
  </si>
  <si>
    <t>978-1-4744-7328-6</t>
  </si>
  <si>
    <t>Julian the Apostate</t>
  </si>
  <si>
    <t>Julian the Apostate E-BOOK</t>
  </si>
  <si>
    <t>Tougher, Shaun</t>
  </si>
  <si>
    <t>978-0-7486-3069-1</t>
  </si>
  <si>
    <t>The Politics of Northern Ireland</t>
  </si>
  <si>
    <t>The Politics of Northern Ireland E-BOOK</t>
  </si>
  <si>
    <t>McEvoy, Joanne</t>
  </si>
  <si>
    <t>978-1-4744-7105-3</t>
  </si>
  <si>
    <t>Lordship to Patronage</t>
  </si>
  <si>
    <t>Scotland 1603-1745</t>
  </si>
  <si>
    <t>Lordship to Patronage E-BOOK</t>
  </si>
  <si>
    <t>978-1-4744-4265-7</t>
  </si>
  <si>
    <t>The Other Hollywood Renaissance</t>
  </si>
  <si>
    <t>The Other Hollywood Renaissance E-BOOK</t>
  </si>
  <si>
    <t>Pomerance, Murray / Lennard, Dominic / Palmer, R. Barton</t>
  </si>
  <si>
    <t>978-1-4744-7183-1</t>
  </si>
  <si>
    <t>Philosophy of Religion A–Z</t>
  </si>
  <si>
    <t>Philosophy of Religion A–Z E-BOOK</t>
  </si>
  <si>
    <t>Quinn, Patrick</t>
  </si>
  <si>
    <t>978-1-4744-0820-2</t>
  </si>
  <si>
    <t>Scottish Gothic</t>
  </si>
  <si>
    <t>Scottish Gothic E-BOOK</t>
  </si>
  <si>
    <t>Davison, Carol Margaret / Germanà, Monica</t>
  </si>
  <si>
    <t>978-1-4744-1020-5</t>
  </si>
  <si>
    <t>Nasser in the Egyptian Imaginary</t>
  </si>
  <si>
    <t>Nasser in the Egyptian Imaginary E-BOOK</t>
  </si>
  <si>
    <t>Khalifah, Omar</t>
  </si>
  <si>
    <t>978-1-4744-7163-3</t>
  </si>
  <si>
    <t>Political Philosophy A–Z</t>
  </si>
  <si>
    <t>Political Philosophy A–Z E-BOOK</t>
  </si>
  <si>
    <t>Pike, Jon</t>
  </si>
  <si>
    <t>978-0-7486-8514-1</t>
  </si>
  <si>
    <t>Ethics and Politics after Poststructuralism</t>
  </si>
  <si>
    <t>Levinas, Derrida and Nancy</t>
  </si>
  <si>
    <t>Ethics and Politics after Poststructuralism E-BOOK</t>
  </si>
  <si>
    <t>Fagan, Madeleine</t>
  </si>
  <si>
    <t>978-0-7486-2983-1</t>
  </si>
  <si>
    <t>Asian American Literature</t>
  </si>
  <si>
    <t>Asian American Literature E-BOOK</t>
  </si>
  <si>
    <t>Adams, Bella</t>
  </si>
  <si>
    <t>LIT004030 LITERARY CRITICISM / American / Asian American</t>
  </si>
  <si>
    <t>978-1-4744-7190-9</t>
  </si>
  <si>
    <t>Diocletian and the Tetrarchy</t>
  </si>
  <si>
    <t>Diocletian and the Tetrarchy E-BOOK</t>
  </si>
  <si>
    <t>Rees, Roger</t>
  </si>
  <si>
    <t>978-0-7486-3058-5</t>
  </si>
  <si>
    <t>Christopher Marlowe, Renaissance Dramatist</t>
  </si>
  <si>
    <t>Christopher Marlowe, Renaissance Dramatist E-BOOK</t>
  </si>
  <si>
    <t>Hopkins, Lisa</t>
  </si>
  <si>
    <t>978-1-4744-2962-7</t>
  </si>
  <si>
    <t>Resistance and Psychoanalysis</t>
  </si>
  <si>
    <t>Impossible Divisions</t>
  </si>
  <si>
    <t>Resistance and Psychoanalysis E-BOOK</t>
  </si>
  <si>
    <t>Morgan Wortham, Simon</t>
  </si>
  <si>
    <t>978-0-7486-4280-9</t>
  </si>
  <si>
    <t>Propaganda, Censorship and Irish Neutrality in the Second World War</t>
  </si>
  <si>
    <t>Propaganda, Censorship and Irish Neutrality in the Se E-BOOK</t>
  </si>
  <si>
    <t>Cole, Robert</t>
  </si>
  <si>
    <t>978-0-7486-4973-0</t>
  </si>
  <si>
    <t>The Arsenal of Democracy</t>
  </si>
  <si>
    <t>Aircraft Supply and the Anglo-American Alliance, 1938-1942</t>
  </si>
  <si>
    <t>The Arsenal of Democracy E-BOOK</t>
  </si>
  <si>
    <t>Bailey, Gavin J.</t>
  </si>
  <si>
    <t>978-1-4744-1901-7</t>
  </si>
  <si>
    <t>Samuel Beckett and the Terror of Literature</t>
  </si>
  <si>
    <t>Samuel Beckett and the Terror of Literature E-BOOK</t>
  </si>
  <si>
    <t>Langlois, Christopher</t>
  </si>
  <si>
    <t>978-0-7486-8084-9</t>
  </si>
  <si>
    <t>Indian Philosophy A–Z</t>
  </si>
  <si>
    <t>Indian Philosophy A–Z E-BOOK</t>
  </si>
  <si>
    <t>Bartley, Christopher</t>
  </si>
  <si>
    <t>978-1-4744-8101-4</t>
  </si>
  <si>
    <t>Impaled Upon a Thistle</t>
  </si>
  <si>
    <t>Scotland since 1880</t>
  </si>
  <si>
    <t>Impaled Upon a Thistle E-BOOK</t>
  </si>
  <si>
    <t>Cameron, Ewen</t>
  </si>
  <si>
    <t>978-0-7486-9343-6</t>
  </si>
  <si>
    <t>The Sculptural Body in Victorian Literature</t>
  </si>
  <si>
    <t>Encrypted Sexualities</t>
  </si>
  <si>
    <t>The Sculptural Body in Victorian Literature E-BOOK</t>
  </si>
  <si>
    <t>Pulham, Patricia</t>
  </si>
  <si>
    <t>978-0-7486-2832-2</t>
  </si>
  <si>
    <t>The Talisman</t>
  </si>
  <si>
    <t>The Talisman E-BOOK</t>
  </si>
  <si>
    <t>Garside, P. D. / Hewitt, David</t>
  </si>
  <si>
    <t>978-1-4744-0760-1</t>
  </si>
  <si>
    <t>Deleuze and the City</t>
  </si>
  <si>
    <t>Deleuze and the City E-BOOK</t>
  </si>
  <si>
    <t>Metzger, Jonathan / Frichot, Hélène / Gabrielsson, Catharina</t>
  </si>
  <si>
    <t>978-0-7486-4912-9</t>
  </si>
  <si>
    <t>Alfred Lord Tennyson's 'In Memoriam'</t>
  </si>
  <si>
    <t>Alfred Lord Tennyson's 'In Memoriam' E-BOOK</t>
  </si>
  <si>
    <t>Barton, Anna</t>
  </si>
  <si>
    <t>978-0-7486-6971-4</t>
  </si>
  <si>
    <t>Devolution in the United Kingdom</t>
  </si>
  <si>
    <t>Devolution in the United Kingdom E-BOOK</t>
  </si>
  <si>
    <t>Deacon, Russell</t>
  </si>
  <si>
    <t>978-1-4744-1166-0</t>
  </si>
  <si>
    <t>George Mackay Brown and the Scottish Catholic Imagination</t>
  </si>
  <si>
    <t>George Mackay Brown and the Scottish Catholic Imagina E-BOOK</t>
  </si>
  <si>
    <t>Bicket, Linden</t>
  </si>
  <si>
    <t>978-1-4744-4020-2</t>
  </si>
  <si>
    <t>The Films of Elaine May</t>
  </si>
  <si>
    <t>Heller-Nicholas, Alexandra / Brandum, Dean</t>
  </si>
  <si>
    <t>978-0-7486-9857-8</t>
  </si>
  <si>
    <t>Guy Mannering</t>
  </si>
  <si>
    <t>Guy Mannering E-BOOK</t>
  </si>
  <si>
    <t>Scott, Walter / Garside, P. D.</t>
  </si>
  <si>
    <t>978-1-4744-0676-5</t>
  </si>
  <si>
    <t>Twentieth-Century Victorian</t>
  </si>
  <si>
    <t>Arthur Conan Doyle and the &lt;i&gt;Strand Magazine&lt;/i&gt;, 1891-1930</t>
  </si>
  <si>
    <t>Twentieth-Century Victorian E-BOOK</t>
  </si>
  <si>
    <t>Cranfield, Jonathan</t>
  </si>
  <si>
    <t>978-0-7486-9418-1</t>
  </si>
  <si>
    <t>Films on Ice</t>
  </si>
  <si>
    <t>Cinemas of the Arctic</t>
  </si>
  <si>
    <t>Films on Ice E-BOOK</t>
  </si>
  <si>
    <t>MacKenzie, Scott / Westerstahl Stenport, Anna</t>
  </si>
  <si>
    <t>978-1-4744-6588-5</t>
  </si>
  <si>
    <t>Katherine Mansfield and Continental Europe</t>
  </si>
  <si>
    <t>Katherine Mansfield Studies, Volume 1</t>
  </si>
  <si>
    <t>Katherine Mansfield and Continental Europe E-BOOK</t>
  </si>
  <si>
    <t>da Sousa Correa, Delia / Kimber, Gerri</t>
  </si>
  <si>
    <t>978-1-4744-1182-0</t>
  </si>
  <si>
    <t>Killers, Clients and Kindred Spirits</t>
  </si>
  <si>
    <t>The Taboo Cinema of Shohei Imamura</t>
  </si>
  <si>
    <t>Killers, Clients and Kindred Spirits E-BOOK</t>
  </si>
  <si>
    <t>Coleman, Lindsay / Desser, David</t>
  </si>
  <si>
    <t>HIS021000 HISTORY / Asia / Japan</t>
  </si>
  <si>
    <t>978-0-7486-3398-2</t>
  </si>
  <si>
    <t>Ethics, Economics and International Relations</t>
  </si>
  <si>
    <t>Ethics, Economics and International Relations E-BOOK</t>
  </si>
  <si>
    <t>Brown, Peter G.</t>
  </si>
  <si>
    <t>978-0-7486-9969-8</t>
  </si>
  <si>
    <t>British India and Victorian Literary Culture</t>
  </si>
  <si>
    <t>British India and Victorian Literary Culture E-BOOK</t>
  </si>
  <si>
    <t>ni Fhlathúin, Máire</t>
  </si>
  <si>
    <t>978-1-4744-0937-7</t>
  </si>
  <si>
    <t>Masculinities on Clydeside</t>
  </si>
  <si>
    <t>Men in Reserved Occupations During the Second World War</t>
  </si>
  <si>
    <t>Masculinities on Clydeside E-BOOK</t>
  </si>
  <si>
    <t>Chand, Alison</t>
  </si>
  <si>
    <t>978-1-4744-3745-5</t>
  </si>
  <si>
    <t>The Making of the Artist in Late Timurid Painting</t>
  </si>
  <si>
    <t>The Making of the Artist in Late Timurid Painting E-BOOK</t>
  </si>
  <si>
    <t>Balafrej, Lamia</t>
  </si>
  <si>
    <t>978-0-7486-5431-4</t>
  </si>
  <si>
    <t>An Introduction to Old English</t>
  </si>
  <si>
    <t>An Introduction to Old English E-BOOK</t>
  </si>
  <si>
    <t>Hogg, Richard / Alcorn, Rhona</t>
  </si>
  <si>
    <t>978-0-7486-2839-1</t>
  </si>
  <si>
    <t>The Shorter Fiction</t>
  </si>
  <si>
    <t>The Shorter Fiction E-BOOK</t>
  </si>
  <si>
    <t>King, Judy / Scott, Walter / Tulloch, Graham</t>
  </si>
  <si>
    <t>978-0-7486-9656-7</t>
  </si>
  <si>
    <t>War and Occupation in Iraqi Fiction</t>
  </si>
  <si>
    <t>War and Occupation in Iraqi Fiction E-BOOK</t>
  </si>
  <si>
    <t>Masmoudi, Ikram</t>
  </si>
  <si>
    <t>978-1-4744-2345-8</t>
  </si>
  <si>
    <t>B-Movie Gothic</t>
  </si>
  <si>
    <t>International Perspectives</t>
  </si>
  <si>
    <t>B-Movie Gothic E-BOOK</t>
  </si>
  <si>
    <t>Edwards, Justin / Höglund, Johan</t>
  </si>
  <si>
    <t>978-1-4744-6976-0</t>
  </si>
  <si>
    <t>Race and Urban Space in Contemporary American Culture</t>
  </si>
  <si>
    <t>Race and Urban Space in Contemporary American Culture E-BOOK</t>
  </si>
  <si>
    <t>978-1-4744-2779-1</t>
  </si>
  <si>
    <t>The Gothic and Theory</t>
  </si>
  <si>
    <t>The Gothic and Theory E-BOOK</t>
  </si>
  <si>
    <t>Hogle, Jerrold E. / Miles, Robert</t>
  </si>
  <si>
    <t>978-0-7486-4712-5</t>
  </si>
  <si>
    <t>Postwar British Literature and Postcolonial Studies</t>
  </si>
  <si>
    <t>Postwar British Literature and Postcolonial Studies E-BOOK</t>
  </si>
  <si>
    <t>MacPhee, Graham</t>
  </si>
  <si>
    <t>978-1-4744-5418-6</t>
  </si>
  <si>
    <t>Hölderlin's Philosophy of Nature</t>
  </si>
  <si>
    <t>Hölderlin's Philosophy of Nature E-BOOK</t>
  </si>
  <si>
    <t>Tobias, Rochelle</t>
  </si>
  <si>
    <t>978-1-4744-0782-3</t>
  </si>
  <si>
    <t>Historic New Lanark</t>
  </si>
  <si>
    <t>The Dale and Owen Industrial Community since 1785</t>
  </si>
  <si>
    <t>Historic New Lanark E-BOOK</t>
  </si>
  <si>
    <t>Donnachie, Ian / Hewitt, George</t>
  </si>
  <si>
    <t>978-0-7486-7815-0</t>
  </si>
  <si>
    <t>Post-beur Cinema</t>
  </si>
  <si>
    <t>North African Émigré and Maghrebi-French Filmmaking in France since 2000</t>
  </si>
  <si>
    <t>Post-beur Cinema E-BOOK</t>
  </si>
  <si>
    <t>Higbee, Will</t>
  </si>
  <si>
    <t>978-0-7486-4183-3</t>
  </si>
  <si>
    <t>Essential Programming for Linguistics</t>
  </si>
  <si>
    <t>Essential Programming for Linguistics E-BOOK</t>
  </si>
  <si>
    <t>Weisser, Martin</t>
  </si>
  <si>
    <t>978-1-4744-1385-5</t>
  </si>
  <si>
    <t>Dark Paradise</t>
  </si>
  <si>
    <t>Pacific Islands in the Nineteenth-Century British Imagination</t>
  </si>
  <si>
    <t>Dark Paradise E-BOOK</t>
  </si>
  <si>
    <t>Fuller, Jennifer</t>
  </si>
  <si>
    <t>978-1-4744-6146-7</t>
  </si>
  <si>
    <t>Writing Black Scotland</t>
  </si>
  <si>
    <t>Race, Nation and the Devolution of Black Britain</t>
  </si>
  <si>
    <t>Writing Black Scotland E-BOOK</t>
  </si>
  <si>
    <t>Jackson, Joseph H.</t>
  </si>
  <si>
    <t>Engagements with Modern Scottish Culture</t>
  </si>
  <si>
    <t>978-0-7486-8466-3</t>
  </si>
  <si>
    <t>Performing Economic Thought</t>
  </si>
  <si>
    <t>English Drama and Mercantile Writing 1600-1642</t>
  </si>
  <si>
    <t>Performing Economic Thought E-BOOK</t>
  </si>
  <si>
    <t>Ryner, Bradley</t>
  </si>
  <si>
    <t>978-1-4744-1731-0</t>
  </si>
  <si>
    <t>Modernism Edited</t>
  </si>
  <si>
    <t>Marianne Moore and the Dial Magazine</t>
  </si>
  <si>
    <t>Modernism Edited E-BOOK</t>
  </si>
  <si>
    <t>Bazin, Victoria</t>
  </si>
  <si>
    <t>978-0-7486-9892-9</t>
  </si>
  <si>
    <t>The Arab World and Western Intelligence</t>
  </si>
  <si>
    <t>Analysing the Middle East, 1956-1981</t>
  </si>
  <si>
    <t>The Arab World and Western Intelligence E-BOOK</t>
  </si>
  <si>
    <t>Rezk, Dina</t>
  </si>
  <si>
    <t>978-1-4744-5445-2</t>
  </si>
  <si>
    <t>Katherine Mansfield and Elizabeth von Arnim</t>
  </si>
  <si>
    <t>Katherine Mansfield and Elizabeth von Arnim E-BOOK</t>
  </si>
  <si>
    <t>Martin, Todd / Kimber, Gerri / Maddison, Isobel</t>
  </si>
  <si>
    <t>978-0-7486-5591-5</t>
  </si>
  <si>
    <t>The Girlhood of Shakespeare's Sisters</t>
  </si>
  <si>
    <t>Gender, Transgression, Adolescence</t>
  </si>
  <si>
    <t>The Girlhood of Shakespeare's Sisters E-BOOK</t>
  </si>
  <si>
    <t>Higginbotham, Jennifer</t>
  </si>
  <si>
    <t>978-0-7486-3433-0</t>
  </si>
  <si>
    <t>Potter, Rachel</t>
  </si>
  <si>
    <t>978-0-7486-7874-7</t>
  </si>
  <si>
    <t>Romantic Literature and Postcolonial Studies</t>
  </si>
  <si>
    <t>Romantic Literature and Postcolonial Studies E-BOOK</t>
  </si>
  <si>
    <t>Bohls, Elizabeth</t>
  </si>
  <si>
    <t>978-1-4744-7346-0</t>
  </si>
  <si>
    <t>Islamic Creeds</t>
  </si>
  <si>
    <t>Islamic Creeds E-BOOK</t>
  </si>
  <si>
    <t>978-0-7486-4544-2</t>
  </si>
  <si>
    <t>The New Neapolitan Cinema</t>
  </si>
  <si>
    <t>The New Neapolitan Cinema E-BOOK</t>
  </si>
  <si>
    <t>Marlow-Mann, Alex</t>
  </si>
  <si>
    <t>978-0-7486-3036-3</t>
  </si>
  <si>
    <t>Media Audiences</t>
  </si>
  <si>
    <t>Television, Meaning and Emotion</t>
  </si>
  <si>
    <t>Media Audiences E-BOOK</t>
  </si>
  <si>
    <t>Gorton, Kristyn</t>
  </si>
  <si>
    <t>978-0-7486-6967-7</t>
  </si>
  <si>
    <t>Deleuze's Difference and Repetition</t>
  </si>
  <si>
    <t>Deleuze's Difference and Repetition E-BOOK</t>
  </si>
  <si>
    <t>Somers-Hall, Henry</t>
  </si>
  <si>
    <t>978-1-4744-0796-0</t>
  </si>
  <si>
    <t>Ben-Hur</t>
  </si>
  <si>
    <t>The Original Blockbuster</t>
  </si>
  <si>
    <t>Ben-Hur E-BOOK</t>
  </si>
  <si>
    <t>Solomon, Jon</t>
  </si>
  <si>
    <t>978-0-7486-8151-8</t>
  </si>
  <si>
    <t>Form and Object</t>
  </si>
  <si>
    <t>A Treatise on Things</t>
  </si>
  <si>
    <t>Form and Object E-BOOK</t>
  </si>
  <si>
    <t>Cogburn, Jon / Garcia, Tristan / Ohm, Mark Allan</t>
  </si>
  <si>
    <t>978-0-7486-7004-8</t>
  </si>
  <si>
    <t>Maqasid Foundations of Market Economics</t>
  </si>
  <si>
    <t>Maqasid Foundations of Market Economics E-BOOK</t>
  </si>
  <si>
    <t>el-Din, Seif Ibrahim Tag</t>
  </si>
  <si>
    <t>978-0-7486-4327-1</t>
  </si>
  <si>
    <t>The Deleuze Dictionary Revised Edition</t>
  </si>
  <si>
    <t>The Deleuze Dictionary Revised Edition E-BOOK</t>
  </si>
  <si>
    <t>978-0-585-15902-7</t>
  </si>
  <si>
    <t>Essays, Moral, Political and Economic</t>
  </si>
  <si>
    <t>Hume Papers on Public Policy Volume 6 No 4</t>
  </si>
  <si>
    <t>Essays, Moral, Political and Economic E-BOOK</t>
  </si>
  <si>
    <t>Brittan, Samuel</t>
  </si>
  <si>
    <t>978-1-4744-7215-9</t>
  </si>
  <si>
    <t>Perfect Being Theology</t>
  </si>
  <si>
    <t>Perfect Being Theology E-BOOK</t>
  </si>
  <si>
    <t>Rogers, Katherin A</t>
  </si>
  <si>
    <t>978-0-7486-7422-0</t>
  </si>
  <si>
    <t>Language and Scottish Literature</t>
  </si>
  <si>
    <t>Scottish Language and Literature Volume 2</t>
  </si>
  <si>
    <t>Language and Scottish Literature E-BOOK</t>
  </si>
  <si>
    <t>Corbett, John</t>
  </si>
  <si>
    <t>978-1-4744-4275-6</t>
  </si>
  <si>
    <t>Obligation and the Fact of Sense</t>
  </si>
  <si>
    <t>Obligation and the Fact of Sense E-BOOK</t>
  </si>
  <si>
    <t>Lueck, Bryan</t>
  </si>
  <si>
    <t>Contemporary Continental Ethics</t>
  </si>
  <si>
    <t>978-1-4744-6913-5</t>
  </si>
  <si>
    <t>Islamic Science and Engineering</t>
  </si>
  <si>
    <t>Islamic Science and Engineering E-BOOK</t>
  </si>
  <si>
    <t>Hill, Donald R.</t>
  </si>
  <si>
    <t>978-0-585-44387-4</t>
  </si>
  <si>
    <t>From War to Peace on the Mozambique-Malawi Borderland</t>
  </si>
  <si>
    <t>From War to Peace on the Mozambique-Malawi Borderland E-BOOK</t>
  </si>
  <si>
    <t>Englund, Harri</t>
  </si>
  <si>
    <t>978-0-7486-7818-1</t>
  </si>
  <si>
    <t>The TV Crime Drama</t>
  </si>
  <si>
    <t>The TV Crime Drama E-BOOK</t>
  </si>
  <si>
    <t>Turnbull, Sue</t>
  </si>
  <si>
    <t>978-1-4744-6338-6</t>
  </si>
  <si>
    <t>Animating Truth</t>
  </si>
  <si>
    <t>Documentary and Visual Culture in the 21st Century</t>
  </si>
  <si>
    <t>Animating Truth E-BOOK</t>
  </si>
  <si>
    <t>Ehrlich, Nea</t>
  </si>
  <si>
    <t>PER017000 PERFORMING ARTS / Animation (see also Film / Genres / Animated)</t>
  </si>
  <si>
    <t>978-0-7486-2896-4</t>
  </si>
  <si>
    <t>The Edinburgh History of the Book in Scotland, Volume 2</t>
  </si>
  <si>
    <t>Enlightenment and Expansion 1707–1800</t>
  </si>
  <si>
    <t>Brown, Stephen / McDougall, Warren</t>
  </si>
  <si>
    <t>978-0-7486-2950-3</t>
  </si>
  <si>
    <t>A History of Everyday Life in Medieval Scotland</t>
  </si>
  <si>
    <t>A History of Everyday Life in Medieval Scotland E-BOOK</t>
  </si>
  <si>
    <t>Cowan, Edward J / Henderson, Lizanne</t>
  </si>
  <si>
    <t>978-1-4744-4818-5</t>
  </si>
  <si>
    <t>The Persian Presence in Victorian Poetry</t>
  </si>
  <si>
    <t>The Persian Presence in Victorian Poetry E-BOOK</t>
  </si>
  <si>
    <t>Taher-Kermani, Reza</t>
  </si>
  <si>
    <t>978-1-4744-5909-9</t>
  </si>
  <si>
    <t>Sex and the Nazi Soldier</t>
  </si>
  <si>
    <t>Violent, Commercial and Consensual Encounters during the War in the Soviet Union, 1941-45</t>
  </si>
  <si>
    <t>Sex and the Nazi Soldier E-BOOK</t>
  </si>
  <si>
    <t>Spengler, Jessica / Mühlhäuser, Regina</t>
  </si>
  <si>
    <t>978-1-4744-3967-1</t>
  </si>
  <si>
    <t>Katherine Mansfield and Virginia Woolf</t>
  </si>
  <si>
    <t>Katherine Mansfield and Virginia Woolf E-BOOK</t>
  </si>
  <si>
    <t>Froula, Christine  / Kimber, Gerri / Martin, Todd</t>
  </si>
  <si>
    <t>978-0-7486-3152-0</t>
  </si>
  <si>
    <t>Sweden, the Swastika and Stalin</t>
  </si>
  <si>
    <t>The Swedish experience in the Second World War</t>
  </si>
  <si>
    <t>Sweden, the Swastika and Stalin E-BOOK</t>
  </si>
  <si>
    <t>Gilmour, John</t>
  </si>
  <si>
    <t>978-0-7486-3521-4</t>
  </si>
  <si>
    <t>Media and Identity in Africa</t>
  </si>
  <si>
    <t>Media and Identity in Africa E-BOOK</t>
  </si>
  <si>
    <t>Njogu, Kimani / Middleton, John</t>
  </si>
  <si>
    <t>978-1-4744-5008-9</t>
  </si>
  <si>
    <t>Donald Trump and American Populism</t>
  </si>
  <si>
    <t>Donald Trump and American Populism E-BOOK</t>
  </si>
  <si>
    <t>Conley, Richard S.</t>
  </si>
  <si>
    <t>978-0-7486-4685-2</t>
  </si>
  <si>
    <t>The Virilio Dictionary</t>
  </si>
  <si>
    <t>The Virilio Dictionary E-BOOK</t>
  </si>
  <si>
    <t>Armitage, John</t>
  </si>
  <si>
    <t>978-1-4744-6814-5</t>
  </si>
  <si>
    <t>Between God, the Dead and the Wild</t>
  </si>
  <si>
    <t>Chamba Interpretations of Ritual &amp; Religion</t>
  </si>
  <si>
    <t>Between God, the Dead and the Wild E-BOOK</t>
  </si>
  <si>
    <t>Fardon, Richard</t>
  </si>
  <si>
    <t>978-0-7486-3157-5</t>
  </si>
  <si>
    <t>The Quiz Show</t>
  </si>
  <si>
    <t>The Quiz Show E-BOOK</t>
  </si>
  <si>
    <t>Holmes, Su</t>
  </si>
  <si>
    <t>978-1-4744-3398-3</t>
  </si>
  <si>
    <t>The Fin-de-Siècle Scottish Revival</t>
  </si>
  <si>
    <t>Romance, Decadence and Celtic Identity</t>
  </si>
  <si>
    <t>The Fin-de-Siècle Scottish Revival E-BOOK</t>
  </si>
  <si>
    <t>Shaw, Michael</t>
  </si>
  <si>
    <t>978-1-4744-0561-4</t>
  </si>
  <si>
    <t>Literature and Medicine in the Nineteenth-Century Periodical Press</t>
  </si>
  <si>
    <t>Blackwood’s Edinburgh Magazine, 1817-1858</t>
  </si>
  <si>
    <t>Literature and Medicine in the Nineteenth-Century Per E-BOOK</t>
  </si>
  <si>
    <t>Coyer, Megan</t>
  </si>
  <si>
    <t>978-1-4744-5238-0</t>
  </si>
  <si>
    <t>Archaeology of Empire in Achaemenid Egypt</t>
  </si>
  <si>
    <t>Archaeology of Empire in Achaemenid Egypt E-BOOK</t>
  </si>
  <si>
    <t>Colburn, Henry P.</t>
  </si>
  <si>
    <t>Classical Archaeology</t>
  </si>
  <si>
    <t>ART015060 ART / History / Ancient &amp; Classical</t>
  </si>
  <si>
    <t>978-1-4744-0039-8</t>
  </si>
  <si>
    <t>Katherine Mansfield and Translation</t>
  </si>
  <si>
    <t>Katherine Mansfield and Translation E-BOOK</t>
  </si>
  <si>
    <t>Martin, W. Todd / Davison, Claire / Kimber, Gerri</t>
  </si>
  <si>
    <t>978-1-4744-0041-1</t>
  </si>
  <si>
    <t>African, American and European Trajectories of Modernity</t>
  </si>
  <si>
    <t>Past Oppression, Future Justice?</t>
  </si>
  <si>
    <t>African, American and European Trajectories of Modern E-BOOK</t>
  </si>
  <si>
    <t>978-1-4744-6844-2</t>
  </si>
  <si>
    <t>Postmodern Wetlands</t>
  </si>
  <si>
    <t>Culture, History, Ecology</t>
  </si>
  <si>
    <t>Postmodern Wetlands E-BOOK</t>
  </si>
  <si>
    <t>Giblett, Rodney</t>
  </si>
  <si>
    <t>978-0-7486-6822-9</t>
  </si>
  <si>
    <t>The Becoming of the Body</t>
  </si>
  <si>
    <t>Contemporary Women's Writing in French</t>
  </si>
  <si>
    <t>The Becoming of the Body E-BOOK</t>
  </si>
  <si>
    <t>Damlé, Amaleena</t>
  </si>
  <si>
    <t>978-1-4744-8327-8</t>
  </si>
  <si>
    <t>Erdoğan</t>
  </si>
  <si>
    <t>The Making of an Autocrat</t>
  </si>
  <si>
    <t>Erdoğan E-BOOK</t>
  </si>
  <si>
    <t>Yavuz, M. Hakan</t>
  </si>
  <si>
    <t>978-1-4744-2424-0</t>
  </si>
  <si>
    <t>French Blockbusters</t>
  </si>
  <si>
    <t>Cultural Politics of a Transnational Cinema</t>
  </si>
  <si>
    <t>French Blockbusters E-BOOK</t>
  </si>
  <si>
    <t>Michael, Charlie</t>
  </si>
  <si>
    <t>978-0-7486-3138-4</t>
  </si>
  <si>
    <t>Gilles Deleuze's Logic of Sense</t>
  </si>
  <si>
    <t>Gilles Deleuze's Logic of Sense E-BOOK</t>
  </si>
  <si>
    <t>978-0-7486-3068-4</t>
  </si>
  <si>
    <t>Post-Foundational Political Thought</t>
  </si>
  <si>
    <t>Political Difference in Nancy, Lefort, Badiou and Laclau</t>
  </si>
  <si>
    <t>Post-Foundational Political Thought E-BOOK</t>
  </si>
  <si>
    <t>978-0-7486-4372-1</t>
  </si>
  <si>
    <t>William Morris and the Idea of Community</t>
  </si>
  <si>
    <t>Romance, History and Propaganda, 1880–1914</t>
  </si>
  <si>
    <t>William Morris and the Idea of Community E-BOOK</t>
  </si>
  <si>
    <t>Vaninskaya, Anna</t>
  </si>
  <si>
    <t>978-1-4744-6957-9</t>
  </si>
  <si>
    <t>Songs of the Women Migrants</t>
  </si>
  <si>
    <t>Performance and Identity in South Africa</t>
  </si>
  <si>
    <t>Songs of the Women Migrants E-BOOK</t>
  </si>
  <si>
    <t>James, Deborah</t>
  </si>
  <si>
    <t>978-0-7486-5583-0</t>
  </si>
  <si>
    <t>Friendship's Shadows</t>
  </si>
  <si>
    <t>Women's Friendship and the Politics of Betrayal in England, 1640-1705</t>
  </si>
  <si>
    <t>Friendship's Shadows E-BOOK</t>
  </si>
  <si>
    <t>Anderson, Penelope</t>
  </si>
  <si>
    <t>978-1-4744-6789-6</t>
  </si>
  <si>
    <t>The Acts of Robert I (1306-1329)</t>
  </si>
  <si>
    <t>The Acts of Robert I (1306-1329) E-BOOK</t>
  </si>
  <si>
    <t>Duncan, A A M</t>
  </si>
  <si>
    <t>978-0-7486-4751-4</t>
  </si>
  <si>
    <t>Deleuze and Sex</t>
  </si>
  <si>
    <t>Deleuze and Sex E-BOOK</t>
  </si>
  <si>
    <t>978-0-7486-4745-3</t>
  </si>
  <si>
    <t>Poetry in Painting</t>
  </si>
  <si>
    <t>Writings on Contemporary Arts and Aesthetics</t>
  </si>
  <si>
    <t>Poetry in Painting E-BOOK</t>
  </si>
  <si>
    <t>Masó, Joana / Cixous, Hélène / Segarra, Marta</t>
  </si>
  <si>
    <t>978-1-4744-7842-7</t>
  </si>
  <si>
    <t>Spinoza and the Politics of Freedom</t>
  </si>
  <si>
    <t>Spinoza and the Politics of Freedom E-BOOK</t>
  </si>
  <si>
    <t>Taylor, Dan</t>
  </si>
  <si>
    <t>978-0-7486-3763-8</t>
  </si>
  <si>
    <t>Linguistic Variation and Change</t>
  </si>
  <si>
    <t>Linguistic Variation and Change E-BOOK</t>
  </si>
  <si>
    <t>Kiesling, Scott F.</t>
  </si>
  <si>
    <t>978-0-7486-9296-5</t>
  </si>
  <si>
    <t>Exploring Victorian Travel Literature</t>
  </si>
  <si>
    <t>Disease, Race and Climate</t>
  </si>
  <si>
    <t>Exploring Victorian Travel Literature E-BOOK</t>
  </si>
  <si>
    <t>Howell, Jessica</t>
  </si>
  <si>
    <t>LIT004010 LITERARY CRITICISM / African</t>
  </si>
  <si>
    <t>978-1-4744-3793-6</t>
  </si>
  <si>
    <t>Global Justice and Climate Governance</t>
  </si>
  <si>
    <t>Bridging Theory and Practice</t>
  </si>
  <si>
    <t>Global Justice and Climate Governance E-BOOK</t>
  </si>
  <si>
    <t>Dietzel, Alix</t>
  </si>
  <si>
    <t>Edinburgh University Press Complete eBook-Package 2019 | Pick and Choose Law eBook Package BU 2022 | Pick and Choose eBook Package Cornell Eng Law 2000-2021 | Pick and Choose eBook package UC Irvine Law 2022 | UCB LAW SCHOOL Pick &amp; Choose 2022 | UNIVERSIDAD NACIONAL AUTÓNOMA DE MÉXICO Pick and Choose 2023 | WUSTL 2022 Part 2 Law P&amp;C eBook Package | Yale P&amp;C Law Package 2023</t>
  </si>
  <si>
    <t>978-0-7486-4231-1</t>
  </si>
  <si>
    <t>Of Jews And Animals</t>
  </si>
  <si>
    <t>Of Jews And Animals E-BOOK</t>
  </si>
  <si>
    <t>978-1-4744-4226-8</t>
  </si>
  <si>
    <t>Distributed Cognition in Victorian Culture and Modernism</t>
  </si>
  <si>
    <t>Distributed Cognition in Victorian Culture and Modern E-BOOK</t>
  </si>
  <si>
    <t>Anderson, Miranda / Garratt, Peter / Sprevak, Mark</t>
  </si>
  <si>
    <t>978-0-7486-4367-7</t>
  </si>
  <si>
    <t>In Lady Audley's Shadow</t>
  </si>
  <si>
    <t>Mary Elizabeth Braddon and Victorian Literary Genres</t>
  </si>
  <si>
    <t>In Lady Audley's Shadow E-BOOK</t>
  </si>
  <si>
    <t>Tomaiuolo, Saverio</t>
  </si>
  <si>
    <t>978-0-7486-6846-5</t>
  </si>
  <si>
    <t>The Russian Language Outside the Nation</t>
  </si>
  <si>
    <t>The Russian Language Outside the Nation E-BOOK</t>
  </si>
  <si>
    <t>Ryazanova-Clarke, Lara</t>
  </si>
  <si>
    <t>978-0-7486-3079-0</t>
  </si>
  <si>
    <t>Enlightenment and Change</t>
  </si>
  <si>
    <t>Scotland 1746-1832</t>
  </si>
  <si>
    <t>Enlightenment and Change E-BOOK</t>
  </si>
  <si>
    <t>Lenman, Bruce</t>
  </si>
  <si>
    <t>978-0-7486-9242-2</t>
  </si>
  <si>
    <t>Modern Thought in Pain</t>
  </si>
  <si>
    <t>Philosophy, Politics, Psychoanalysis</t>
  </si>
  <si>
    <t>Modern Thought in Pain E-BOOK</t>
  </si>
  <si>
    <t>978-1-4744-7216-6</t>
  </si>
  <si>
    <t>New Punk Cinema</t>
  </si>
  <si>
    <t>New Punk Cinema E-BOOK</t>
  </si>
  <si>
    <t>Rombes, Nicholas</t>
  </si>
  <si>
    <t>978-1-4744-1046-5</t>
  </si>
  <si>
    <t>The Twilight of the British Empire</t>
  </si>
  <si>
    <t>British Intelligence and Counter-Subversion in the Middle East, 1948–63</t>
  </si>
  <si>
    <t>The Twilight of the British Empire E-BOOK</t>
  </si>
  <si>
    <t>Hashimoto, Chikara</t>
  </si>
  <si>
    <t>978-0-7486-6807-6</t>
  </si>
  <si>
    <t>'Of Laws of Ships and Shipmen'</t>
  </si>
  <si>
    <t>Medieval Maritime Law and its Practice in Urban Northern Europe</t>
  </si>
  <si>
    <t>'Of Laws of Ships and Shipmen' E-BOOK</t>
  </si>
  <si>
    <t>Frankot, Edda</t>
  </si>
  <si>
    <t>978-0-7486-7255-4</t>
  </si>
  <si>
    <t>Edinburgh Encyclopaedia of Modern Criticism and Theory</t>
  </si>
  <si>
    <t>Edinburgh Encyclopaedia E-BOOK</t>
  </si>
  <si>
    <t>978-0-7486-3556-6</t>
  </si>
  <si>
    <t>The Edinburgh Companion to Robert Louis Stevenson</t>
  </si>
  <si>
    <t>The Edinburgh Companion to Robert Louis Stevenson E-BOOK</t>
  </si>
  <si>
    <t>Fielding, Penny</t>
  </si>
  <si>
    <t>978-0-7486-4727-9</t>
  </si>
  <si>
    <t>Kant's Groundwork of the Metaphysics of Morals</t>
  </si>
  <si>
    <t>Kant's Groundwork of the Metaphysics of Morals E-BOOK</t>
  </si>
  <si>
    <t>Callanan, John</t>
  </si>
  <si>
    <t>978-0-7486-9918-6</t>
  </si>
  <si>
    <t>I Could Speak Until Tomorrow</t>
  </si>
  <si>
    <t>Oriki, Women &amp; the Past in a Yoruba Town</t>
  </si>
  <si>
    <t>I Could Speak Until Tomorrow E-BOOK</t>
  </si>
  <si>
    <t>Barber, Karin</t>
  </si>
  <si>
    <t>978-1-4744-7436-8</t>
  </si>
  <si>
    <t>Plotting the News in the Victorian Novel</t>
  </si>
  <si>
    <t>Plotting the News in the Victorian Novel E-BOOK</t>
  </si>
  <si>
    <t>Valdez, Jessica R.</t>
  </si>
  <si>
    <t>978-1-4744-7192-3</t>
  </si>
  <si>
    <t>An Inquiry into the Human Mind on the Principles of Common Sense</t>
  </si>
  <si>
    <t>An Inquiry into the Human Mind on the Principles of C E-BOOK</t>
  </si>
  <si>
    <t>Brookes, Derek / Reid, Thomas</t>
  </si>
  <si>
    <t>978-1-4744-7626-3</t>
  </si>
  <si>
    <t>Writing the Sphinx</t>
  </si>
  <si>
    <t>Literature, Culture and Egyptology</t>
  </si>
  <si>
    <t>Writing the Sphinx E-BOOK</t>
  </si>
  <si>
    <t>Dobson, Eleanor</t>
  </si>
  <si>
    <t>978-0-7486-3064-6</t>
  </si>
  <si>
    <t>The Edinburgh History of Scottish Literature</t>
  </si>
  <si>
    <t>Enlightenment, Britain and Empire (1707–1918)</t>
  </si>
  <si>
    <t>The Edinburgh History of Scottish Literature E-BOOK</t>
  </si>
  <si>
    <t>Edinburgh History of Scottish Literature</t>
  </si>
  <si>
    <t>30</t>
  </si>
  <si>
    <t>Edinburgh University Press Backlist eBook-Package 2013-2000 | The Edinburgh History of Scottish Literature - Three- E-BOOK</t>
  </si>
  <si>
    <t>978-0-7486-4457-5</t>
  </si>
  <si>
    <t>Cosmopolitanisms in Muslim Contexts</t>
  </si>
  <si>
    <t>Perspectives from the Past</t>
  </si>
  <si>
    <t>Cosmopolitanisms in Muslim Contexts E-BOOK</t>
  </si>
  <si>
    <t>MacLean, Derryl N. / Karmali Ahmed, Sikeena</t>
  </si>
  <si>
    <t>978-1-4744-4202-2</t>
  </si>
  <si>
    <t>The Birth of Nomos</t>
  </si>
  <si>
    <t>The Birth of Nomos E-BOOK</t>
  </si>
  <si>
    <t>Zartaloudis, Thanos</t>
  </si>
  <si>
    <t>978-1-4744-3111-8</t>
  </si>
  <si>
    <t>New Transnationalisms in Contemporary Latin American Cinemas</t>
  </si>
  <si>
    <t>New Transnationalisms in Contemporary Latin American  E-BOOK</t>
  </si>
  <si>
    <t>Tierney, Dolores</t>
  </si>
  <si>
    <t>978-0-7486-9798-4</t>
  </si>
  <si>
    <t>The Feel-Bad Film</t>
  </si>
  <si>
    <t>The Feel-Bad Film E-BOOK</t>
  </si>
  <si>
    <t>Lübecker, Nikolaj</t>
  </si>
  <si>
    <t>978-0-7486-7829-7</t>
  </si>
  <si>
    <t>Muslim Spain Reconsidered</t>
  </si>
  <si>
    <t>From 711 to 1502</t>
  </si>
  <si>
    <t>Muslim Spain Reconsidered E-BOOK</t>
  </si>
  <si>
    <t>Hitchcock, Richard</t>
  </si>
  <si>
    <t>978-1-4744-1104-2</t>
  </si>
  <si>
    <t>Key Concepts in Contemporary Popular Fiction</t>
  </si>
  <si>
    <t>Key Concepts in Contemporary Popular Fiction E-BOOK</t>
  </si>
  <si>
    <t>Murphy, Bernice M.</t>
  </si>
  <si>
    <t>978-1-4744-6992-0</t>
  </si>
  <si>
    <t>Greek Athletics</t>
  </si>
  <si>
    <t>Greek Athletics E-BOOK</t>
  </si>
  <si>
    <t>König, Jason</t>
  </si>
  <si>
    <t>978-1-4744-3562-8</t>
  </si>
  <si>
    <t>Chile, the CIA and the Cold War</t>
  </si>
  <si>
    <t>Chile, the CIA and the Cold War E-BOOK</t>
  </si>
  <si>
    <t>Lockhart, James</t>
  </si>
  <si>
    <t>978-0-7486-3087-5</t>
  </si>
  <si>
    <t>American Modernism's Expatriate Scene</t>
  </si>
  <si>
    <t>The Labour of Translation</t>
  </si>
  <si>
    <t>American Modernism's Expatriate Scene E-BOOK</t>
  </si>
  <si>
    <t>978-0-7486-8484-7</t>
  </si>
  <si>
    <t>The End of Phenomenology</t>
  </si>
  <si>
    <t>Metaphysics and the New Realism</t>
  </si>
  <si>
    <t>The End of Phenomenology E-BOOK</t>
  </si>
  <si>
    <t>Sparrow, Tom</t>
  </si>
  <si>
    <t>978-1-4744-0215-6</t>
  </si>
  <si>
    <t>American Imperialism</t>
  </si>
  <si>
    <t>The Territorial Expansion of the United States, 1783-2013</t>
  </si>
  <si>
    <t>American Imperialism E-BOOK</t>
  </si>
  <si>
    <t>Burns, Adam</t>
  </si>
  <si>
    <t>978-1-4744-6427-7</t>
  </si>
  <si>
    <t>A Glossary of Morphology</t>
  </si>
  <si>
    <t>A Glossary of Morphology E-BOOK</t>
  </si>
  <si>
    <t>978-1-4744-2623-7</t>
  </si>
  <si>
    <t>The Late-Victorian Little Magazine</t>
  </si>
  <si>
    <t>The Late-Victorian Little Magazine E-BOOK</t>
  </si>
  <si>
    <t>Claes, Koenraad</t>
  </si>
  <si>
    <t>978-1-4744-6609-7</t>
  </si>
  <si>
    <t>Flora of Turkey, Volume 4</t>
  </si>
  <si>
    <t>Flora of Turkey, Volume 4 E-BOOK</t>
  </si>
  <si>
    <t>978-0-7486-7678-1</t>
  </si>
  <si>
    <t>Philosophy, Animality and the Life Sciences</t>
  </si>
  <si>
    <t>Philosophy, Animality and the Life Sciences E-BOOK</t>
  </si>
  <si>
    <t>Khandker, Wahida</t>
  </si>
  <si>
    <t>978-0-7486-3088-2</t>
  </si>
  <si>
    <t>New Zealand English</t>
  </si>
  <si>
    <t>New Zealand English E-BOOK</t>
  </si>
  <si>
    <t>Hay, Jennifer / Maclagan, Margaret A. / Gordon, Elizabeth</t>
  </si>
  <si>
    <t>978-1-4744-0484-6</t>
  </si>
  <si>
    <t>Global Ethics and Climate Change</t>
  </si>
  <si>
    <t>Global Ethics and Climate Change E-BOOK</t>
  </si>
  <si>
    <t>Harris, Paul G.</t>
  </si>
  <si>
    <t>978-1-4744-4436-1</t>
  </si>
  <si>
    <t>Arendt, Natality and Biopolitics</t>
  </si>
  <si>
    <t>Toward Democratic Plurality and Reproductive Justice</t>
  </si>
  <si>
    <t>Arendt, Natality and Biopolitics E-BOOK</t>
  </si>
  <si>
    <t>Diprose, Rosalyn / Ziarek, Ewa Plonowska</t>
  </si>
  <si>
    <t>978-1-4744-3299-3</t>
  </si>
  <si>
    <t>Kenilworth</t>
  </si>
  <si>
    <t>Kenilworth E-BOOK</t>
  </si>
  <si>
    <t>978-1-4744-7351-4</t>
  </si>
  <si>
    <t>The Acts of David II (1329-1371)</t>
  </si>
  <si>
    <t>The Acts of David II (1329-1371) E-BOOK</t>
  </si>
  <si>
    <t>Webster, Bruce</t>
  </si>
  <si>
    <t>978-0-7486-2847-6</t>
  </si>
  <si>
    <t>Domination and Lordship</t>
  </si>
  <si>
    <t>Scotland, 1070-1230</t>
  </si>
  <si>
    <t>Domination and Lordship E-BOOK</t>
  </si>
  <si>
    <t>Oram, Richard</t>
  </si>
  <si>
    <t>978-1-4744-2566-7</t>
  </si>
  <si>
    <t>London Writing of the 1930s</t>
  </si>
  <si>
    <t>London Writing of the 1930s E-BOOK</t>
  </si>
  <si>
    <t>Cottrell, Anna</t>
  </si>
  <si>
    <t>978-0-7486-9290-3</t>
  </si>
  <si>
    <t>Fields of Sense</t>
  </si>
  <si>
    <t>A New Realist Ontology</t>
  </si>
  <si>
    <t>Fields of Sense E-BOOK</t>
  </si>
  <si>
    <t>Gabriel, Markus</t>
  </si>
  <si>
    <t>978-1-4744-7993-6</t>
  </si>
  <si>
    <t>The Films of François Ozon</t>
  </si>
  <si>
    <t>Bourdeau, Loïc</t>
  </si>
  <si>
    <t>978-0-7486-4417-9</t>
  </si>
  <si>
    <t>Media, Persuasion and Propaganda</t>
  </si>
  <si>
    <t>Media, Persuasion and Propaganda E-BOOK</t>
  </si>
  <si>
    <t>Soules, Marshall</t>
  </si>
  <si>
    <t>978-1-4744-6952-4</t>
  </si>
  <si>
    <t>Shut Up and Listen</t>
  </si>
  <si>
    <t xml:space="preserve"> A Brief Guide to Clinical Communications Skills</t>
  </si>
  <si>
    <t>Shut Up and Listen E-BOOK</t>
  </si>
  <si>
    <t>Jackson, Cathy</t>
  </si>
  <si>
    <t>LAW090000 LAW / Wills</t>
  </si>
  <si>
    <t>978-1-4744-6741-4</t>
  </si>
  <si>
    <t>The Fragility of Concern for Others</t>
  </si>
  <si>
    <t>Adorno and the Ethics of Care</t>
  </si>
  <si>
    <t>The Fragility of Concern for Others E-BOOK</t>
  </si>
  <si>
    <t>Corcoran, Steven / Ferrarese, Estelle</t>
  </si>
  <si>
    <t>978-1-4744-2886-6</t>
  </si>
  <si>
    <t>The CIA and the Pursuit of Security</t>
  </si>
  <si>
    <t>History, Documents and Contexts</t>
  </si>
  <si>
    <t>The CIA and the Pursuit of Security E-BOOK</t>
  </si>
  <si>
    <t>Goodman, Michael S. / Dylan, Huw / Gioe, David</t>
  </si>
  <si>
    <t>978-1-4744-2361-8</t>
  </si>
  <si>
    <t>Deleuze and Children</t>
  </si>
  <si>
    <t>Deleuze and Children E-BOOK</t>
  </si>
  <si>
    <t>Bohlmann, Markus P. J. / Hickey-Moody, Anna</t>
  </si>
  <si>
    <t>978-1-4744-2829-3</t>
  </si>
  <si>
    <t>Nietzsche's Unfashionable Observations</t>
  </si>
  <si>
    <t>Nietzsche's Unfashionable Observations E-BOOK</t>
  </si>
  <si>
    <t>Church, Jeffrey</t>
  </si>
  <si>
    <t>978-1-4744-6611-0</t>
  </si>
  <si>
    <t>Flora of Turkey, Volume 6</t>
  </si>
  <si>
    <t>Flora of Turkey, Volume 6 E-BOOK</t>
  </si>
  <si>
    <t>978-1-4744-5945-7</t>
  </si>
  <si>
    <t>Oscar Wilde and the Radical Politics of the Fin de Siècle</t>
  </si>
  <si>
    <t>Oscar Wilde and the Radical Politics of the Fin de Si E-BOOK</t>
  </si>
  <si>
    <t>978-1-4744-7124-4</t>
  </si>
  <si>
    <t>Literary Autobiography and Arab National Struggles</t>
  </si>
  <si>
    <t>Literary Autobiography and Arab National Struggles E-BOOK</t>
  </si>
  <si>
    <t>Nasser, Tahia Abdel</t>
  </si>
  <si>
    <t>BIO000000 BIOGRAPHY &amp; AUTOBIOGRAPHY / General</t>
  </si>
  <si>
    <t>978-1-4744-1627-6</t>
  </si>
  <si>
    <t>Gender, Technology and the New Woman</t>
  </si>
  <si>
    <t>Gender, Technology and the New Woman E-BOOK</t>
  </si>
  <si>
    <t>Wånggren, Lena</t>
  </si>
  <si>
    <t>978-1-4744-7349-1</t>
  </si>
  <si>
    <t>The Influence of Islam on Medieval Europe</t>
  </si>
  <si>
    <t>The Influence of Islam on Medieval Europe E-BOOK</t>
  </si>
  <si>
    <t>978-1-4744-1763-1</t>
  </si>
  <si>
    <t>Emerging Technology, Regulation and Ethics</t>
  </si>
  <si>
    <t>Future Law E-BOOK</t>
  </si>
  <si>
    <t>Harbinja, Edina / Edwards, Lilian / Schafer, Burkhard</t>
  </si>
  <si>
    <t>978-1-4744-2012-9</t>
  </si>
  <si>
    <t>Politics and Policy in China's Social Assistance Reform</t>
  </si>
  <si>
    <t>Providing for the Poor?</t>
  </si>
  <si>
    <t>Politics and Policy in China's Social Assistance Refo E-BOOK</t>
  </si>
  <si>
    <t>Hammond, Daniel R.</t>
  </si>
  <si>
    <t>978-0-7486-7985-0</t>
  </si>
  <si>
    <t>Word And Image In Ancient Greece</t>
  </si>
  <si>
    <t>Word And Image In Ancient Greece E-BOOK</t>
  </si>
  <si>
    <t>Rutter, Keith / Sparkes, Brian</t>
  </si>
  <si>
    <t>978-0-7486-4209-0</t>
  </si>
  <si>
    <t>The Challenge of Pluralism</t>
  </si>
  <si>
    <t>Paradigms from Muslim Contexts</t>
  </si>
  <si>
    <t>The Challenge of Pluralism E-BOOK</t>
  </si>
  <si>
    <t>Filali-Ansary, Abdou / Karmali Ahmed, Sikeena</t>
  </si>
  <si>
    <t>978-0-7486-3055-4</t>
  </si>
  <si>
    <t>Lexical Structures</t>
  </si>
  <si>
    <t>Compounding and the Modules of Grammar</t>
  </si>
  <si>
    <t>Lexical Structures E-BOOK</t>
  </si>
  <si>
    <t>Giegerich, Heinz</t>
  </si>
  <si>
    <t>978-1-4744-5545-9</t>
  </si>
  <si>
    <t>Gender, Governance and Islam</t>
  </si>
  <si>
    <t>Gender, Governance and Islam E-BOOK</t>
  </si>
  <si>
    <t>Kandiyori, Deniz / Al-Ali, Nadje / Spellman Poots, Kathryn</t>
  </si>
  <si>
    <t>978-1-4744-7419-1</t>
  </si>
  <si>
    <t>Conflict on Mount Lebanon</t>
  </si>
  <si>
    <t>The Druze, the Maronites and Collective Memory</t>
  </si>
  <si>
    <t>Conflict on Mount Lebanon E-BOOK</t>
  </si>
  <si>
    <t>Rabah, Makram</t>
  </si>
  <si>
    <t>978-0-7486-7710-8</t>
  </si>
  <si>
    <t>King and Court in Ancient Persia 559 to 331 BCE</t>
  </si>
  <si>
    <t>King and Court in Ancient Persia 559 to 331 BCE E-BOOK</t>
  </si>
  <si>
    <t>978-1-4744-2029-7</t>
  </si>
  <si>
    <t>Habermas and Politics</t>
  </si>
  <si>
    <t>Habermas and Politics E-BOOK</t>
  </si>
  <si>
    <t>Russell, Matheson</t>
  </si>
  <si>
    <t>978-0-7486-4486-5</t>
  </si>
  <si>
    <t>Islamic Asset Management</t>
  </si>
  <si>
    <t>An Asset Class on its Own?</t>
  </si>
  <si>
    <t>Islamic Asset Management E-BOOK</t>
  </si>
  <si>
    <t>Schoon, Natalie</t>
  </si>
  <si>
    <t>Management Accounting, Financial Controlling, Cost Calculation, Investment</t>
  </si>
  <si>
    <t>BUS001010 BUSINESS &amp; ECONOMICS / Accounting / Financial</t>
  </si>
  <si>
    <t>978-0-7486-3466-8</t>
  </si>
  <si>
    <t>John Webster, Renaissance Dramatist</t>
  </si>
  <si>
    <t>John Webster, Renaissance Dramatist E-BOOK</t>
  </si>
  <si>
    <t>Coleman, David</t>
  </si>
  <si>
    <t>978-1-4744-7554-9</t>
  </si>
  <si>
    <t>The Republican Party and the War on Poverty</t>
  </si>
  <si>
    <t>1964–1981</t>
  </si>
  <si>
    <t>The Republican Party and the War on Poverty E-BOOK</t>
  </si>
  <si>
    <t>Mclay, Mark</t>
  </si>
  <si>
    <t>POL006000 POLITICAL SCIENCE / American Government / Legislative Branch</t>
  </si>
  <si>
    <t>978-0-7486-8161-7</t>
  </si>
  <si>
    <t>Roomscape</t>
  </si>
  <si>
    <t>Women Writers in the British Museum from George Eliot to Virginia Woolf</t>
  </si>
  <si>
    <t>Roomscape E-BOOK</t>
  </si>
  <si>
    <t>Bernstein, Susan David</t>
  </si>
  <si>
    <t>978-1-4744-8723-8</t>
  </si>
  <si>
    <t>Historicising Ancient Slavery</t>
  </si>
  <si>
    <t>Historicising Ancient Slavery E-BOOK</t>
  </si>
  <si>
    <t>Vlassopoulos, Kostas</t>
  </si>
  <si>
    <t>Edinburgh Studies in Ancient Slavery</t>
  </si>
  <si>
    <t>978-0-7486-9900-1</t>
  </si>
  <si>
    <t>History and Event</t>
  </si>
  <si>
    <t>From Marxism to Contemporary French Theory</t>
  </si>
  <si>
    <t>History and Event E-BOOK</t>
  </si>
  <si>
    <t>Coombs, Nathan</t>
  </si>
  <si>
    <t>978-1-4744-2615-2</t>
  </si>
  <si>
    <t>Katherine Mansfield and Russia</t>
  </si>
  <si>
    <t>Katherine Mansfield and Russia E-BOOK</t>
  </si>
  <si>
    <t>Martin, W. Todd / Diment, Galya / Kimber, Gerri</t>
  </si>
  <si>
    <t>Slavic Literature</t>
  </si>
  <si>
    <t>LIT004110 LITERARY CRITICISM / European / Eastern (see also Russian &amp; Former Soviet Union)</t>
  </si>
  <si>
    <t>978-0-7486-8123-5</t>
  </si>
  <si>
    <t>Material Inscriptions</t>
  </si>
  <si>
    <t>Rhetorical Reading in Practice and Theory</t>
  </si>
  <si>
    <t>Material Inscriptions E-BOOK</t>
  </si>
  <si>
    <t>Warminski, Andrzej</t>
  </si>
  <si>
    <t>978-0-7486-9792-2</t>
  </si>
  <si>
    <t>Latour and the Passage of Law</t>
  </si>
  <si>
    <t>Latour and the Passage of Law E-BOOK</t>
  </si>
  <si>
    <t>McGee, Kyle</t>
  </si>
  <si>
    <t>978-1-4744-6993-7</t>
  </si>
  <si>
    <t>Envy, Spite and Jealousy</t>
  </si>
  <si>
    <t>The Rivalrous Emotions in Ancient Greece</t>
  </si>
  <si>
    <t>Envy, Spite and Jealousy E-BOOK</t>
  </si>
  <si>
    <t>Konstan, David / Rutter, Keith</t>
  </si>
  <si>
    <t>978-1-4744-4062-2</t>
  </si>
  <si>
    <t>Samuel Beckett's How It Is</t>
  </si>
  <si>
    <t>Philosophy in Translation</t>
  </si>
  <si>
    <t>Samuel Beckett's How It Is E-BOOK</t>
  </si>
  <si>
    <t>Cordingley, Anthony</t>
  </si>
  <si>
    <t>978-1-4744-2151-5</t>
  </si>
  <si>
    <t>The Fatimid Empire</t>
  </si>
  <si>
    <t>The Fatimid Empire E-BOOK</t>
  </si>
  <si>
    <t>Brett, Michael</t>
  </si>
  <si>
    <t>978-1-4744-6561-8</t>
  </si>
  <si>
    <t>The Cultures of the American New West</t>
  </si>
  <si>
    <t>The Cultures of the American New West E-BOOK</t>
  </si>
  <si>
    <t>978-1-4744-2109-6</t>
  </si>
  <si>
    <t>The War on Drugs and Anglo-American Relations</t>
  </si>
  <si>
    <t>Lessons from Afghanistan, 2001-2011</t>
  </si>
  <si>
    <t>The War on Drugs and Anglo-American Relations E-BOOK</t>
  </si>
  <si>
    <t>Berry, Philip A.</t>
  </si>
  <si>
    <t>978-0-7486-7330-8</t>
  </si>
  <si>
    <t>Adventures in Transcendental Materialism</t>
  </si>
  <si>
    <t>Dialogues with Contemporary Thinkers</t>
  </si>
  <si>
    <t>Adventures in Transcendental Materialism E-BOOK</t>
  </si>
  <si>
    <t>Johnston, Adrian</t>
  </si>
  <si>
    <t>978-0-7486-9665-9</t>
  </si>
  <si>
    <t>Thomas Reid on Society and Politics</t>
  </si>
  <si>
    <t>Thomas Reid on Society and Politics E-BOOK</t>
  </si>
  <si>
    <t>Wood, Paul / Reid, Thomas / Haakonssen, Knud</t>
  </si>
  <si>
    <t>978-1-4744-3430-0</t>
  </si>
  <si>
    <t>The Making of Islamic Art</t>
  </si>
  <si>
    <t>Studies in Honour of Sheila Blair and Jonathan Bloom</t>
  </si>
  <si>
    <t>The Making of Islamic Art E-BOOK</t>
  </si>
  <si>
    <t>ART035000 ART / Subjects &amp; Themes / Religious</t>
  </si>
  <si>
    <t>978-1-4744-3555-0</t>
  </si>
  <si>
    <t>The Problem of Nature in Hegel's Final System</t>
  </si>
  <si>
    <t>The Problem of Nature in Hegel's Final System E-BOOK</t>
  </si>
  <si>
    <t>Furlotte, Wes</t>
  </si>
  <si>
    <t>PHI007000 PHILOSOPHY / Free Will &amp; Determinism</t>
  </si>
  <si>
    <t>978-1-4744-6904-3</t>
  </si>
  <si>
    <t>The Sixties in America</t>
  </si>
  <si>
    <t>History, Politics and Protest</t>
  </si>
  <si>
    <t>The Sixties in America E-BOOK</t>
  </si>
  <si>
    <t>Heale, Michael J.</t>
  </si>
  <si>
    <t>978-0-7486-3747-8</t>
  </si>
  <si>
    <t>Lost in Translation</t>
  </si>
  <si>
    <t>Lost in Translation E-BOOK</t>
  </si>
  <si>
    <t>King, Geoff</t>
  </si>
  <si>
    <t>978-0-7486-3701-0</t>
  </si>
  <si>
    <t>Deleuze and the Postcolonial</t>
  </si>
  <si>
    <t>Deleuze and the Postcolonial E-BOOK</t>
  </si>
  <si>
    <t>Bignall, Simone / Patton, Paul</t>
  </si>
  <si>
    <t>978-0-7486-2684-7</t>
  </si>
  <si>
    <t>Ethnicity and the Making of History in Northern Ghana</t>
  </si>
  <si>
    <t>Ethnicity and the Making of History in Northern Ghana E-BOOK</t>
  </si>
  <si>
    <t>Lentz, Carola</t>
  </si>
  <si>
    <t>978-0-7486-3310-4</t>
  </si>
  <si>
    <t>Scottish Literature</t>
  </si>
  <si>
    <t>Scottish Literature E-BOOK</t>
  </si>
  <si>
    <t>Carruthers, Gerard</t>
  </si>
  <si>
    <t>978-1-4744-0411-2</t>
  </si>
  <si>
    <t>The American Photo-Text, 1930-1960</t>
  </si>
  <si>
    <t>The American Photo-Text, 1930-1960 E-BOOK</t>
  </si>
  <si>
    <t>Blinder, Caroline</t>
  </si>
  <si>
    <t>978-0-7486-4293-9</t>
  </si>
  <si>
    <t>Thomas Reid - Essays on the Active Powers of Man</t>
  </si>
  <si>
    <t>Thomas Reid - Essays on the Active Powers of Man E-BOOK</t>
  </si>
  <si>
    <t>Harris, James / Reid, Thomas / Haakonssen, Knud</t>
  </si>
  <si>
    <t>978-1-4744-5453-7</t>
  </si>
  <si>
    <t>The Films of Paul Leni</t>
  </si>
  <si>
    <t>Norden, Martin F. / Tortolani, Erica</t>
  </si>
  <si>
    <t>978-1-4744-5708-8</t>
  </si>
  <si>
    <t>Literary Manuscript Culture in Romantic Britain</t>
  </si>
  <si>
    <t>Literary Manuscript Culture in Romantic Britain E-BOOK</t>
  </si>
  <si>
    <t>Levy, Michelle</t>
  </si>
  <si>
    <t>978-0-7486-3124-7</t>
  </si>
  <si>
    <t>The Athenian Empire</t>
  </si>
  <si>
    <t>The Athenian Empire E-BOOK</t>
  </si>
  <si>
    <t>Low, Polly</t>
  </si>
  <si>
    <t>978-1-4744-1923-9</t>
  </si>
  <si>
    <t>The Franchise Era</t>
  </si>
  <si>
    <t>Managing Media in the Digital Economy</t>
  </si>
  <si>
    <t>The Franchise Era E-BOOK</t>
  </si>
  <si>
    <t xml:space="preserve">Mamber, Stephen / Fleury, James / Hartzheim, Bryan Hikari </t>
  </si>
  <si>
    <t>978-0-7486-4522-0</t>
  </si>
  <si>
    <t>Transatlantic Avant-Gardes</t>
  </si>
  <si>
    <t>Little Magazines and Localist Modernism</t>
  </si>
  <si>
    <t>Transatlantic Avant-Gardes E-BOOK</t>
  </si>
  <si>
    <t>978-0-7486-2640-3</t>
  </si>
  <si>
    <t>Get Set for Study Abroad</t>
  </si>
  <si>
    <t>Get Set for Study Abroad E-BOOK</t>
  </si>
  <si>
    <t>Barron, Tom</t>
  </si>
  <si>
    <t>978-1-4744-4370-8</t>
  </si>
  <si>
    <t>Heidegger’s Ontology of Events</t>
  </si>
  <si>
    <t>Heidegger’s Ontology of Events E-BOOK</t>
  </si>
  <si>
    <t>Bahoh, James</t>
  </si>
  <si>
    <t>978-1-4744-6858-9</t>
  </si>
  <si>
    <t>Art, Performance and Ritual in Benin City</t>
  </si>
  <si>
    <t>Art, Performance and Ritual in Benin City E-BOOK</t>
  </si>
  <si>
    <t>Gore, Charles</t>
  </si>
  <si>
    <t>978-1-4744-3316-7</t>
  </si>
  <si>
    <t>A Multi-locus Analysis of Arabic Negation</t>
  </si>
  <si>
    <t>Micro-variation in Southern Levantine, Gulf and Standard Arabic</t>
  </si>
  <si>
    <t>A Multi-locus Analysis of Arabic Negation E-BOOK</t>
  </si>
  <si>
    <t>Alqassas, Ahmad</t>
  </si>
  <si>
    <t>978-1-4744-7415-3</t>
  </si>
  <si>
    <t>The Political Theology of Kierkegaard</t>
  </si>
  <si>
    <t>The Political Theology of Kierkegaard E-BOOK</t>
  </si>
  <si>
    <t>978-0-7486-4289-2</t>
  </si>
  <si>
    <t>The Gods of Ancient Greece</t>
  </si>
  <si>
    <t>Identities and Transformations</t>
  </si>
  <si>
    <t>The Gods of Ancient Greece E-BOOK</t>
  </si>
  <si>
    <t>Bremmer, Jan / Erskine, Andrew</t>
  </si>
  <si>
    <t>978-1-4744-3533-8</t>
  </si>
  <si>
    <t>British Music Videos 1966 - 2016</t>
  </si>
  <si>
    <t>Genre, Authenticity and Art</t>
  </si>
  <si>
    <t>British Music Videos 1966 - 2016 E-BOOK</t>
  </si>
  <si>
    <t>Caston, Emily</t>
  </si>
  <si>
    <t>MUS049000 MUSIC / Genres &amp; Styles / General</t>
  </si>
  <si>
    <t>978-0-7486-5561-8</t>
  </si>
  <si>
    <t>Shari'ah Compliant Private Equity and Islamic Venture Capital</t>
  </si>
  <si>
    <t>Shari'ah Compliant Private Equity and Islamic Venture E-BOOK</t>
  </si>
  <si>
    <t>Madehah Ahmad Farid, Fara</t>
  </si>
  <si>
    <t>978-1-4744-7100-8</t>
  </si>
  <si>
    <t>Translating the Devil</t>
  </si>
  <si>
    <t>Religion and Modernity among the Ewe in Ghana</t>
  </si>
  <si>
    <t>Translating the Devil E-BOOK</t>
  </si>
  <si>
    <t>Meyer, Birgit</t>
  </si>
  <si>
    <t>978-1-4744-1930-7</t>
  </si>
  <si>
    <t>What if Culture was Nature all Along?</t>
  </si>
  <si>
    <t>What if Culture was Nature all Along? E-BOOK</t>
  </si>
  <si>
    <t>Kirby, Vicki</t>
  </si>
  <si>
    <t>978-1-4744-6573-1</t>
  </si>
  <si>
    <t>Dream I Tell You</t>
  </si>
  <si>
    <t>Dream I Tell You E-BOOK</t>
  </si>
  <si>
    <t>Cixous, Hélène / Bie Brahic, Beverley</t>
  </si>
  <si>
    <t>LAN002000 LANGUAGE ARTS &amp; DISCIPLINES / Authorship</t>
  </si>
  <si>
    <t>978-1-4744-3905-3</t>
  </si>
  <si>
    <t>Animal Writing</t>
  </si>
  <si>
    <t>Storytelling, Selfhood and the Limits of Empathy</t>
  </si>
  <si>
    <t>Animal Writing E-BOOK</t>
  </si>
  <si>
    <t>Sands, Danielle</t>
  </si>
  <si>
    <t>Comparative Literary Studies</t>
  </si>
  <si>
    <t>LIT020000 LITERARY CRITICISM / Comparative Literature</t>
  </si>
  <si>
    <t>978-1-4744-2463-9</t>
  </si>
  <si>
    <t>The Other Side of Glamour</t>
  </si>
  <si>
    <t>The Left-wing Studio Network in Hong Kong Cinema in the Cold War Era and Beyond</t>
  </si>
  <si>
    <t>The Other Side of Glamour E-BOOK</t>
  </si>
  <si>
    <t>Lee, Vivian P.Y.</t>
  </si>
  <si>
    <t>Global Film Studios</t>
  </si>
  <si>
    <t>978-1-4744-6861-9</t>
  </si>
  <si>
    <t>Deconstructing Ireland</t>
  </si>
  <si>
    <t>Identity, Theory, Culture</t>
  </si>
  <si>
    <t>Deconstructing Ireland E-BOOK</t>
  </si>
  <si>
    <t>Graham, Colin</t>
  </si>
  <si>
    <t>978-1-4744-7094-0</t>
  </si>
  <si>
    <t>Persian Historiography</t>
  </si>
  <si>
    <t>Persian Historiography E-BOOK</t>
  </si>
  <si>
    <t>Meisami, Julie Scott</t>
  </si>
  <si>
    <t>978-0-7486-4370-7</t>
  </si>
  <si>
    <t>To Follow</t>
  </si>
  <si>
    <t>The Wake of Jacques Derrida</t>
  </si>
  <si>
    <t>To Follow E-BOOK</t>
  </si>
  <si>
    <t>Kamuf, Peggy</t>
  </si>
  <si>
    <t>978-1-4744-1016-8</t>
  </si>
  <si>
    <t>Union and Revolution</t>
  </si>
  <si>
    <t>Scotland and Beyond, 1625-1745</t>
  </si>
  <si>
    <t>Union and Revolution E-BOOK</t>
  </si>
  <si>
    <t>Stewart, Laura / Nugent, Janay</t>
  </si>
  <si>
    <t>978-1-4744-2118-8</t>
  </si>
  <si>
    <t>Queering Digital India</t>
  </si>
  <si>
    <t>Activisms, Identities, Subjectivities</t>
  </si>
  <si>
    <t>Queering Digital India E-BOOK</t>
  </si>
  <si>
    <t>DasGupta, Debanuj / Dasgupta, Rohit K.</t>
  </si>
  <si>
    <t>COM060140 COMPUTERS / Web / Social Media</t>
  </si>
  <si>
    <t>978-0-585-12303-5</t>
  </si>
  <si>
    <t>Political Scandals in the USA</t>
  </si>
  <si>
    <t>Political Scandals in the USA E-BOOK</t>
  </si>
  <si>
    <t>Williams, Robert</t>
  </si>
  <si>
    <t>978-1-4744-2946-7</t>
  </si>
  <si>
    <t>Coming-of-Age Cinema in New Zealand</t>
  </si>
  <si>
    <t>Genre, Gender and Adaptation</t>
  </si>
  <si>
    <t>Coming-of-Age Cinema in New Zealand E-BOOK</t>
  </si>
  <si>
    <t>Fox, Alistair</t>
  </si>
  <si>
    <t>978-0-7486-9337-5</t>
  </si>
  <si>
    <t>American Postfeminist Cinema</t>
  </si>
  <si>
    <t>Women, Romance and Contemporary Culture</t>
  </si>
  <si>
    <t>American Postfeminist Cinema E-BOOK</t>
  </si>
  <si>
    <t>Schreiber, Michele</t>
  </si>
  <si>
    <t>978-0-7486-3016-5</t>
  </si>
  <si>
    <t>Shakespeare</t>
  </si>
  <si>
    <t>Shakespeare E-BOOK</t>
  </si>
  <si>
    <t>Egan, Gabriel</t>
  </si>
  <si>
    <t>978-1-4744-5763-7</t>
  </si>
  <si>
    <t>Worldlessness After Heidegger</t>
  </si>
  <si>
    <t>Phenomenology, Psychoanalysis, Deconstruction</t>
  </si>
  <si>
    <t>Worldlessness After Heidegger E-BOOK</t>
  </si>
  <si>
    <t>Végsö, Roland</t>
  </si>
  <si>
    <t>978-0-7486-4752-1</t>
  </si>
  <si>
    <t>Media Persian</t>
  </si>
  <si>
    <t>Media Persian E-BOOK</t>
  </si>
  <si>
    <t>Brookshaw, Dominic Parviz</t>
  </si>
  <si>
    <t>978-0-7486-2952-7</t>
  </si>
  <si>
    <t>Canadian Literature</t>
  </si>
  <si>
    <t>Canadian Literature E-BOOK</t>
  </si>
  <si>
    <t>Hammill, Faye</t>
  </si>
  <si>
    <t>LIT004080 LITERARY CRITICISM / Canadian</t>
  </si>
  <si>
    <t>978-1-4744-4636-5</t>
  </si>
  <si>
    <t>Cinematic Intermediality</t>
  </si>
  <si>
    <t>Cinematic Intermediality E-BOOK</t>
  </si>
  <si>
    <t>Knowles, Kim / Schmid, Marion</t>
  </si>
  <si>
    <t>978-1-4744-4032-5</t>
  </si>
  <si>
    <t>Researching the Middle East</t>
  </si>
  <si>
    <t>Cultural, Conceptual, Theoretical and Practical Issues</t>
  </si>
  <si>
    <t>Researching the Middle East E-BOOK</t>
  </si>
  <si>
    <t>Ronchi, Monica / Charles, Lorraine / Pappé, Ilan</t>
  </si>
  <si>
    <t>978-0-7486-5441-3</t>
  </si>
  <si>
    <t>Elizabeth Barrett Browning's 'Aurora Leigh'</t>
  </si>
  <si>
    <t>Elizabeth Barrett Browning's 'Aurora Leigh' E-BOOK</t>
  </si>
  <si>
    <t>Martinez, Michele</t>
  </si>
  <si>
    <t>978-1-4744-6980-7</t>
  </si>
  <si>
    <t>Immanence and the Vertigo of Philosophy</t>
  </si>
  <si>
    <t>Immanence and the Vertigo of Philosophy E-BOOK</t>
  </si>
  <si>
    <t>Kerslake, Christian</t>
  </si>
  <si>
    <t>978-1-4744-6745-2</t>
  </si>
  <si>
    <t>Biopolitics, Materiality and Meaning in Modern European Drama</t>
  </si>
  <si>
    <t>Biopolitics, Materiality and Meaning in Modern Europe E-BOOK</t>
  </si>
  <si>
    <t>Fraunhofer, Hedwig</t>
  </si>
  <si>
    <t>978-0-7486-2667-0</t>
  </si>
  <si>
    <t>The Judiciary, Civil Liberties and Human Rights</t>
  </si>
  <si>
    <t>The Judiciary, Civil Liberties and Human Rights E-BOOK</t>
  </si>
  <si>
    <t>978-0-7486-7622-4</t>
  </si>
  <si>
    <t>Agamben and Politics</t>
  </si>
  <si>
    <t>Agamben and Politics E-BOOK</t>
  </si>
  <si>
    <t>978-0-7486-4175-8</t>
  </si>
  <si>
    <t>Deleuzian Fabulation and the Scars of History</t>
  </si>
  <si>
    <t>Deleuzian Fabulation and the Scars of History E-BOOK</t>
  </si>
  <si>
    <t>978-0-7486-2906-0</t>
  </si>
  <si>
    <t>A History of Everyday Life in Scotland, 1600 to 1800</t>
  </si>
  <si>
    <t>A History of Everyday Life in Scotland, 1600 to 1800 E-BOOK</t>
  </si>
  <si>
    <t>Foyster, Elizabeth / Whatley, Christopher</t>
  </si>
  <si>
    <t>978-1-4744-5834-4</t>
  </si>
  <si>
    <t>Music, Philosophy and Gender in Nancy, Lacoue-Labarthe, Badiou</t>
  </si>
  <si>
    <t>Music, Philosophy and Gender in Nancy, Lacoue-Labarth E-BOOK</t>
  </si>
  <si>
    <t>Hickmott, Sarah</t>
  </si>
  <si>
    <t>978-1-4744-6381-2</t>
  </si>
  <si>
    <t>Politics of the Russian Language Beyond Russia</t>
  </si>
  <si>
    <t>Politics of the Russian Language Beyond Russia E-BOOK</t>
  </si>
  <si>
    <t>Noack, Christian</t>
  </si>
  <si>
    <t>978-0-7486-3655-6</t>
  </si>
  <si>
    <t>Veering</t>
  </si>
  <si>
    <t>A Theory of Literature</t>
  </si>
  <si>
    <t>Veering E-BOOK</t>
  </si>
  <si>
    <t>978-0-7486-8523-3</t>
  </si>
  <si>
    <t>The Iraqi Novel</t>
  </si>
  <si>
    <t>Key Writers, Key Texts</t>
  </si>
  <si>
    <t>The Iraqi Novel E-BOOK</t>
  </si>
  <si>
    <t>Caiani, Fabio / Cobham, Catherine</t>
  </si>
  <si>
    <t>978-1-4744-5817-7</t>
  </si>
  <si>
    <t>Language Acquisition by Children</t>
  </si>
  <si>
    <t>A Linguistic Introduction</t>
  </si>
  <si>
    <t>Language Acquisition by Children E-BOOK</t>
  </si>
  <si>
    <t>Goodluck, Helen</t>
  </si>
  <si>
    <t>978-0-7486-4650-0</t>
  </si>
  <si>
    <t>Medieval Islamic Political Thought</t>
  </si>
  <si>
    <t>Medieval Islamic Political Thought E-BOOK</t>
  </si>
  <si>
    <t>Crone, Patricia</t>
  </si>
  <si>
    <t>978-1-4744-5633-3</t>
  </si>
  <si>
    <t>Visions of Council Democracy</t>
  </si>
  <si>
    <t>Castoriadis, Lefort, Arendt</t>
  </si>
  <si>
    <t>Visions of Council Democracy E-BOOK</t>
  </si>
  <si>
    <t>Popp-Madsen, Benjamin Ask</t>
  </si>
  <si>
    <t>978-1-4744-1573-6</t>
  </si>
  <si>
    <t>Beckett's Thing</t>
  </si>
  <si>
    <t>Painting and Theatre</t>
  </si>
  <si>
    <t>Beckett's Thing E-BOOK</t>
  </si>
  <si>
    <t>Lloyd, David</t>
  </si>
  <si>
    <t>978-0-7486-2920-6</t>
  </si>
  <si>
    <t>Imperial Rome AD 193 to 284</t>
  </si>
  <si>
    <t>The Critical Century</t>
  </si>
  <si>
    <t>Imperial Rome AD 193 to 284 E-BOOK</t>
  </si>
  <si>
    <t>Ando, Clifford</t>
  </si>
  <si>
    <t>978-1-4744-8391-9</t>
  </si>
  <si>
    <t>Thomas De Quincey, Dark Interpreter</t>
  </si>
  <si>
    <t>Romanticism in Translation</t>
  </si>
  <si>
    <t>Thomas De Quincey, Dark Interpreter E-BOOK</t>
  </si>
  <si>
    <t>de Groote, Brecht</t>
  </si>
  <si>
    <t>978-0-7486-8089-4</t>
  </si>
  <si>
    <t>The Ethics of Peace and War</t>
  </si>
  <si>
    <t>The Ethics of Peace and War E-BOOK</t>
  </si>
  <si>
    <t>978-1-4744-3266-5</t>
  </si>
  <si>
    <t>Chronicles of the Canongate</t>
  </si>
  <si>
    <t>Chronicles of the Canongate E-BOOK</t>
  </si>
  <si>
    <t>Scott, Walter / Lamont, Claire</t>
  </si>
  <si>
    <t>978-1-4744-5782-8</t>
  </si>
  <si>
    <t>Philip James Bailey, Festus</t>
  </si>
  <si>
    <t>An Epic Poem</t>
  </si>
  <si>
    <t>Philip James Bailey, Festus E-BOOK</t>
  </si>
  <si>
    <t>Bailey, Philip JamesWillett, Mischa</t>
  </si>
  <si>
    <t>Edinburgh Critical Editions of Nineteenth-Century Texts</t>
  </si>
  <si>
    <t>978-0-7486-2658-8</t>
  </si>
  <si>
    <t>Language Planning and Education</t>
  </si>
  <si>
    <t>Language Planning and Education E-BOOK</t>
  </si>
  <si>
    <t>Ferguson, Gibson</t>
  </si>
  <si>
    <t>978-1-4744-8403-9</t>
  </si>
  <si>
    <t>The Persian Prison Poem</t>
  </si>
  <si>
    <t>The Persian Prison Poem E-BOOK</t>
  </si>
  <si>
    <t>Gould, Rebecca Ruth</t>
  </si>
  <si>
    <t>Edinburgh Historical Studies of Iran and the Persian World</t>
  </si>
  <si>
    <t>EBOOK PACKAGE COMPLETE 2021 | EBOOK PACKAGE COMPLETE 2021 English | EBOOK PACKAGE Literary, Cultural, Area Studies 2021 | EBOOK PACKAGE Literary, Cultural, Area Studies 2021 English | Edinburgh University Press Complete eBook-Package 2022</t>
  </si>
  <si>
    <t>978-1-4744-7090-2</t>
  </si>
  <si>
    <t>Italo Calvino</t>
  </si>
  <si>
    <t>Italo Calvino E-BOOK</t>
  </si>
  <si>
    <t>McLaughlin, Martin</t>
  </si>
  <si>
    <t>Writers of Italy</t>
  </si>
  <si>
    <t>LIT004200 LITERARY CRITICISM / European / Italian</t>
  </si>
  <si>
    <t>978-1-4744-9044-3</t>
  </si>
  <si>
    <t>The Awakening of Islamic Pop Music</t>
  </si>
  <si>
    <t>The Awakening of Islamic Pop Music E-BOOK</t>
  </si>
  <si>
    <t>Effective Open Access 22.12.2021</t>
  </si>
  <si>
    <t>Otterbeck, Jonas</t>
  </si>
  <si>
    <t>Music and Performance in Muslim Contexts</t>
  </si>
  <si>
    <t>EBOOK PACKAGE Architecture and Design 2021 | EBOOK PACKAGE Arts, Architecture and Design 2021 English | EBOOK PACKAGE COMPLETE 2021 | EBOOK PACKAGE COMPLETE 2021 English | Edinburgh University Press Complete eBook-Package 2021</t>
  </si>
  <si>
    <t>978-1-4744-1704-4</t>
  </si>
  <si>
    <t>Great Cinematic Performances Volume 2: International</t>
  </si>
  <si>
    <t>Pomerance, Murray / Stevens, Kyle</t>
  </si>
  <si>
    <t>978-1-4744-6062-0</t>
  </si>
  <si>
    <t>Reading Ideas in Victorian Literature</t>
  </si>
  <si>
    <t>Literary Content as Artistic Experience</t>
  </si>
  <si>
    <t>Reading Ideas in Victorian Literature E-BOOK</t>
  </si>
  <si>
    <t>Fessenbecker, Patrick</t>
  </si>
  <si>
    <t>978-1-4744-6725-4</t>
  </si>
  <si>
    <t>Soviet Defectors</t>
  </si>
  <si>
    <t>Revelations of Renegade Intelligence Officers, 1924-1954</t>
  </si>
  <si>
    <t>Soviet Defectors E-BOOK</t>
  </si>
  <si>
    <t>Riehle, Kevin</t>
  </si>
  <si>
    <t>978-1-4744-3586-4</t>
  </si>
  <si>
    <t>Contributions to Scottish Periodicals</t>
  </si>
  <si>
    <t>Contributions to Scottish Periodicals E-BOOK</t>
  </si>
  <si>
    <t>Hogg, JamesTulloch, Graham / King, Judy</t>
  </si>
  <si>
    <t>The Stirling / South Carolina Research Edition of the Collected Works of James Hogg</t>
  </si>
  <si>
    <t>978-1-4744-1755-6</t>
  </si>
  <si>
    <t>Katherine Mansfield and Psychology</t>
  </si>
  <si>
    <t>Katherine Mansfield and Psychology E-BOOK</t>
  </si>
  <si>
    <t>Hanson, Clare / Kimber, Gerri / Martin, W. Todd</t>
  </si>
  <si>
    <t>978-1-4744-6636-3</t>
  </si>
  <si>
    <t>Cognitive Bias in Intelligence Analysis</t>
  </si>
  <si>
    <t>Testing the Analysis of Competing Hypotheses Method</t>
  </si>
  <si>
    <t>Cognitive Bias in Intelligence Analysis E-BOOK</t>
  </si>
  <si>
    <t>Whitesmith, Martha</t>
  </si>
  <si>
    <t>978-0-7486-2717-2</t>
  </si>
  <si>
    <t>Deleuze and the Contemporary World</t>
  </si>
  <si>
    <t>Deleuze and the Contemporary World E-BOOK</t>
  </si>
  <si>
    <t>Buchanan, Ian / Parr, Adrian</t>
  </si>
  <si>
    <t>978-1-4744-0035-0</t>
  </si>
  <si>
    <t>The Event Universe</t>
  </si>
  <si>
    <t>The Revisionary Metaphysics of Alfred North Whitehead</t>
  </si>
  <si>
    <t>The Event Universe E-BOOK</t>
  </si>
  <si>
    <t>McHenry, Leemon B.</t>
  </si>
  <si>
    <t>978-1-4744-4830-7</t>
  </si>
  <si>
    <t>The Films of Pablo Larraín</t>
  </si>
  <si>
    <t>Hatry, Laura</t>
  </si>
  <si>
    <t>978-1-4744-1204-9</t>
  </si>
  <si>
    <t>Christianity in Sub-Saharan Africa</t>
  </si>
  <si>
    <t>Christianity in Sub-Saharan Africa E-BOOK</t>
  </si>
  <si>
    <t xml:space="preserve">Johnson, Todd / Ross, Kenneth / Asamoah-Gyadu, J. Kwabena </t>
  </si>
  <si>
    <t>REL054000 RELIGION / Reference</t>
  </si>
  <si>
    <t>978-1-4744-6125-2</t>
  </si>
  <si>
    <t>Diplomacy Arabic</t>
  </si>
  <si>
    <t>Diplomacy Arabic E-BOOK</t>
  </si>
  <si>
    <t>Kendall, Elisabeth / Mohamed, Yehia A.</t>
  </si>
  <si>
    <t>978-1-4744-1313-8</t>
  </si>
  <si>
    <t>Contemporary Musical Film</t>
  </si>
  <si>
    <t>Contemporary Musical Film E-BOOK</t>
  </si>
  <si>
    <t>Donnelly, K. J. / Carroll, Beth</t>
  </si>
  <si>
    <t>MUS046000 MUSIC / Genres &amp; Styles / Musicals</t>
  </si>
  <si>
    <t>Edinburgh University Press Complete eBook-Package 2017 | Montana State Music Collection P&amp;C Titles</t>
  </si>
  <si>
    <t>978-0-7486-2966-4</t>
  </si>
  <si>
    <t>American Culture in the 1990s</t>
  </si>
  <si>
    <t>American Culture in the 1990s E-BOOK</t>
  </si>
  <si>
    <t>Harrison, Colin</t>
  </si>
  <si>
    <t>978-0-7486-4487-2</t>
  </si>
  <si>
    <t>Islamic Financial Services in the United Kingdom</t>
  </si>
  <si>
    <t>Islamic Financial Services in the United Kingdom E-BOOK</t>
  </si>
  <si>
    <t>978-1-4744-7233-3</t>
  </si>
  <si>
    <t>Islamic Names</t>
  </si>
  <si>
    <t>Islamic Names E-BOOK</t>
  </si>
  <si>
    <t>Schimmel, Anne-Marie</t>
  </si>
  <si>
    <t>978-0-585-44386-7</t>
  </si>
  <si>
    <t>An Historical Introduction</t>
  </si>
  <si>
    <t>Endress, Gerhard</t>
  </si>
  <si>
    <t>978-0-7486-2919-0</t>
  </si>
  <si>
    <t>Ourselves and Others</t>
  </si>
  <si>
    <t>Ourselves and Others E-BOOK</t>
  </si>
  <si>
    <t>978-0-7486-8498-4</t>
  </si>
  <si>
    <t>Plastic Sovereignties</t>
  </si>
  <si>
    <t>Agamben and the Politics of Aesthetics</t>
  </si>
  <si>
    <t>Plastic Sovereignties E-BOOK</t>
  </si>
  <si>
    <t>De Boever, Arne</t>
  </si>
  <si>
    <t>978-0-7486-7027-7</t>
  </si>
  <si>
    <t>Immigration Justice</t>
  </si>
  <si>
    <t>Immigration Justice E-BOOK</t>
  </si>
  <si>
    <t>Higgins, Peter</t>
  </si>
  <si>
    <t>978-1-4744-7353-8</t>
  </si>
  <si>
    <t>Tears of the Dead</t>
  </si>
  <si>
    <t>The Social Biography of an African Family</t>
  </si>
  <si>
    <t>Tears of the Dead E-BOOK</t>
  </si>
  <si>
    <t>Werbner, Dick</t>
  </si>
  <si>
    <t>978-1-4744-6462-8</t>
  </si>
  <si>
    <t>The New Islamic Dynasties</t>
  </si>
  <si>
    <t>A Chronological and Genealogical Manual</t>
  </si>
  <si>
    <t>The New Islamic Dynasties E-BOOK</t>
  </si>
  <si>
    <t>Bosworth, C. E.</t>
  </si>
  <si>
    <t>978-0-7486-2696-0</t>
  </si>
  <si>
    <t>Get Set for Psychology</t>
  </si>
  <si>
    <t>Get Set for Psychology E-BOOK</t>
  </si>
  <si>
    <t>Macleod, Hamish / Wright, Peter</t>
  </si>
  <si>
    <t>Psychology, other</t>
  </si>
  <si>
    <t>PSY012000 PSYCHOLOGY / Education &amp; Training</t>
  </si>
  <si>
    <t>978-0-7486-4287-8</t>
  </si>
  <si>
    <t>The Edinburgh Companion to Irvine Welsh</t>
  </si>
  <si>
    <t>The Edinburgh Companion to Irvine Welsh E-BOOK</t>
  </si>
  <si>
    <t>978-1-4744-1260-5</t>
  </si>
  <si>
    <t>Ancient Greece on British Television</t>
  </si>
  <si>
    <t>Ancient Greece on British Television E-BOOK</t>
  </si>
  <si>
    <t>Wrigley, Amanda / Hobden, Fiona</t>
  </si>
  <si>
    <t>978-1-4744-1535-4</t>
  </si>
  <si>
    <t>Social Transformations and Revolutions</t>
  </si>
  <si>
    <t>Reflections and Analyses</t>
  </si>
  <si>
    <t>Social Transformations and Revolutions E-BOOK</t>
  </si>
  <si>
    <t>Arnason, Johann P. / Hrubec, Marek</t>
  </si>
  <si>
    <t>POL020000 POLITICAL SCIENCE / American Government / State</t>
  </si>
  <si>
    <t>978-1-4744-1748-8</t>
  </si>
  <si>
    <t>Rum Seljuq Architecture, 1170-1220</t>
  </si>
  <si>
    <t>The Patronage of Sultans</t>
  </si>
  <si>
    <t>Rum Seljuq Architecture, 1170-1220 E-BOOK</t>
  </si>
  <si>
    <t>McClary, Richard P.</t>
  </si>
  <si>
    <t>978-0-7486-4353-0</t>
  </si>
  <si>
    <t>Badiou and Philosophy</t>
  </si>
  <si>
    <t>Badiou and Philosophy E-BOOK</t>
  </si>
  <si>
    <t>Bowden, Sean / Duffy, Simon</t>
  </si>
  <si>
    <t>978-0-7486-2834-6</t>
  </si>
  <si>
    <t>The Betrothed</t>
  </si>
  <si>
    <t>The Betrothed E-BOOK</t>
  </si>
  <si>
    <t>Hewitt, David</t>
  </si>
  <si>
    <t>978-1-4744-0332-0</t>
  </si>
  <si>
    <t>Scotland and the French Revolutionary War, 1792-1802</t>
  </si>
  <si>
    <t>Scotland and the French Revolutionary War, 1792-1802 E-BOOK</t>
  </si>
  <si>
    <t>Wold, Atle</t>
  </si>
  <si>
    <t>978-1-4744-5922-8</t>
  </si>
  <si>
    <t>The Kurds in Erdoğan’s Turkey</t>
  </si>
  <si>
    <t>Balancing Identity, Resistance and Citizenship</t>
  </si>
  <si>
    <t>The Kurds in Erdoğan’s Turkey E-BOOK</t>
  </si>
  <si>
    <t>Gourlay, William</t>
  </si>
  <si>
    <t>978-1-4744-7287-6</t>
  </si>
  <si>
    <t>The Collected Poems of Robert Louis Stevenson</t>
  </si>
  <si>
    <t>The Collected Poems of Robert Louis Stevenson E-BOOK</t>
  </si>
  <si>
    <t>Stevenson, R. L. / Lewis, Roger</t>
  </si>
  <si>
    <t>The Collected Works of Robert Louis Stevenson</t>
  </si>
  <si>
    <t>978-1-4744-5350-9</t>
  </si>
  <si>
    <t>Migration and Border-Making</t>
  </si>
  <si>
    <t>Reshaping Policies and Identities</t>
  </si>
  <si>
    <t>Migration and Border-Making E-BOOK</t>
  </si>
  <si>
    <t>Karolewski, Ireneusz Pawel / Sata, Robert / Roose, Jochen</t>
  </si>
  <si>
    <t>978-1-4744-3301-3</t>
  </si>
  <si>
    <t>Quentin Durward</t>
  </si>
  <si>
    <t>Quentin Durward E-BOOK</t>
  </si>
  <si>
    <t>Alexander, J. H. / Wood, G A M / Scott, Walter</t>
  </si>
  <si>
    <t>978-1-4744-7915-8</t>
  </si>
  <si>
    <t>Salafi Social and Political Movements</t>
  </si>
  <si>
    <t>National and Transnational Contexts</t>
  </si>
  <si>
    <t>Salafi Social and Political Movements E-BOOK</t>
  </si>
  <si>
    <t>Edinburgh Studies of the Globalised Muslim World</t>
  </si>
  <si>
    <t>978-1-4744-3575-8</t>
  </si>
  <si>
    <t>Coastal Cultures of the Long Nineteenth Century</t>
  </si>
  <si>
    <t>Coastal Cultures of the Long Nineteenth Century E-BOOK</t>
  </si>
  <si>
    <t xml:space="preserve">Ingleby, Matthew / Kerr, Matthew P. M. </t>
  </si>
  <si>
    <t>978-0-7486-3356-2</t>
  </si>
  <si>
    <t>An Introduction to Applied Linguistics</t>
  </si>
  <si>
    <t>From Practice to Theory</t>
  </si>
  <si>
    <t>An Introduction to Applied Linguistics E-BOOK</t>
  </si>
  <si>
    <t>978-1-4744-6174-0</t>
  </si>
  <si>
    <t>Sound Change</t>
  </si>
  <si>
    <t>Sound Change E-BOOK</t>
  </si>
  <si>
    <t>Salmons, Joseph</t>
  </si>
  <si>
    <t>978-1-4744-1545-3</t>
  </si>
  <si>
    <t>The Kingship of the Scots, 842-1292</t>
  </si>
  <si>
    <t>Succession and Independence</t>
  </si>
  <si>
    <t>The Kingship of the Scots, 842-1292 E-BOOK</t>
  </si>
  <si>
    <t>978-0-585-12260-1</t>
  </si>
  <si>
    <t>Voicing Women</t>
  </si>
  <si>
    <t>Gender and Sexuality in Early Modern Writing</t>
  </si>
  <si>
    <t>Voicing Women E-BOOK</t>
  </si>
  <si>
    <t>Hanson, Melanie / Trill, Suzanne / Chedgzoy, Kate</t>
  </si>
  <si>
    <t>978-1-4744-3350-1</t>
  </si>
  <si>
    <t>The Fair Maid of Perth</t>
  </si>
  <si>
    <t>The Fair Maid of Perth E-BOOK</t>
  </si>
  <si>
    <t>MacKenzie, D. / Scott, Walter / Hook, Andrew</t>
  </si>
  <si>
    <t>978-0-7486-3256-5</t>
  </si>
  <si>
    <t>Sonic Modernity</t>
  </si>
  <si>
    <t>Representing Sound in Literature, Culture and the Arts</t>
  </si>
  <si>
    <t>Sonic Modernity E-BOOK</t>
  </si>
  <si>
    <t>Halliday, Sam</t>
  </si>
  <si>
    <t>978-0-7486-9861-5</t>
  </si>
  <si>
    <t>Redgauntlet</t>
  </si>
  <si>
    <t>Redgauntlet E-BOOK</t>
  </si>
  <si>
    <t>Hewitt, David / Scott, Walter / Wood, G A M</t>
  </si>
  <si>
    <t>978-0-7486-8536-3</t>
  </si>
  <si>
    <t>The Invention of a People</t>
  </si>
  <si>
    <t>Heidegger and Deleuze on Art and the Political</t>
  </si>
  <si>
    <t>The Invention of a People E-BOOK</t>
  </si>
  <si>
    <t>Sholtz, Janae</t>
  </si>
  <si>
    <t>978-0-7486-3376-0</t>
  </si>
  <si>
    <t>Isfahan and its Palaces</t>
  </si>
  <si>
    <t>Statecraft, Shi`ism and the Architecture of Conviviality in Early Modern Iran</t>
  </si>
  <si>
    <t>Isfahan and its Palaces E-BOOK</t>
  </si>
  <si>
    <t>Babaie, Sussan</t>
  </si>
  <si>
    <t>978-1-4744-5032-4</t>
  </si>
  <si>
    <t>Indigenising Anthropology with Guattari and Deleuze</t>
  </si>
  <si>
    <t>Indigenising Anthropology with Guattari and Deleuze E-BOOK</t>
  </si>
  <si>
    <t>Glowczewski, Barbara</t>
  </si>
  <si>
    <t>978-0-7486-7998-0</t>
  </si>
  <si>
    <t>Onto-Cartography</t>
  </si>
  <si>
    <t>An Ontology of Machines and Media</t>
  </si>
  <si>
    <t>Onto-Cartography E-BOOK</t>
  </si>
  <si>
    <t>Bryant, Levi R.</t>
  </si>
  <si>
    <t>978-0-7486-6918-9</t>
  </si>
  <si>
    <t>Gender, Nation, and the Arabic Novel</t>
  </si>
  <si>
    <t>Egypt, 1892-2008</t>
  </si>
  <si>
    <t>Gender, Nation, and the Arabic Novel E-BOOK</t>
  </si>
  <si>
    <t>Elsadda, Hoda</t>
  </si>
  <si>
    <t>978-1-4744-6454-3</t>
  </si>
  <si>
    <t>Deleuze and Geophilosophy</t>
  </si>
  <si>
    <t>A Guide and Glossary</t>
  </si>
  <si>
    <t>Deleuze and Geophilosophy E-BOOK</t>
  </si>
  <si>
    <t>Bonta, Mark / Protevi, John</t>
  </si>
  <si>
    <t>978-0-7486-4623-4</t>
  </si>
  <si>
    <t>Analogy and Morphological Change</t>
  </si>
  <si>
    <t>Analogy and Morphological Change E-BOOK</t>
  </si>
  <si>
    <t>Fertig, David</t>
  </si>
  <si>
    <t>978-0-7486-3461-3</t>
  </si>
  <si>
    <t>Medieval Literature 1300-1500</t>
  </si>
  <si>
    <t>Medieval Literature 1300-1500 E-BOOK</t>
  </si>
  <si>
    <t>King, Pamela</t>
  </si>
  <si>
    <t>978-1-4744-1745-7</t>
  </si>
  <si>
    <t>Conspiracy in Modern Egyptian Literature</t>
  </si>
  <si>
    <t>Conspiracy in Modern Egyptian Literature E-BOOK</t>
  </si>
  <si>
    <t>Koerber, Benjamin</t>
  </si>
  <si>
    <t>978-1-4744-2950-4</t>
  </si>
  <si>
    <t>The Films of Francis Veber</t>
  </si>
  <si>
    <t>Corson, Keith</t>
  </si>
  <si>
    <t>978-1-4744-6765-0</t>
  </si>
  <si>
    <t>The Responsibility to Understand</t>
  </si>
  <si>
    <t>Hermeneutical Contours of Ethical Life</t>
  </si>
  <si>
    <t>The Responsibility to Understand E-BOOK</t>
  </si>
  <si>
    <t>George, Theodore</t>
  </si>
  <si>
    <t>978-0-585-44521-2</t>
  </si>
  <si>
    <t>Death in Abeyance</t>
  </si>
  <si>
    <t>Illness and Therapy among the Tabwa of Central Africa</t>
  </si>
  <si>
    <t>Death in Abeyance E-BOOK</t>
  </si>
  <si>
    <t>Davis, Christopher</t>
  </si>
  <si>
    <t>978-1-4744-5845-0</t>
  </si>
  <si>
    <t>Contemporary Balkan Cinema</t>
  </si>
  <si>
    <t>Transnational Exchanges and Global Circuits</t>
  </si>
  <si>
    <t>Contemporary Balkan Cinema E-BOOK</t>
  </si>
  <si>
    <t>Papadimitriou, Lydia / Grgić, Ana</t>
  </si>
  <si>
    <t>978-1-4744-7329-3</t>
  </si>
  <si>
    <t>Jazz in American Culture</t>
  </si>
  <si>
    <t>Jazz in American Culture E-BOOK</t>
  </si>
  <si>
    <t>Townsend, Peter</t>
  </si>
  <si>
    <t>MUS025000 MUSIC / Genres &amp; Styles / Jazz</t>
  </si>
  <si>
    <t>978-0-7486-7576-0</t>
  </si>
  <si>
    <t>Social Interaction and Teacher Cognition</t>
  </si>
  <si>
    <t>Social Interaction and Teacher Cognition E-BOOK</t>
  </si>
  <si>
    <t>Li, Li</t>
  </si>
  <si>
    <t>978-0-7486-4240-3</t>
  </si>
  <si>
    <t>Deleuze and Contemporary Art</t>
  </si>
  <si>
    <t>Deleuze and Contemporary Art E-BOOK</t>
  </si>
  <si>
    <t>Zepke, Stephen / O'Sullivan, Simon</t>
  </si>
  <si>
    <t>978-1-4744-2115-7</t>
  </si>
  <si>
    <t>Continental Realism and Its Discontents</t>
  </si>
  <si>
    <t>Continental Realism and Its Discontents E-BOOK</t>
  </si>
  <si>
    <t>Morin, Marie-Eve</t>
  </si>
  <si>
    <t>978-1-4744-7069-8</t>
  </si>
  <si>
    <t>Deleuze and Science</t>
  </si>
  <si>
    <t>Paragraph Volume 29 Number 2</t>
  </si>
  <si>
    <t>Deleuze and Science E-BOOK</t>
  </si>
  <si>
    <t>Marks, John</t>
  </si>
  <si>
    <t>978-1-4744-6587-8</t>
  </si>
  <si>
    <t>Katherine Mansfield and the Fantastic</t>
  </si>
  <si>
    <t>Katherine Mansfield Studies, Volume 4</t>
  </si>
  <si>
    <t>Katherine Mansfield and the Fantastic E-BOOK</t>
  </si>
  <si>
    <t>da Sousa Correa, Delia / Kimber, Gerri / Reid, Susan</t>
  </si>
  <si>
    <t>978-0-7486-3177-3</t>
  </si>
  <si>
    <t>Beyond Dogmatics</t>
  </si>
  <si>
    <t>Beyond Dogmatics E-BOOK</t>
  </si>
  <si>
    <t>978-0-7486-3065-3</t>
  </si>
  <si>
    <t>Modern Transformations: New Identities (from 1918)</t>
  </si>
  <si>
    <t>20</t>
  </si>
  <si>
    <t>978-0-7486-3049-3</t>
  </si>
  <si>
    <t>The Ethics of Peacebuilding</t>
  </si>
  <si>
    <t>The Ethics of Peacebuilding E-BOOK</t>
  </si>
  <si>
    <t>Murithi, Tim</t>
  </si>
  <si>
    <t>POL034000 POLITICAL SCIENCE / Peace</t>
  </si>
  <si>
    <t>978-0-7486-8479-3</t>
  </si>
  <si>
    <t>The Democratic Intellect</t>
  </si>
  <si>
    <t>Scotland and her Universities in the Nineteenth Century: Edinburgh Classic Editions</t>
  </si>
  <si>
    <t>The Democratic Intellect E-BOOK</t>
  </si>
  <si>
    <t>Paterson, Lindsay / Davie, George / Gunn, Richard</t>
  </si>
  <si>
    <t>978-0-7486-8127-3</t>
  </si>
  <si>
    <t>Ideology, Rhetoric, Aesthetics</t>
  </si>
  <si>
    <t>For de Man</t>
  </si>
  <si>
    <t>Ideology, Rhetoric, Aesthetics E-BOOK</t>
  </si>
  <si>
    <t>978-0-7486-9164-7</t>
  </si>
  <si>
    <t>Language and Logics</t>
  </si>
  <si>
    <t>An Introduction to the Logical Foundations of Language</t>
  </si>
  <si>
    <t>Language and Logics E-BOOK</t>
  </si>
  <si>
    <t>Gregory, Howard</t>
  </si>
  <si>
    <t>978-1-4744-2513-1</t>
  </si>
  <si>
    <t>Mother Homer is Dead</t>
  </si>
  <si>
    <t>Mother Homer is Dead E-BOOK</t>
  </si>
  <si>
    <t>Cixous, Hélène / Kamuf, Peggy</t>
  </si>
  <si>
    <t>978-0-7486-3406-4</t>
  </si>
  <si>
    <t>Deleuze and Queer Theory</t>
  </si>
  <si>
    <t>Deleuze and Queer Theory E-BOOK</t>
  </si>
  <si>
    <t>Nigianni, Chrysanthi / Storr, Merl</t>
  </si>
  <si>
    <t>978-1-4744-4305-0</t>
  </si>
  <si>
    <t>Resisting Militarism</t>
  </si>
  <si>
    <t>Direct Action and the Politics of Subversion</t>
  </si>
  <si>
    <t>Resisting Militarism E-BOOK</t>
  </si>
  <si>
    <t>Rossdale, Chris</t>
  </si>
  <si>
    <t>978-0-7486-3165-0</t>
  </si>
  <si>
    <t>Modernism and Magic</t>
  </si>
  <si>
    <t>Experiments with Spiritualism, Theosophy and the Occult</t>
  </si>
  <si>
    <t>Modernism and Magic E-BOOK</t>
  </si>
  <si>
    <t>978-1-4744-7153-4</t>
  </si>
  <si>
    <t>Teaching Literature in a Second Language</t>
  </si>
  <si>
    <t>Teaching Literature in a Second Language E-BOOK</t>
  </si>
  <si>
    <t>Parkinson, Brian / Reid Thomas, Helen</t>
  </si>
  <si>
    <t>978-0-7486-2669-4</t>
  </si>
  <si>
    <t>Democracy in Britain</t>
  </si>
  <si>
    <t>Democracy in Britain E-BOOK</t>
  </si>
  <si>
    <t>Cole, Matt</t>
  </si>
  <si>
    <t>978-0-7486-7325-4</t>
  </si>
  <si>
    <t>Thomas Hardy's Legal Fictions</t>
  </si>
  <si>
    <t>Thomas Hardy's Legal Fictions E-BOOK</t>
  </si>
  <si>
    <t>Ferguson, Trish</t>
  </si>
  <si>
    <t>978-1-4744-5082-9</t>
  </si>
  <si>
    <t>The Edinburgh Critical History of Middle Ages and Renaissance Philosophy</t>
  </si>
  <si>
    <t>The Edinburgh Critical History of Middle Ages and Ren E-BOOK</t>
  </si>
  <si>
    <t>LaZella, Andrew / Lee Jr., Richard A.</t>
  </si>
  <si>
    <t>The Edinburgh Critical History of Philosophy</t>
  </si>
  <si>
    <t>978-1-4744-0164-7</t>
  </si>
  <si>
    <t>The Edinburgh Companion to the First World War and the Arts</t>
  </si>
  <si>
    <t>The Edinburgh Companion to the First World War and th E-BOOK</t>
  </si>
  <si>
    <t>Einhaus, Ann-Marie / Baxter, Katherine Isobel</t>
  </si>
  <si>
    <t>Edinburgh Companions to Literature and the Humanities</t>
  </si>
  <si>
    <t>978-0-7486-3188-9</t>
  </si>
  <si>
    <t>Pursuing the Good</t>
  </si>
  <si>
    <t>Ethics and Metaphysics in Plato's Republic</t>
  </si>
  <si>
    <t>Pursuing the Good E-BOOK</t>
  </si>
  <si>
    <t>Penner, Terrence / Cairns, Douglas / Herrmann, Fritz-Gregor</t>
  </si>
  <si>
    <t>978-1-4744-0529-4</t>
  </si>
  <si>
    <t>The Edinburgh Companion to T. S. Eliot and the Arts</t>
  </si>
  <si>
    <t>The Edinburgh Companion to T. S. Eliot and the Arts E-BOOK</t>
  </si>
  <si>
    <t>Dickey, Frances / Morgenstern, John D.</t>
  </si>
  <si>
    <t>978-1-4744-5166-6</t>
  </si>
  <si>
    <t>Transcendent God, Rational World</t>
  </si>
  <si>
    <t>A Maturidi Theology</t>
  </si>
  <si>
    <t>Transcendent God, Rational World E-BOOK</t>
  </si>
  <si>
    <t>Harvey, Ramon</t>
  </si>
  <si>
    <t>Edinburgh Studies in Islamic Scripture and Theology</t>
  </si>
  <si>
    <t>978-0-7486-2862-9</t>
  </si>
  <si>
    <t>From Columba to the Union (until 1707)</t>
  </si>
  <si>
    <t>10</t>
  </si>
  <si>
    <t>978-1-4744-6793-3</t>
  </si>
  <si>
    <t>Jacobean Civic Pageants</t>
  </si>
  <si>
    <t>Jacobean Civic Pageants E-BOOK</t>
  </si>
  <si>
    <t>Dutton, Richard</t>
  </si>
  <si>
    <t>978-1-4744-2444-8</t>
  </si>
  <si>
    <t>Walter Scott, Shorter Poems</t>
  </si>
  <si>
    <t>Walter Scott, Shorter Poems E-BOOK</t>
  </si>
  <si>
    <t>Hughes, Gillian / Scott, Walter / Garside, P. D.</t>
  </si>
  <si>
    <t>978-0-7486-3007-3</t>
  </si>
  <si>
    <t>Media Discourse</t>
  </si>
  <si>
    <t>Representation and Interaction</t>
  </si>
  <si>
    <t>Media Discourse E-BOOK</t>
  </si>
  <si>
    <t>Talbot, Mary</t>
  </si>
  <si>
    <t>978-1-4744-0584-3</t>
  </si>
  <si>
    <t>Gilles Deleuze's Empiricism and Subjectivity</t>
  </si>
  <si>
    <t>Gilles Deleuze's Empiricism and Subjectivity E-BOOK</t>
  </si>
  <si>
    <t>Roffe, Jon</t>
  </si>
  <si>
    <t>978-1-4744-3347-1</t>
  </si>
  <si>
    <t>The Black Dwarf</t>
  </si>
  <si>
    <t>The Black Dwarf E-BOOK</t>
  </si>
  <si>
    <t>978-1-4744-6849-7</t>
  </si>
  <si>
    <t>Translation and Literature 1</t>
  </si>
  <si>
    <t>Translation and Literature 1 E-BOOK</t>
  </si>
  <si>
    <t>Gillespie, Stuart</t>
  </si>
  <si>
    <t>Translation and Literature</t>
  </si>
  <si>
    <t>978-1-4744-3955-8</t>
  </si>
  <si>
    <t>Sensation Drama, 1860–1880</t>
  </si>
  <si>
    <t>Sensation Drama, 1860–1880 E-BOOK</t>
  </si>
  <si>
    <t>Hofer-Robinson, Joanna / Palmer, Beth</t>
  </si>
  <si>
    <t>978-0-7486-9735-9</t>
  </si>
  <si>
    <t>Shakespeare's Fugitive Politics</t>
  </si>
  <si>
    <t>Shakespeare's Fugitive Politics E-BOOK</t>
  </si>
  <si>
    <t>Anderson, Thomas P.</t>
  </si>
  <si>
    <t>Edinburgh Critical Studies in Shakespeare and Philosophy</t>
  </si>
  <si>
    <t>978-1-4744-4048-6</t>
  </si>
  <si>
    <t>Muslim-Christian Polemics in Safavid Iran</t>
  </si>
  <si>
    <t>Muslim-Christian Polemics in Safavid Iran E-BOOK</t>
  </si>
  <si>
    <t>Tiburcio, Alberto</t>
  </si>
  <si>
    <t>978-1-4744-2475-2</t>
  </si>
  <si>
    <t>The Edinburgh Companion to Contemporary Narrative Theories</t>
  </si>
  <si>
    <t>The Edinburgh Companion to Contemporary Narrative The E-BOOK</t>
  </si>
  <si>
    <t xml:space="preserve">Dinnen, Zara / Warhol, Robyn </t>
  </si>
  <si>
    <t>978-1-4744-3733-2</t>
  </si>
  <si>
    <t>Constructing Presidential Legacy</t>
  </si>
  <si>
    <t>How We Remember the American President</t>
  </si>
  <si>
    <t>Constructing Presidential Legacy E-BOOK</t>
  </si>
  <si>
    <t>Cullinane, Michael Patrick / Ellis, Sylvia</t>
  </si>
  <si>
    <t>978-1-4744-3959-6</t>
  </si>
  <si>
    <t>Shakespeare and the Truth-Teller</t>
  </si>
  <si>
    <t>Confronting the Cynic Ideal</t>
  </si>
  <si>
    <t>Shakespeare and the Truth-Teller E-BOOK</t>
  </si>
  <si>
    <t>Hershinow, David</t>
  </si>
  <si>
    <t>978-1-4744-3298-6</t>
  </si>
  <si>
    <t>Contributions to Musical Collections and Miscellaneous Songs</t>
  </si>
  <si>
    <t>Contributions to Musical Collections and Miscellaneou E-BOOK</t>
  </si>
  <si>
    <t>Hogg, James / McCue, Kirsteen</t>
  </si>
  <si>
    <t>978-0-7486-9108-1</t>
  </si>
  <si>
    <t>Film Noir</t>
  </si>
  <si>
    <t>Film Noir E-BOOK</t>
  </si>
  <si>
    <t>978-1-4744-8175-5</t>
  </si>
  <si>
    <t>Liminal Whiteness in Early US Fiction</t>
  </si>
  <si>
    <t>Liminal Whiteness in Early US Fiction E-BOOK</t>
  </si>
  <si>
    <t>Murray, Hannah Lauren</t>
  </si>
  <si>
    <t>Interventions in Nineteenth-Century American Literature and Culture</t>
  </si>
  <si>
    <t>978-1-4744-5315-8</t>
  </si>
  <si>
    <t>Contested Liberalisms</t>
  </si>
  <si>
    <t>Martineau, Dickens and the Victorian Press</t>
  </si>
  <si>
    <t>Contested Liberalisms E-BOOK</t>
  </si>
  <si>
    <t>Crawford, Iain</t>
  </si>
  <si>
    <t>978-1-4744-4173-5</t>
  </si>
  <si>
    <t>The Origins of English Revenge Tragedy</t>
  </si>
  <si>
    <t>The Origins of English Revenge Tragedy E-BOOK</t>
  </si>
  <si>
    <t>Oppitz-Trotman, George</t>
  </si>
  <si>
    <t>978-0-7486-2683-0</t>
  </si>
  <si>
    <t>Get Set for Religious Studies</t>
  </si>
  <si>
    <t>Get Set for Religious Studies E-BOOK</t>
  </si>
  <si>
    <t>Corrywright, Dominic / Morgan, Peggy</t>
  </si>
  <si>
    <t>978-0-7486-3650-1</t>
  </si>
  <si>
    <t>The Edinburgh Companion to Robert Burns</t>
  </si>
  <si>
    <t>The Edinburgh Companion to Robert Burns E-BOOK</t>
  </si>
  <si>
    <t>978-1-4744-3996-1</t>
  </si>
  <si>
    <t>The Films of Barbara Kopple</t>
  </si>
  <si>
    <t>Jaeckle, Jeff / Ryan, Susan</t>
  </si>
  <si>
    <t>978-0-7486-2978-7</t>
  </si>
  <si>
    <t>A Glossary of Political Theory</t>
  </si>
  <si>
    <t>A Glossary of Political Theory E-BOOK</t>
  </si>
  <si>
    <t>Hoffman, John</t>
  </si>
  <si>
    <t>978-0-7486-9744-1</t>
  </si>
  <si>
    <t>Russian Speakers in Post-Soviet Latvia</t>
  </si>
  <si>
    <t>Discursive Identity Strategies</t>
  </si>
  <si>
    <t>Russian Speakers in Post-Soviet Latvia E-BOOK</t>
  </si>
  <si>
    <t>Cheskin, Ammon</t>
  </si>
  <si>
    <t>978-0-7486-4630-2</t>
  </si>
  <si>
    <t>Difficult Atheism</t>
  </si>
  <si>
    <t>Post-Theological Thinking in Alain Badiou, Jean-Luc Nancy and Quentin Meillassoux</t>
  </si>
  <si>
    <t>Difficult Atheism E-BOOK</t>
  </si>
  <si>
    <t>978-1-4744-7884-7</t>
  </si>
  <si>
    <t>Photography Off the Scale</t>
  </si>
  <si>
    <t>Technologies and Theories of the Mass Image</t>
  </si>
  <si>
    <t>Photography Off the Scale E-BOOK</t>
  </si>
  <si>
    <t>Dvořák, Tomáš / Parikka, Jussi</t>
  </si>
  <si>
    <t>ART046000 ART / Digital</t>
  </si>
  <si>
    <t>978-1-4744-6670-7</t>
  </si>
  <si>
    <t>Deleuze in Children's Literature</t>
  </si>
  <si>
    <t>Deleuze in Children's Literature E-BOOK</t>
  </si>
  <si>
    <t>Newland, Jane</t>
  </si>
  <si>
    <t>Edinburgh University Press Archive Placeholder Pre-2000</t>
  </si>
  <si>
    <t>Edinburgh University Press eBook Placeholder 2016</t>
  </si>
  <si>
    <t>978-1-4744-0005-3</t>
  </si>
  <si>
    <t>The Edinburgh Companion to the Critical Medical Humanities</t>
  </si>
  <si>
    <t>The Edinburgh Companion to the Critical Medical Human E-BOOK</t>
  </si>
  <si>
    <t>Woods, Angela / Whitehead, Anne / Atkinson, Sarah</t>
  </si>
  <si>
    <t>978-1-4744-5012-6</t>
  </si>
  <si>
    <t>Criminality and the Common Law Imagination in the 18th and 19th Centuries</t>
  </si>
  <si>
    <t>Criminality and the Common Law Imagination in the 18t E-BOOK</t>
  </si>
  <si>
    <t>Sheley, Erin</t>
  </si>
  <si>
    <t>Edinburgh Critical Studies in Law, Literature and the Humanities</t>
  </si>
  <si>
    <t>Edinburgh University Press Complete eBook-Package 2020 | UC Berkeley Law P&amp;C 2024 | UC Irvine 2024 Law P&amp;C | Yale P&amp;C Law Package 2023</t>
  </si>
  <si>
    <t>978-1-4744-5663-0</t>
  </si>
  <si>
    <t>The Edinburgh Companion to D. H. Lawrence and the Arts</t>
  </si>
  <si>
    <t>The Edinburgh Companion to D. H. Lawrence and the Art E-BOOK</t>
  </si>
  <si>
    <t>Brown, Catherine / Reid, Susan</t>
  </si>
  <si>
    <t>978-1-4744-5595-4</t>
  </si>
  <si>
    <t>Outlaws and Spies</t>
  </si>
  <si>
    <t>Legal Exclusion in Law and Literature</t>
  </si>
  <si>
    <t>Outlaws and Spies E-BOOK</t>
  </si>
  <si>
    <t>Edinburgh University Press Complete eBook-Package 2020 | UC Berkeley Law P&amp;C 2024 | Yale P&amp;C Law Package 2023</t>
  </si>
  <si>
    <t>978-1-4744-2322-9</t>
  </si>
  <si>
    <t>Conquered Populations in Early Islam</t>
  </si>
  <si>
    <t>Non-Arabs, Slaves and the Sons of Slave Mothers</t>
  </si>
  <si>
    <t>Conquered Populations in Early Islam E-BOOK</t>
  </si>
  <si>
    <t>Urban, Elizabeth</t>
  </si>
  <si>
    <t>Edinburgh Studies in Classical Islamic History and Culture</t>
  </si>
  <si>
    <t>978-0-7486-3050-9</t>
  </si>
  <si>
    <t>Contributions to Blackwood's Edinburgh Magazine</t>
  </si>
  <si>
    <t>Volume 1, 1817-1828</t>
  </si>
  <si>
    <t>Contributions to Blackwood's Edinburgh Magazine E-BOOK</t>
  </si>
  <si>
    <t>Hogg, James / Richardson, Thomas</t>
  </si>
  <si>
    <t>978-0-7486-9422-8</t>
  </si>
  <si>
    <t>The Popularisation of Sufism in Ayyubid and Mamluk Egypt, 1173-1325</t>
  </si>
  <si>
    <t>The Popularisation of Sufism in Ayyubid and Mamluk Eg E-BOOK</t>
  </si>
  <si>
    <t>Hofer, Nathan</t>
  </si>
  <si>
    <t>978-1-4744-1839-3</t>
  </si>
  <si>
    <t>Is Shylock Jewish?</t>
  </si>
  <si>
    <t>Citing Scripture and the Moral Agency of Shakespeare's Jews</t>
  </si>
  <si>
    <t>Is Shylock Jewish? E-BOOK</t>
  </si>
  <si>
    <t>Coodin, Sara</t>
  </si>
  <si>
    <t>DRA008000 DRAMA / Religious &amp; Liturgical</t>
  </si>
  <si>
    <t>978-1-4744-4325-8</t>
  </si>
  <si>
    <t>Maxwell Gray, The Silence of Dean Maitland</t>
  </si>
  <si>
    <t>Maxwell Gray, The Silence of Dean Maitland E-BOOK</t>
  </si>
  <si>
    <t>Gray, Maxwell / Wolfreys, Julian</t>
  </si>
  <si>
    <t>978-1-4744-2441-7</t>
  </si>
  <si>
    <t>The Edinburgh Companion to Anthony Trollope</t>
  </si>
  <si>
    <t>The Edinburgh Companion to Anthony Trollope E-BOOK</t>
  </si>
  <si>
    <t>Graef, Ortwin / Van Dam, Frederik  / Skilton, David</t>
  </si>
  <si>
    <t>978-1-4744-4090-5</t>
  </si>
  <si>
    <t>Agriculture and the Land</t>
  </si>
  <si>
    <t>Richard Jefferies' Essays and Letters</t>
  </si>
  <si>
    <t>Agriculture and the Land E-BOOK</t>
  </si>
  <si>
    <t>Welshman, Rebecca</t>
  </si>
  <si>
    <t>978-1-4744-5712-5</t>
  </si>
  <si>
    <t>Immateriality and Early Modern English Literature</t>
  </si>
  <si>
    <t>Shakespeare, Donne, Herbert</t>
  </si>
  <si>
    <t>Immateriality and Early Modern English Literature E-BOOK</t>
  </si>
  <si>
    <t>Knapp, James A.</t>
  </si>
  <si>
    <t>978-1-4744-3382-2</t>
  </si>
  <si>
    <t>Winter Evening Tales</t>
  </si>
  <si>
    <t>Winter Evening Tales E-BOOK</t>
  </si>
  <si>
    <t>Hogg, James / Duncan, Ian</t>
  </si>
  <si>
    <t>978-1-4744-1146-2</t>
  </si>
  <si>
    <t>Second Death</t>
  </si>
  <si>
    <t>Theatricalities of the Soul in Shakespeare's Drama</t>
  </si>
  <si>
    <t>Second Death E-BOOK</t>
  </si>
  <si>
    <t>Sherman, Donovan</t>
  </si>
  <si>
    <t>978-1-4744-5926-6</t>
  </si>
  <si>
    <t>The Administration of Justice in Medieval Egypt</t>
  </si>
  <si>
    <t>From the 7th to the 12th Century</t>
  </si>
  <si>
    <t>The Administration of Justice in Medieval Egypt E-BOOK</t>
  </si>
  <si>
    <t>Lev, Yaacov</t>
  </si>
  <si>
    <t>978-1-4744-7910-3</t>
  </si>
  <si>
    <t>Volume 2, 1829-1835</t>
  </si>
  <si>
    <t>978-1-4744-4028-8</t>
  </si>
  <si>
    <t>Revenge Tragedy and Classical Philosophy on the Early Modern Stage</t>
  </si>
  <si>
    <t>Revenge Tragedy and Classical Philosophy on the Early E-BOOK</t>
  </si>
  <si>
    <t>Crosbie, Christopher</t>
  </si>
  <si>
    <t>978-1-4744-8636-1</t>
  </si>
  <si>
    <t>The Body in Arabic Love Poetry</t>
  </si>
  <si>
    <t>The ‘Udhri Tradition</t>
  </si>
  <si>
    <t>The Body in Arabic Love Poetry E-BOOK</t>
  </si>
  <si>
    <t>Alharthi, Jokha</t>
  </si>
  <si>
    <t>978-0-7486-3524-5</t>
  </si>
  <si>
    <t>The Edinburgh Companion to Shakespeare and the Arts</t>
  </si>
  <si>
    <t>The Edinburgh Companion to Shakespeare and the Arts E-BOOK</t>
  </si>
  <si>
    <t>Thornton Burnett, Mark / Streete, Adrian / Wray, Ramona</t>
  </si>
  <si>
    <t>978-0-7486-9293-4</t>
  </si>
  <si>
    <t>The Edinburgh Companion to Nineteenth-Century American Letters and Letter-Writing</t>
  </si>
  <si>
    <t>The Edinburgh Companion to Nineteenth-Century America E-BOOK</t>
  </si>
  <si>
    <t>Pethers, Matthew / Bernier, Celeste-Marie / Newman, Judie</t>
  </si>
  <si>
    <t>978-1-4744-1842-3</t>
  </si>
  <si>
    <t>The Edinburgh Companion to Animal Studies</t>
  </si>
  <si>
    <t>The Edinburgh Companion to Animal Studies E-BOOK</t>
  </si>
  <si>
    <t>Broglio, Ron / Turner, Lynn / Sellbach, Undine</t>
  </si>
  <si>
    <t>978-0-7486-9907-0</t>
  </si>
  <si>
    <t>Islam, Christianity and the Realms of the Miraculous</t>
  </si>
  <si>
    <t>Islam, Christianity and the Realms of the Miraculous E-BOOK</t>
  </si>
  <si>
    <t>978-1-4744-0240-8</t>
  </si>
  <si>
    <t>Richard Jefferies, After London; or Wild England</t>
  </si>
  <si>
    <t>Richard Jefferies, After London; or Wild England E-BOOK</t>
  </si>
  <si>
    <t>Frost, Mark / Jefferies, Richard</t>
  </si>
  <si>
    <t>978-1-4744-3303-7</t>
  </si>
  <si>
    <t>Songs by the Ettrick Shepherd</t>
  </si>
  <si>
    <t>Songs by the Ettrick Shepherd E-BOOK</t>
  </si>
  <si>
    <t>978-0-7486-8957-6</t>
  </si>
  <si>
    <t>Anthropomorphism in Islam</t>
  </si>
  <si>
    <t>The Challenge of Traditionalism (700-1350)</t>
  </si>
  <si>
    <t>Anthropomorphism in Islam E-BOOK</t>
  </si>
  <si>
    <t>Holtzman, Livnat</t>
  </si>
  <si>
    <t>978-1-4744-7179-4</t>
  </si>
  <si>
    <t>The Edinburgh Companion to the Bible and the Arts</t>
  </si>
  <si>
    <t>The Edinburgh Companion to the Bible and the Arts E-BOOK</t>
  </si>
  <si>
    <t>Prickett, Stephen</t>
  </si>
  <si>
    <t>978-1-4744-5091-1</t>
  </si>
  <si>
    <t>The Kharijites in Early Islamic Historical Tradition</t>
  </si>
  <si>
    <t>The Kharijites in Early Islamic Historical Tradition E-BOOK</t>
  </si>
  <si>
    <t>Hagemann, Hannah-Lena</t>
  </si>
  <si>
    <t>978-0-7486-3553-5</t>
  </si>
  <si>
    <t>The Edinburgh Companion to Virginia Woolf and the Arts</t>
  </si>
  <si>
    <t>The Edinburgh Companion to Virginia Woolf and the Art E-BOOK</t>
  </si>
  <si>
    <t>978-1-4744-5532-9</t>
  </si>
  <si>
    <t>Earthbound</t>
  </si>
  <si>
    <t>The Aesthetics of Sovereignty in the Anthropocene</t>
  </si>
  <si>
    <t>Earthbound E-BOOK</t>
  </si>
  <si>
    <t>Matthews, Daniel</t>
  </si>
  <si>
    <t>EBOOK PACKAGE COMPLETE 2022 | EBOOK PACKAGE COMPLETE 2022 English | EBOOK PACKAGE Law 2022 | EBOOK PACKAGE Law 2022 English | Edinburgh University Press Complete eBook-Package 2021 | UC Berkeley Law P&amp;C 2024 | UC Irvine 2024 Law P&amp;C | Yale P&amp;C Law Package 2023</t>
  </si>
  <si>
    <t>978-1-4744-2854-5</t>
  </si>
  <si>
    <t>Conceiving Desire in Lyly and Shakespeare</t>
  </si>
  <si>
    <t>Metaphor, Cognition and Eros</t>
  </si>
  <si>
    <t>Conceiving Desire in Lyly and Shakespeare E-BOOK</t>
  </si>
  <si>
    <t>Knoll, Gillian</t>
  </si>
  <si>
    <t>978-1-4744-5339-4</t>
  </si>
  <si>
    <t>The Abbasid Caliphate of Cairo, 1261-1517</t>
  </si>
  <si>
    <t>Out of the Shadows</t>
  </si>
  <si>
    <t>The Abbasid Caliphate of Cairo, 1261-1517 E-BOOK</t>
  </si>
  <si>
    <t>Banister, Mustafa</t>
  </si>
  <si>
    <t>978-1-4744-7930-1</t>
  </si>
  <si>
    <t>The Last Muslim Intellectual</t>
  </si>
  <si>
    <t>The Life and Legacy of Jalal Al-e Ahmad</t>
  </si>
  <si>
    <t>The Last Muslim Intellectual E-BOOK</t>
  </si>
  <si>
    <t>Dabashi, Hamid</t>
  </si>
  <si>
    <t>978-1-4744-2918-4</t>
  </si>
  <si>
    <t>The Edinburgh Companion to Ezra Pound and the Arts</t>
  </si>
  <si>
    <t>The Edinburgh Companion to Ezra Pound and the Arts E-BOOK</t>
  </si>
  <si>
    <t>Preda, Roxana</t>
  </si>
  <si>
    <t>978-0-7486-2710-3</t>
  </si>
  <si>
    <t>The Edinburgh Companion to Twentieth-Century Literatures in English</t>
  </si>
  <si>
    <t>The Edinburgh Companion to Twentieth-Century Literatu E-BOOK</t>
  </si>
  <si>
    <t>McHale, Brian / Stevenson, Randall</t>
  </si>
  <si>
    <t>978-1-4744-6275-4</t>
  </si>
  <si>
    <t>The Edinburgh Companion to the Prose Poem</t>
  </si>
  <si>
    <t>The Edinburgh Companion to the Prose Poem E-BOOK</t>
  </si>
  <si>
    <t>Delville, Michel / Caws, Mary Ann</t>
  </si>
  <si>
    <t>978-0-7486-4385-1</t>
  </si>
  <si>
    <t>Essays I</t>
  </si>
  <si>
    <t>Virginibus Puerisque and Other Papers</t>
  </si>
  <si>
    <t>Essays I E-BOOK</t>
  </si>
  <si>
    <t>Stevenson, R. L. / Abrahamson, Robert-Louis</t>
  </si>
  <si>
    <t>The New Edinburgh Edition of the Collected Works of Robert Louis Stevenson</t>
  </si>
  <si>
    <t>978-1-4744-4348-7</t>
  </si>
  <si>
    <t>Jane Porter, Thaddeus of Warsaw</t>
  </si>
  <si>
    <t>A Novel</t>
  </si>
  <si>
    <t>Jane Porter, Thaddeus of Warsaw E-BOOK</t>
  </si>
  <si>
    <t>Knezevich, Ruth / Porter, Jane / McLean, Thomas</t>
  </si>
  <si>
    <t>978-1-4744-7097-1</t>
  </si>
  <si>
    <t>The Politics of Toleration</t>
  </si>
  <si>
    <t>Tolerance and Intolerance in Modern Life</t>
  </si>
  <si>
    <t>The Politics of Toleration E-BOOK</t>
  </si>
  <si>
    <t>Mendus, Susan</t>
  </si>
  <si>
    <t>978-0-7486-3143-8</t>
  </si>
  <si>
    <t>Literature of the 1920s</t>
  </si>
  <si>
    <t>Writers Among the Ruins: Volume 3</t>
  </si>
  <si>
    <t>Literature of the 1920s E-BOOK</t>
  </si>
  <si>
    <t>Baldick, Chris</t>
  </si>
  <si>
    <t>The Edinburgh History of Twentieth-Century Literature in Britain</t>
  </si>
  <si>
    <t>978-1-4744-6264-8</t>
  </si>
  <si>
    <t>Age of Rogues</t>
  </si>
  <si>
    <t>Rebels, Revolutionaries and Racketeers at the Frontiers of Empires</t>
  </si>
  <si>
    <t>Age of Rogues E-BOOK</t>
  </si>
  <si>
    <t>Hakkı Öztan, Ramazan / Yenen, Alp</t>
  </si>
  <si>
    <t>HIS055000 HISTORY / Middle East / Turkey &amp; Ottoman Empire</t>
  </si>
  <si>
    <t>978-1-4744-5610-4</t>
  </si>
  <si>
    <t>Some Passages in the Life of Mr Adam Blair, Minister of the Gospel at Cross-Meikle</t>
  </si>
  <si>
    <t>Some Passages in the Life of Mr Adam Blair, Minister  E-BOOK</t>
  </si>
  <si>
    <t>Lockhart, John Gibson / Richardson, Thomas C.</t>
  </si>
  <si>
    <t>The Edinburgh Critical Edition of the Works of John Gibson Lockhart</t>
  </si>
  <si>
    <t>978-1-4744-2165-2</t>
  </si>
  <si>
    <t>Beckett's Breath</t>
  </si>
  <si>
    <t>Anti-Theatricality and the Visual Arts</t>
  </si>
  <si>
    <t>Beckett's Breath E-BOOK</t>
  </si>
  <si>
    <t>Goudouna, Sozita</t>
  </si>
  <si>
    <t>Edinburgh Critical Studies in Modernism, Drama and Performance</t>
  </si>
  <si>
    <t>978-1-4744-4837-6</t>
  </si>
  <si>
    <t>Hubert Crackanthorpe, Wreckage</t>
  </si>
  <si>
    <t>Seven Studies</t>
  </si>
  <si>
    <t>Hubert Crackanthorpe, Wreckage E-BOOK</t>
  </si>
  <si>
    <t>Malcolm, David</t>
  </si>
  <si>
    <t>978-1-4744-5086-7</t>
  </si>
  <si>
    <t>Remapping Persian Literary History, 1700-1900</t>
  </si>
  <si>
    <t>Remapping Persian Literary History, 1700-1900 E-BOOK</t>
  </si>
  <si>
    <t>Schwartz, Kevin L.</t>
  </si>
  <si>
    <t>978-0-7486-6850-2</t>
  </si>
  <si>
    <t>The Queen of Sheba's Gift</t>
  </si>
  <si>
    <t>A History of the True Balsam of Matarea</t>
  </si>
  <si>
    <t>The Queen of Sheba's Gift E-BOOK</t>
  </si>
  <si>
    <t>978-0-7486-9319-1</t>
  </si>
  <si>
    <t>Nordic Genre Film</t>
  </si>
  <si>
    <t>Small Nation Film Cultures in the Global Marketplace</t>
  </si>
  <si>
    <t>Nordic Genre Film E-BOOK</t>
  </si>
  <si>
    <t>Gustafsson, Tommy / Kääpä, Pietari</t>
  </si>
  <si>
    <t>978-1-4744-5825-2</t>
  </si>
  <si>
    <t>Shakespeare and Montaigne</t>
  </si>
  <si>
    <t>Shakespeare and Montaigne E-BOOK</t>
  </si>
  <si>
    <t>Hamlin, Willliam M. / Engle, Lars / Gray, Patrick</t>
  </si>
  <si>
    <t>978-1-4744-1415-9</t>
  </si>
  <si>
    <t>Masculinity in British Cinema, 1990-2010</t>
  </si>
  <si>
    <t>Masculinity in British Cinema, 1990-2010 E-BOOK</t>
  </si>
  <si>
    <t>Godfrey, Sarah</t>
  </si>
  <si>
    <t>978-0-7486-7762-7</t>
  </si>
  <si>
    <t>Changing Methodologies in TESOL</t>
  </si>
  <si>
    <t>Changing Methodologies in TESOL E-BOOK</t>
  </si>
  <si>
    <t>Spiro, Jane</t>
  </si>
  <si>
    <t>978-0-7486-2986-2</t>
  </si>
  <si>
    <t>A Glossary of Cognitive Linguistics</t>
  </si>
  <si>
    <t>A Glossary of Cognitive Linguistics E-BOOK</t>
  </si>
  <si>
    <t>Evans, Vyvyan</t>
  </si>
  <si>
    <t>978-1-4744-2125-6</t>
  </si>
  <si>
    <t>The Spinoza-Machiavelli Encounter</t>
  </si>
  <si>
    <t>Time and Occasion</t>
  </si>
  <si>
    <t>The Spinoza-Machiavelli Encounter E-BOOK</t>
  </si>
  <si>
    <t>Morfino, Vittorio / Mesing, Dave</t>
  </si>
  <si>
    <t>978-1-4744-5905-1</t>
  </si>
  <si>
    <t>Reappraisals of British Colonisation in Atlantic Canada, 1700-1930</t>
  </si>
  <si>
    <t>Reappraisals of British Colonisation in Atlantic Cana E-BOOK</t>
  </si>
  <si>
    <t>Kehoe, Karly / Vance, Michael</t>
  </si>
  <si>
    <t>Histories of the Scottish Atlantic</t>
  </si>
  <si>
    <t>978-0-7486-7396-4</t>
  </si>
  <si>
    <t>The English Novel and Prose Narrative</t>
  </si>
  <si>
    <t>The English Novel and Prose Narrative E-BOOK</t>
  </si>
  <si>
    <t>Elements of Literature</t>
  </si>
  <si>
    <t>978-1-4744-4780-5</t>
  </si>
  <si>
    <t>Against Continuity</t>
  </si>
  <si>
    <t>Gilles Deleuze's Speculative Realism</t>
  </si>
  <si>
    <t>Against Continuity E-BOOK</t>
  </si>
  <si>
    <t>Kleinherenbrink, Arjen</t>
  </si>
  <si>
    <t>978-1-4744-3166-8</t>
  </si>
  <si>
    <t>Victorian Liberalism and Material Culture</t>
  </si>
  <si>
    <t>Synergies of Thought and Place</t>
  </si>
  <si>
    <t>Victorian Liberalism and Material Culture E-BOOK</t>
  </si>
  <si>
    <t>Morrison, Kevin A.</t>
  </si>
  <si>
    <t>978-1-4744-6610-3</t>
  </si>
  <si>
    <t>Flora of Turkey, Volume 5</t>
  </si>
  <si>
    <t>Flora of Turkey, Volume 5 E-BOOK</t>
  </si>
  <si>
    <t>978-0-7486-4244-1</t>
  </si>
  <si>
    <t>Postcolonial Agency</t>
  </si>
  <si>
    <t>Critique and Constructivism</t>
  </si>
  <si>
    <t>Postcolonial Agency E-BOOK</t>
  </si>
  <si>
    <t>Bignall, Simone</t>
  </si>
  <si>
    <t>978-0-7486-7608-8</t>
  </si>
  <si>
    <t>London's Underground Spaces</t>
  </si>
  <si>
    <t>Representing the Victorian City, 1840-1915</t>
  </si>
  <si>
    <t>London's Underground Spaces E-BOOK</t>
  </si>
  <si>
    <t>Hwang, Haewon</t>
  </si>
  <si>
    <t>978-1-4744-6686-8</t>
  </si>
  <si>
    <t>The Politics of Muslim Identities in Asia</t>
  </si>
  <si>
    <t>The Politics of Muslim Identities in Asia E-BOOK</t>
  </si>
  <si>
    <t>Lumina, Iulia</t>
  </si>
  <si>
    <t>978-1-4744-3713-4</t>
  </si>
  <si>
    <t>The Life Intense</t>
  </si>
  <si>
    <t>A Modern Obsession</t>
  </si>
  <si>
    <t>The Life Intense E-BOOK</t>
  </si>
  <si>
    <t>RayAlexander, Abigail / Garcia, Tristan / RayAlexander, Christopher</t>
  </si>
  <si>
    <t>978-1-4744-4740-9</t>
  </si>
  <si>
    <t>Scottish Presbyterianism Re-established</t>
  </si>
  <si>
    <t>The Case of Stirling and Dunblane, 1687-1710</t>
  </si>
  <si>
    <t>Scottish Presbyterianism Re-established E-BOOK</t>
  </si>
  <si>
    <t>Muirhead, Andrew</t>
  </si>
  <si>
    <t>978-1-4744-9404-5</t>
  </si>
  <si>
    <t>Chaoid Cinema</t>
  </si>
  <si>
    <t>Deleuze &amp; Guattari and the Topological Vector of Silence</t>
  </si>
  <si>
    <t>Chaoid Cinema E-BOOK</t>
  </si>
  <si>
    <t>Gardner, Colin</t>
  </si>
  <si>
    <t>978-0-7486-2674-8</t>
  </si>
  <si>
    <t>Land, Faith and the Crofting Community</t>
  </si>
  <si>
    <t>Christianity and Social Criticism in the Highlands of Scotland 1843-1893</t>
  </si>
  <si>
    <t>Land, Faith and the Crofting Community E-BOOK</t>
  </si>
  <si>
    <t>MacColl, Allan W.</t>
  </si>
  <si>
    <t>978-1-4744-7448-1</t>
  </si>
  <si>
    <t>Truth in Visual Media</t>
  </si>
  <si>
    <t>Aesthetics, Ethics and Politics</t>
  </si>
  <si>
    <t>Truth in Visual Media E-BOOK</t>
  </si>
  <si>
    <t>Nannicelli, Ted / La Caze, Marguerite</t>
  </si>
  <si>
    <t>NON000000 NON-CLASSIFIABLE</t>
  </si>
  <si>
    <t>978-0-7486-9184-5</t>
  </si>
  <si>
    <t>The Problem of Secret Intelligence</t>
  </si>
  <si>
    <t>The Problem of Secret Intelligence E-BOOK</t>
  </si>
  <si>
    <t>Hatlebrekke, Kjetil Anders</t>
  </si>
  <si>
    <t>978-1-4744-8028-4</t>
  </si>
  <si>
    <t>The Trial of Hatred</t>
  </si>
  <si>
    <t>An Essay on the Refusal of Violence</t>
  </si>
  <si>
    <t>The Trial of Hatred E-BOOK</t>
  </si>
  <si>
    <t>Crépon, Marc</t>
  </si>
  <si>
    <t>978-1-4744-6768-1</t>
  </si>
  <si>
    <t>Catharine Sedgwick, Redwood</t>
  </si>
  <si>
    <t>A Tale</t>
  </si>
  <si>
    <t>Catharine Sedgwick, Redwood E-BOOK</t>
  </si>
  <si>
    <t>Sedgwick, Catharine / Elmore, Jenifer B.</t>
  </si>
  <si>
    <t>978-1-4744-1121-9</t>
  </si>
  <si>
    <t>Sensational Internationalism</t>
  </si>
  <si>
    <t>The Paris Commune and the Remapping of American Memory in the Long Nineteenth Century</t>
  </si>
  <si>
    <t>Sensational Internationalism E-BOOK</t>
  </si>
  <si>
    <t>Coghlan, J. Michelle</t>
  </si>
  <si>
    <t>Edinburgh Critical Studies in Atlantic Literatures and Cultures</t>
  </si>
  <si>
    <t>978-1-4744-6542-7</t>
  </si>
  <si>
    <t>Narratives for a New Belonging</t>
  </si>
  <si>
    <t>Diasporic Cultural Fictions</t>
  </si>
  <si>
    <t>Narratives for a New Belonging E-BOOK</t>
  </si>
  <si>
    <t>Bromley, Roger</t>
  </si>
  <si>
    <t>978-1-4744-3384-6</t>
  </si>
  <si>
    <t>The Collected Letters of James Hogg, Volume 1, 1800-1819</t>
  </si>
  <si>
    <t>The Collected Letters of James Hogg, Volume 1, 1800-1 E-BOOK</t>
  </si>
  <si>
    <t>MacLachlan, Robin / Petrie, Elaine</t>
  </si>
  <si>
    <t>978-0-7486-3166-7</t>
  </si>
  <si>
    <t>Literature of the 1950s</t>
  </si>
  <si>
    <t>Good, Brave Causes: Volume 6</t>
  </si>
  <si>
    <t>Literature of the 1950s E-BOOK</t>
  </si>
  <si>
    <t>Ferrebe, Alice</t>
  </si>
  <si>
    <t>978-1-4744-3139-2</t>
  </si>
  <si>
    <t>ReFocus: The Films of William Friedkin</t>
  </si>
  <si>
    <t>ReFocus: The Films of William Friedkin E-BOOK</t>
  </si>
  <si>
    <t>Choe, Steve</t>
  </si>
  <si>
    <t>978-0-7486-9313-9</t>
  </si>
  <si>
    <t>The Edinburgh Companion to Literature and Music</t>
  </si>
  <si>
    <t>The Edinburgh Companion to Literature and Music E-BOOK</t>
  </si>
  <si>
    <t>da Sousa Correa, Delia</t>
  </si>
  <si>
    <t>978-1-4744-0878-3</t>
  </si>
  <si>
    <t>Medieval Damascus</t>
  </si>
  <si>
    <t>Plurality and Diversity in an Arabic Library: The Ashrafiya Library Catalogue</t>
  </si>
  <si>
    <t>Medieval Damascus E-BOOK</t>
  </si>
  <si>
    <t>978-1-4744-2401-1</t>
  </si>
  <si>
    <t>A Theological Jurisprudence of Speculative Cinema</t>
  </si>
  <si>
    <t>Superheroes, Science Fictions and Fantasies of Modern Law</t>
  </si>
  <si>
    <t>A Theological Jurisprudence of Speculative Cinema E-BOOK</t>
  </si>
  <si>
    <t>Peters, Timothy</t>
  </si>
  <si>
    <t>LAW096000 LAW / Media &amp; the Law</t>
  </si>
  <si>
    <t>EBOOK PACKAGE COMPLETE 2021 | EBOOK PACKAGE COMPLETE 2021 English | EBOOK PACKAGE Law 2021 | EBOOK PACKAGE Law 2021 English | Edinburgh University Press Complete eBook-Package 2021 | UC Berkeley Law P&amp;C 2024 | UC Irvine 2024 Law P&amp;C | UNIVERSIDAD NACIONAL AUTÓNOMA DE MÉXICO Pick and Choose 2023 | Yale P&amp;C Law Package 2023</t>
  </si>
  <si>
    <t>978-1-4744-9443-4</t>
  </si>
  <si>
    <t>ReFocus: The Films of Mary Harron</t>
  </si>
  <si>
    <t>ReFocus: The Films of Mary Harron E-BOOK</t>
  </si>
  <si>
    <t>Barrett, Kyle</t>
  </si>
  <si>
    <t>978-0-7486-5639-4</t>
  </si>
  <si>
    <t>Tacit Alliance</t>
  </si>
  <si>
    <t>Franklin Roosevelt and the Anglo-American 'Special Relationship' before Churchill, 1933-1940</t>
  </si>
  <si>
    <t>Tacit Alliance E-BOOK</t>
  </si>
  <si>
    <t>McCulloch, Tony</t>
  </si>
  <si>
    <t>978-1-4744-7746-8</t>
  </si>
  <si>
    <t>Yankee Yarns</t>
  </si>
  <si>
    <t>Storytelling and the Invention of the National Body in Nineteenth-Century American Culture</t>
  </si>
  <si>
    <t>Yankee Yarns E-BOOK</t>
  </si>
  <si>
    <t>Schäfer, Stefanie</t>
  </si>
  <si>
    <t>978-0-7486-4701-9</t>
  </si>
  <si>
    <t>The Edinburgh Critical History of Nineteenth-Century Philosophy</t>
  </si>
  <si>
    <t>The Edinburgh Critical History of Nineteenth-Century  E-BOOK</t>
  </si>
  <si>
    <t>Stone, Alison</t>
  </si>
  <si>
    <t>978-0-7486-3508-5</t>
  </si>
  <si>
    <t>Literature of the 1900s</t>
  </si>
  <si>
    <t>The Great Edwardian Emporium</t>
  </si>
  <si>
    <t>Literature of the 1900s E-BOOK</t>
  </si>
  <si>
    <t>Wild, Jonathan</t>
  </si>
  <si>
    <t>978-1-83838-221-6</t>
  </si>
  <si>
    <t>Strategy: Get Arts</t>
  </si>
  <si>
    <t>35 Artists Who Broke the Rules</t>
  </si>
  <si>
    <t>Strategy: Get Arts E-BOOK</t>
  </si>
  <si>
    <t>Weikop, Christian</t>
  </si>
  <si>
    <t>Studies in Photography</t>
  </si>
  <si>
    <t>ART015110 ART / History / Contemporary (1945-)</t>
  </si>
  <si>
    <t>EBOOK PACKAGE Arts 2021 | EBOOK PACKAGE COMPLETE 2021</t>
  </si>
  <si>
    <t>978-1-4744-6925-8</t>
  </si>
  <si>
    <t>The Three Perils of Man</t>
  </si>
  <si>
    <t>The Three Perils of Man E-BOOK</t>
  </si>
  <si>
    <t>King, Judy / Hogg, James / Tulloch, Graham</t>
  </si>
  <si>
    <t>978-1-4744-4848-2</t>
  </si>
  <si>
    <t>The Edinburgh Companion to Virginia Woolf and Contemporary Global Literature</t>
  </si>
  <si>
    <t>The Edinburgh Companion to Virginia Woolf and Contemp E-BOOK</t>
  </si>
  <si>
    <t>Neverow, Vara / Lypka, Celiese</t>
  </si>
  <si>
    <t>978-1-4744-9396-3</t>
  </si>
  <si>
    <t>The Animal-To-Come</t>
  </si>
  <si>
    <t>Zoo-Politics in Deconstruction</t>
  </si>
  <si>
    <t>The Animal-To-Come E-BOOK</t>
  </si>
  <si>
    <t>Briggs, Robert</t>
  </si>
  <si>
    <t>EBOOK PACKAGE COMPLETE 2021 | EBOOK PACKAGE COMPLETE 2021 English | EBOOK PACKAGE Medicine and Life Sciences 2021 | EBOOK PACKAGE Medicine and Life Sciences 2021 English | Edinburgh University Press Complete eBook-Package 2021 | UIUC Life Sciences 2023 eBook package | UIUC Life Sciences P&amp;C 2023 Package</t>
  </si>
  <si>
    <t>978-1-4744-2084-6</t>
  </si>
  <si>
    <t>Imagined States</t>
  </si>
  <si>
    <t>Law and Literature in Nigeria 1900-1966</t>
  </si>
  <si>
    <t>Imagined States E-BOOK</t>
  </si>
  <si>
    <t>Baxter, Katherine Isobel</t>
  </si>
  <si>
    <t>Edinburgh University Press Complete eBook-Package 2019 | UC Berkeley Law P&amp;C 2024 | Yale P&amp;C Law Package 2023</t>
  </si>
  <si>
    <t>978-1-4744-5670-8</t>
  </si>
  <si>
    <t>The Edinburgh Companion to Irish Modernism</t>
  </si>
  <si>
    <t>The Edinburgh Companion to Irish Modernism E-BOOK</t>
  </si>
  <si>
    <t>Mahaffey, Vicki / Ellmann, Maud / White, Sian</t>
  </si>
  <si>
    <t>978-1-4744-8707-8</t>
  </si>
  <si>
    <t>Coal and Energy in South Africa</t>
  </si>
  <si>
    <t>Considering a Just Transition</t>
  </si>
  <si>
    <t>Coal and Energy in South Africa E-BOOK</t>
  </si>
  <si>
    <t>Burger, Phillippe / Marais, Lochner / Campbell, Maléne / van Rooyen, Deidré / Denoon-Stevens, Stuart Paul</t>
  </si>
  <si>
    <t>Edinburgh Studies in Urban Political Economy</t>
  </si>
  <si>
    <t>978-1-4744-1772-3</t>
  </si>
  <si>
    <t>Chaste Value</t>
  </si>
  <si>
    <t>Economic Crisis, Female Chastity and the Production of Social Difference on Shakespeare's Stage</t>
  </si>
  <si>
    <t>Chaste Value E-BOOK</t>
  </si>
  <si>
    <t>Gillen, Katherine</t>
  </si>
  <si>
    <t>978-1-4744-0245-3</t>
  </si>
  <si>
    <t>Russian Futurist Theatre</t>
  </si>
  <si>
    <t>Russian Futurist Theatre E-BOOK</t>
  </si>
  <si>
    <t>Leach, Robert</t>
  </si>
  <si>
    <t>978-1-4744-7926-4</t>
  </si>
  <si>
    <t>Deindustrialisation and the Moral Economy in Scotland since 1955</t>
  </si>
  <si>
    <t>Deindustrialisation and the Moral Economy in Scotland E-BOOK</t>
  </si>
  <si>
    <t>Tomlinson, Jim / Phillips, Jim / Wright, Valerie</t>
  </si>
  <si>
    <t>POL013000 POLITICAL SCIENCE / Labor &amp; Industrial Relations</t>
  </si>
  <si>
    <t>978-1-4744-2658-9</t>
  </si>
  <si>
    <t>Schreber's Law</t>
  </si>
  <si>
    <t>Jurisprudence and Judgment in Transition</t>
  </si>
  <si>
    <t>Schreber's Law E-BOOK</t>
  </si>
  <si>
    <t>Goodrich, Peter</t>
  </si>
  <si>
    <t>General Administrative Law</t>
  </si>
  <si>
    <t>LAW001000 LAW / Administrative Law &amp; Regulatory Practice</t>
  </si>
  <si>
    <t>Edinburgh University Press Complete eBook-Package 2018 | UC Berkeley Law P&amp;C 2024 | Yale P&amp;C Law Package 2023</t>
  </si>
  <si>
    <t>978-1-4744-2319-9</t>
  </si>
  <si>
    <t>Queens, Eunuchs and Concubines in Islamic History, 661–1257</t>
  </si>
  <si>
    <t>Queens, Eunuchs and Concubines in Islamic History, 66 E-BOOK</t>
  </si>
  <si>
    <t>El-Azhari, Taef</t>
  </si>
  <si>
    <t>978-1-4744-0295-8</t>
  </si>
  <si>
    <t>The Edinburgh Companion to Atlantic Literary Studies</t>
  </si>
  <si>
    <t>The Edinburgh Companion to Atlantic Literary Studies E-BOOK</t>
  </si>
  <si>
    <t>Eckel, Leslie / Elliott, Clare</t>
  </si>
  <si>
    <t>Colorado State University 2023 EBA Selections | Colorado State University EBA Selections 2023 | Edinburgh University Press Complete eBook-Package 2016</t>
  </si>
  <si>
    <t>978-1-4744-4912-0</t>
  </si>
  <si>
    <t>Language and Process</t>
  </si>
  <si>
    <t>Words, Whitehead and the World</t>
  </si>
  <si>
    <t>Language and Process E-BOOK</t>
  </si>
  <si>
    <t>Halewood, Michael</t>
  </si>
  <si>
    <t>Intersections in Continental and Analytic Philosophy</t>
  </si>
  <si>
    <t>978-1-4744-8186-1</t>
  </si>
  <si>
    <t>Science Fiction Film</t>
  </si>
  <si>
    <t>Predicting the Impossible in the Age of Neoliberalism</t>
  </si>
  <si>
    <t>Science Fiction Film E-BOOK</t>
  </si>
  <si>
    <t>Sorensen, Eli Park</t>
  </si>
  <si>
    <t>978-1-4744-4206-0</t>
  </si>
  <si>
    <t>Sensing Justice through Contemporary Spanish Cinema</t>
  </si>
  <si>
    <t>Aesthetics, Politics, Law</t>
  </si>
  <si>
    <t>Sensing Justice through Contemporary Spanish Cinema E-BOOK</t>
  </si>
  <si>
    <t>López Lerma, Mónica</t>
  </si>
  <si>
    <t>978-0-7486-5391-1</t>
  </si>
  <si>
    <t>The Edinburgh Companion to Twentieth-Century British and American War Literature</t>
  </si>
  <si>
    <t>The Edinburgh Companion to Twentieth-Century British  E-BOOK</t>
  </si>
  <si>
    <t>Piette, Adam / Rawlinson, Mark</t>
  </si>
  <si>
    <t>978-0-7486-2915-2</t>
  </si>
  <si>
    <t>The Mountain Bard</t>
  </si>
  <si>
    <t>The Mountain Bard E-BOOK</t>
  </si>
  <si>
    <t>Hogg, James / Gilbert, Suzanne</t>
  </si>
  <si>
    <t>978-1-4744-6200-6</t>
  </si>
  <si>
    <t>Binge-Watching and Contemporary Television Studies</t>
  </si>
  <si>
    <t>Binge-Watching and Contemporary Television Studies E-BOOK</t>
  </si>
  <si>
    <t>Jenner, Mareike</t>
  </si>
  <si>
    <t>978-1-4744-5744-6</t>
  </si>
  <si>
    <t>Authoritarianism and Kurdish Alternative Politics</t>
  </si>
  <si>
    <t>Governmentality, Gender and Justice</t>
  </si>
  <si>
    <t>Authoritarianism and Kurdish Alternative Politics E-BOOK</t>
  </si>
  <si>
    <t>Tas, Latif</t>
  </si>
  <si>
    <t>EBOOK PACKAGE COMPLETE 2021 | EBOOK PACKAGE COMPLETE 2021 English | EBOOK PACKAGE History 2021 | EBOOK PACKAGE History 2021 English | Edinburgh University Press Complete eBook-Package 2022</t>
  </si>
  <si>
    <t>978-1-4744-7981-3</t>
  </si>
  <si>
    <t>Columbo</t>
  </si>
  <si>
    <t>Paying Attention 24/7</t>
  </si>
  <si>
    <t>Columbo E-BOOK</t>
  </si>
  <si>
    <t>EBOOK PACKAGE Arts 2021 | EBOOK PACKAGE Arts, Architecture and Design 2021 English | EBOOK PACKAGE COMPLETE 2021 | EBOOK PACKAGE COMPLETE 2021 English | Edinburgh University Press Complete eBook-Package 2022</t>
  </si>
  <si>
    <t>978-1-4744-4192-6</t>
  </si>
  <si>
    <t>Marie Corelli, A Romance of Two Worlds</t>
  </si>
  <si>
    <t>Marie Corelli, A Romance of Two Worlds E-BOOK</t>
  </si>
  <si>
    <t>Corelli, Marie / Radford, Andrew D</t>
  </si>
  <si>
    <t>978-1-4744-2090-7</t>
  </si>
  <si>
    <t>Living in Technical Legality</t>
  </si>
  <si>
    <t>Science Fiction and Law as Technology</t>
  </si>
  <si>
    <t>Living in Technical Legality E-BOOK</t>
  </si>
  <si>
    <t>Tranter, Kieran</t>
  </si>
  <si>
    <t>978-1-4744-4250-3</t>
  </si>
  <si>
    <t>Judging from Experience</t>
  </si>
  <si>
    <t>Law, Praxis, Humanities</t>
  </si>
  <si>
    <t>Judging from Experience E-BOOK</t>
  </si>
  <si>
    <t>Gaakeer, Jeanne</t>
  </si>
  <si>
    <t>978-1-4744-8986-7</t>
  </si>
  <si>
    <t>Women, Poetry and the Voice of a Nation</t>
  </si>
  <si>
    <t>Women, Poetry and the Voice of a Nation E-BOOK</t>
  </si>
  <si>
    <t>978-1-4744-0988-9</t>
  </si>
  <si>
    <t>Derrida Reads Shakespeare</t>
  </si>
  <si>
    <t>Derrida Reads Shakespeare E-BOOK</t>
  </si>
  <si>
    <t>Alfano, Chiara</t>
  </si>
  <si>
    <t>978-0-7486-4020-1</t>
  </si>
  <si>
    <t>Obama's America</t>
  </si>
  <si>
    <t>Obama's America E-BOOK</t>
  </si>
  <si>
    <t>Pedersen, Carl</t>
  </si>
  <si>
    <t>978-1-4744-5802-3</t>
  </si>
  <si>
    <t>D. H. Lawrence and the Literary Marketplace</t>
  </si>
  <si>
    <t>The Early Writings</t>
  </si>
  <si>
    <t>D. H. Lawrence and the Literary Marketplace E-BOOK</t>
  </si>
  <si>
    <t>Grice, Annalise</t>
  </si>
  <si>
    <t>978-1-4744-5004-1</t>
  </si>
  <si>
    <t>Images of Apartheid</t>
  </si>
  <si>
    <t>Filmmaking on the Fringe in the Old South Africa</t>
  </si>
  <si>
    <t>Images of Apartheid E-BOOK</t>
  </si>
  <si>
    <t>978-0-7486-2830-8</t>
  </si>
  <si>
    <t>Woodstock</t>
  </si>
  <si>
    <t>Woodstock E-BOOK</t>
  </si>
  <si>
    <t>Inglis, Tony / Scott, Walter / Alexander, J. H.</t>
  </si>
  <si>
    <t>978-1-4744-3951-0</t>
  </si>
  <si>
    <t>The Victorian Actress in the Novel and on the Stage</t>
  </si>
  <si>
    <t>The Victorian Actress in the Novel and on the Stage E-BOOK</t>
  </si>
  <si>
    <t>Miller, Renata Kobetts</t>
  </si>
  <si>
    <t>978-1-4744-3352-5</t>
  </si>
  <si>
    <t>The Fortunes Of Nigel</t>
  </si>
  <si>
    <t>The Fortunes Of Nigel E-BOOK</t>
  </si>
  <si>
    <t>Scott, Walter / Jordan, Frank</t>
  </si>
  <si>
    <t>978-0-7486-8410-6</t>
  </si>
  <si>
    <t>The Figure of This World</t>
  </si>
  <si>
    <t>Agamben and the Question of Political Ontology</t>
  </si>
  <si>
    <t>The Figure of This World E-BOOK</t>
  </si>
  <si>
    <t>978-1-4744-7887-8</t>
  </si>
  <si>
    <t>Refocus: The Later Films and Legacy of Robert Altman</t>
  </si>
  <si>
    <t>Refocus: The Later Films and Legacy of Robert Altman E-BOOK</t>
  </si>
  <si>
    <t>Dombrowski, Lisa / Wyatt, Justin</t>
  </si>
  <si>
    <t>978-0-7486-3456-9</t>
  </si>
  <si>
    <t>Eighteenth-Century British Literature and Postcolonial Studies</t>
  </si>
  <si>
    <t>Eighteenth-Century British Literature and Postcolonia E-BOOK</t>
  </si>
  <si>
    <t>Kaul, Suvir</t>
  </si>
  <si>
    <t>978-1-4744-3312-9</t>
  </si>
  <si>
    <t>Reclaiming Wonder</t>
  </si>
  <si>
    <t>After the Sublime</t>
  </si>
  <si>
    <t>Reclaiming Wonder E-BOOK</t>
  </si>
  <si>
    <t>Lloyd, Genevieve</t>
  </si>
  <si>
    <t>978-1-4744-6297-6</t>
  </si>
  <si>
    <t>The Scots Afrikaners</t>
  </si>
  <si>
    <t>Identity Politics and Intertwined Religious Cultures</t>
  </si>
  <si>
    <t>The Scots Afrikaners E-BOOK</t>
  </si>
  <si>
    <t>Muller, Retief</t>
  </si>
  <si>
    <t>HIS001010 HISTORY / Africa / Central</t>
  </si>
  <si>
    <t>978-0-7486-4516-9</t>
  </si>
  <si>
    <t>The Phantom of Chance</t>
  </si>
  <si>
    <t>From Fortune to Randomness in Seventeenth-Century French Literature</t>
  </si>
  <si>
    <t>The Phantom of Chance E-BOOK</t>
  </si>
  <si>
    <t>Lyons, John</t>
  </si>
  <si>
    <t>978-0-7486-3156-8</t>
  </si>
  <si>
    <t>Media and Popular Music</t>
  </si>
  <si>
    <t>Media and Popular Music E-BOOK</t>
  </si>
  <si>
    <t>Mills, Peter</t>
  </si>
  <si>
    <t>978-1-4744-7376-7</t>
  </si>
  <si>
    <t>Ancient Epic in Film and Television</t>
  </si>
  <si>
    <t>Ancient Epic in Film and Television E-BOOK</t>
  </si>
  <si>
    <t>Gardner, Hunter / Potter, Amanda</t>
  </si>
  <si>
    <t>978-1-4744-3340-2</t>
  </si>
  <si>
    <t>Memories and Adventures</t>
  </si>
  <si>
    <t>Memories and Adventures E-BOOK</t>
  </si>
  <si>
    <t>Conan Doyle, ArthurKerr, Douglas</t>
  </si>
  <si>
    <t>The Edinburgh Edition of the Works of Arthur Conan Doyle</t>
  </si>
  <si>
    <t>978-1-4744-7344-6</t>
  </si>
  <si>
    <t>A History of Islamic Spain</t>
  </si>
  <si>
    <t>A History of Islamic Spain E-BOOK</t>
  </si>
  <si>
    <t>Watt, William Montgomery / Cachia, Pierre</t>
  </si>
  <si>
    <t>978-1-4744-0587-4</t>
  </si>
  <si>
    <t>The Edinburgh Critical History of Nineteenth-Century Christian Theology</t>
  </si>
  <si>
    <t>Whistler, Daniel</t>
  </si>
  <si>
    <t>The Edinburgh Critical History of Christian Theology</t>
  </si>
  <si>
    <t>978-0-7486-3037-0</t>
  </si>
  <si>
    <t>Contemporary British Fiction</t>
  </si>
  <si>
    <t>Contemporary British Fiction E-BOOK</t>
  </si>
  <si>
    <t>Bentley, Nick</t>
  </si>
  <si>
    <t>978-0-7486-8980-4</t>
  </si>
  <si>
    <t>Postcolonial Literature</t>
  </si>
  <si>
    <t>Postcolonial Literature E-BOOK</t>
  </si>
  <si>
    <t>Gunning, Dave</t>
  </si>
  <si>
    <t>978-1-4744-7503-7</t>
  </si>
  <si>
    <t>Rumi</t>
  </si>
  <si>
    <t>A Life in Pictures</t>
  </si>
  <si>
    <t>Rumi E-BOOK</t>
  </si>
  <si>
    <t>Renard, John</t>
  </si>
  <si>
    <t>ART047000 ART / Middle Eastern</t>
  </si>
  <si>
    <t>978-1-4744-0833-2</t>
  </si>
  <si>
    <t>Deleuze's Philosophy of Law</t>
  </si>
  <si>
    <t>Deleuze's Philosophy of Law E-BOOK</t>
  </si>
  <si>
    <t>de Sutter, Laurent</t>
  </si>
  <si>
    <t>EBOOK PACKAGE COMPLETE 2021 | EBOOK PACKAGE COMPLETE 2021 English | EBOOK PACKAGE Law 2021 | EBOOK PACKAGE Law 2021 English | Edinburgh University Press Complete eBook-Package 2022 | UC Berkeley Law P&amp;C 2024 | UC Irvine 2024 Law P&amp;C | Yale P&amp;C Law Package 2023</t>
  </si>
  <si>
    <t>978-0-7486-2926-8</t>
  </si>
  <si>
    <t>Czech and Slovak Cinema</t>
  </si>
  <si>
    <t>Theme and Tradition</t>
  </si>
  <si>
    <t>Czech and Slovak Cinema E-BOOK</t>
  </si>
  <si>
    <t>Hames, Peter</t>
  </si>
  <si>
    <t>978-0-7486-2697-7</t>
  </si>
  <si>
    <t>Language and Politics</t>
  </si>
  <si>
    <t>Language and Politics E-BOOK</t>
  </si>
  <si>
    <t>978-0-7486-2846-9</t>
  </si>
  <si>
    <t>The History of the Scottish Parliament</t>
  </si>
  <si>
    <t>Parliament in Context, 1235-1707</t>
  </si>
  <si>
    <t>The History of the Scottish Parliament E-BOOK</t>
  </si>
  <si>
    <t>Brown, Keith / MacDonald, Alan R.</t>
  </si>
  <si>
    <t>The Edinburgh History of the Scottish Parliament</t>
  </si>
  <si>
    <t>978-1-4744-6458-1</t>
  </si>
  <si>
    <t>Boswell's London Journal, 1762–1763</t>
  </si>
  <si>
    <t>Boswell's London Journal, 1762–1763 E-BOOK</t>
  </si>
  <si>
    <t>Pottle, Frederick A. / Boswell, James / Ackroyd, Peter</t>
  </si>
  <si>
    <t>The Yale Editions of the Private Papers of James Boswell</t>
  </si>
  <si>
    <t>978-1-4744-7195-4</t>
  </si>
  <si>
    <t>The Amateur Emigrant, by Robert Louis Stevenson</t>
  </si>
  <si>
    <t>The Amateur Emigrant, by Robert Louis Stevenson E-BOOK</t>
  </si>
  <si>
    <t>Stevenson, R. L. / Reid, Julia</t>
  </si>
  <si>
    <t>978-1-4744-0071-8</t>
  </si>
  <si>
    <t>Philosophies of Exclusion</t>
  </si>
  <si>
    <t>Liberal Political Theory and Immigration</t>
  </si>
  <si>
    <t>Philosophies of Exclusion E-BOOK</t>
  </si>
  <si>
    <t>978-1-4744-4795-9</t>
  </si>
  <si>
    <t>The Pragmatics of Fiction</t>
  </si>
  <si>
    <t>Literature, Stage and Screen Discourse</t>
  </si>
  <si>
    <t>The Pragmatics of Fiction E-BOOK</t>
  </si>
  <si>
    <t>Locher, Miriam A. / Jucker, Andreas H.</t>
  </si>
  <si>
    <t>Edinburgh Textbooks on the English Language - Advanced</t>
  </si>
  <si>
    <t>978-1-4744-3004-3</t>
  </si>
  <si>
    <t>Writing Nature in Cold War American Literature</t>
  </si>
  <si>
    <t>Writing Nature in Cold War American Literature E-BOOK</t>
  </si>
  <si>
    <t>Daw, Sarah</t>
  </si>
  <si>
    <t>Modern American Literature and the New Twentieth Century</t>
  </si>
  <si>
    <t>978-1-4744-8164-9</t>
  </si>
  <si>
    <t>Modernism and the Choreographic Imagination</t>
  </si>
  <si>
    <t>Salome’s Dance after 1890</t>
  </si>
  <si>
    <t>Modernism and the Choreographic Imagination E-BOOK</t>
  </si>
  <si>
    <t>Girdwood, Megan</t>
  </si>
  <si>
    <t>978-0-7486-8490-8</t>
  </si>
  <si>
    <t>The Speech-Gesture Complex</t>
  </si>
  <si>
    <t>Modernism, Theatre, Cinema</t>
  </si>
  <si>
    <t>The Speech-Gesture Complex E-BOOK</t>
  </si>
  <si>
    <t>Paraskeva, Anthony</t>
  </si>
  <si>
    <t>978-1-4744-2385-4</t>
  </si>
  <si>
    <t>The Edinburgh Companion to Nonsense</t>
  </si>
  <si>
    <t>The Edinburgh Companion to Nonsense E-BOOK</t>
  </si>
  <si>
    <t>Barton, Anna / Williams, James</t>
  </si>
  <si>
    <t>978-1-4744-1688-7</t>
  </si>
  <si>
    <t>Modern Scots</t>
  </si>
  <si>
    <t>An Analytical Survey</t>
  </si>
  <si>
    <t>Modern Scots E-BOOK</t>
  </si>
  <si>
    <t>978-1-4744-9317-8</t>
  </si>
  <si>
    <t>Hazarding All</t>
  </si>
  <si>
    <t>Shakespeare and the Drama of Consciousness</t>
  </si>
  <si>
    <t>Hazarding All E-BOOK</t>
  </si>
  <si>
    <t>Budick, Sanford</t>
  </si>
  <si>
    <t>978-1-4744-6949-4</t>
  </si>
  <si>
    <t>Islamic Law</t>
  </si>
  <si>
    <t>From Historical Foundations to Contemporary Practice</t>
  </si>
  <si>
    <t>Islamic Law E-BOOK</t>
  </si>
  <si>
    <t>Izzi Dien, Mawil</t>
  </si>
  <si>
    <t>978-0-7486-9595-9</t>
  </si>
  <si>
    <t>A Feminine Enlightenment</t>
  </si>
  <si>
    <t>British Women Writers and the Philosophy of Progress, 1759-1820</t>
  </si>
  <si>
    <t>A Feminine Enlightenment E-BOOK</t>
  </si>
  <si>
    <t>DeLucia, JoEllen</t>
  </si>
  <si>
    <t>978-1-4744-8160-1</t>
  </si>
  <si>
    <t>Reverberations of Revolution</t>
  </si>
  <si>
    <t>Transnational Perspectives, 1770-1850</t>
  </si>
  <si>
    <t>Reverberations of Revolution E-BOOK</t>
  </si>
  <si>
    <t>Amann, Elizabeth / Boyden, Michael</t>
  </si>
  <si>
    <t>978-1-4744-2553-7</t>
  </si>
  <si>
    <t>English Syntax</t>
  </si>
  <si>
    <t>A Minimalist Account of Structure and Variation</t>
  </si>
  <si>
    <t>English Syntax E-BOOK</t>
  </si>
  <si>
    <t>Edelstein, Elspeth</t>
  </si>
  <si>
    <t>978-0-7486-9782-3</t>
  </si>
  <si>
    <t>Arabian Drugs in Early Medieval Mediterranean Medicine</t>
  </si>
  <si>
    <t>Arabian Drugs in Early Medieval Mediterranean Medicin E-BOOK</t>
  </si>
  <si>
    <t>Amar, Zohar / Lev, Efraim</t>
  </si>
  <si>
    <t>978-1-4744-1557-6</t>
  </si>
  <si>
    <t>Greek Tragedy and Modernist Performance</t>
  </si>
  <si>
    <t>Hellenism as Theatricality</t>
  </si>
  <si>
    <t>Greek Tragedy and Modernist Performance E-BOOK</t>
  </si>
  <si>
    <t>978-1-4744-2411-0</t>
  </si>
  <si>
    <t>The Book of Tribulations</t>
  </si>
  <si>
    <t>The Syrian Muslim Apocalyptic Tradition: An Annotated Translation by Nu'aym b. Hammad al-Marwazi</t>
  </si>
  <si>
    <t>The Book of Tribulations E-BOOK</t>
  </si>
  <si>
    <t>al-Marwazi, Nu'aym b. Hammad / Cook, David</t>
  </si>
  <si>
    <t>Edinburgh Studies in Islamic Apocalypticism and Eschatology</t>
  </si>
  <si>
    <t>978-0-7486-9864-6</t>
  </si>
  <si>
    <t>Anecdotes of Scott</t>
  </si>
  <si>
    <t>Anecdotes of Scott E-BOOK</t>
  </si>
  <si>
    <t>Hogg, James / Rubenstein, J H</t>
  </si>
  <si>
    <t>978-0-7486-9609-3</t>
  </si>
  <si>
    <t>A Critical Account of English Syntax</t>
  </si>
  <si>
    <t>Grammar, Meaning, Text</t>
  </si>
  <si>
    <t>A Critical Account of English Syntax E-BOOK</t>
  </si>
  <si>
    <t>Brown, Keith / Miller, Jim</t>
  </si>
  <si>
    <t>978-0-7486-4616-6</t>
  </si>
  <si>
    <t>The Edinburgh Companion to Modern Jewish Fiction</t>
  </si>
  <si>
    <t>The Edinburgh Companion to Modern Jewish Fiction E-BOOK</t>
  </si>
  <si>
    <t>Brauner, David / Stähler, Axel</t>
  </si>
  <si>
    <t>978-1-4744-4294-7</t>
  </si>
  <si>
    <t>The Labour of Laziness in Twentieth-Century American Literature</t>
  </si>
  <si>
    <t>The Labour of Laziness in Twentieth-Century American  E-BOOK</t>
  </si>
  <si>
    <t>Ladyga, Zuzanna</t>
  </si>
  <si>
    <t>978-1-4744-6934-0</t>
  </si>
  <si>
    <t>Asian American Literary Studies</t>
  </si>
  <si>
    <t>Asian American Literary Studies E-BOOK</t>
  </si>
  <si>
    <t>Huang, Guiyou</t>
  </si>
  <si>
    <t>978-1-4744-5552-7</t>
  </si>
  <si>
    <t>The Literary Afterlife of Raymond Carver</t>
  </si>
  <si>
    <t>Influence and Craftmanship in the Neoliberal Era</t>
  </si>
  <si>
    <t>The Literary Afterlife of Raymond Carver E-BOOK</t>
  </si>
  <si>
    <t>Pountney, Jonathan</t>
  </si>
  <si>
    <t>978-1-4744-7007-0</t>
  </si>
  <si>
    <t>Modernist Disguise</t>
  </si>
  <si>
    <t>Masquerade in Modern Performance and Visual Culture</t>
  </si>
  <si>
    <t>Modernist Disguise E-BOOK</t>
  </si>
  <si>
    <t>Popenhagen, Ron J.</t>
  </si>
  <si>
    <t>DRA001000 DRAMA / American</t>
  </si>
  <si>
    <t>978-0-7486-9424-2</t>
  </si>
  <si>
    <t>Violence in Islamic Thought from the Qurʾan to the Mongols</t>
  </si>
  <si>
    <t>Violence in Islamic Thought from the Qurʾan to the Mo E-BOOK</t>
  </si>
  <si>
    <t>Gleave, Robert / Kristó-Nagy, István</t>
  </si>
  <si>
    <t>Legitimate and Illegitimate Violence in Islamic Thought</t>
  </si>
  <si>
    <t>978-1-4744-8010-9</t>
  </si>
  <si>
    <t>Christianity in Oceania</t>
  </si>
  <si>
    <t>Christianity in Oceania E-BOOK</t>
  </si>
  <si>
    <t>Johnson, Todd M. / Ross, Kenneth R. / Tahaafe-Williams, Katalina</t>
  </si>
  <si>
    <t>REL012000 RELIGION / Christian Life / General</t>
  </si>
  <si>
    <t>978-0-7486-2855-1</t>
  </si>
  <si>
    <t>James Boswell's 'Life of Johnson'</t>
  </si>
  <si>
    <t>An Edition of the Original Manuscript, in Four Volumes; Vol. 4: 1780-1784</t>
  </si>
  <si>
    <t>James Boswell's 'Life of Johnson' E-BOOK</t>
  </si>
  <si>
    <t>Boswell, James / Bonnell, Thomas F.</t>
  </si>
  <si>
    <t>978-1-4744-3934-3</t>
  </si>
  <si>
    <t>Nature Translated</t>
  </si>
  <si>
    <t>Alexander von Humboldt's Works in Nineteenth-Century Britain</t>
  </si>
  <si>
    <t>Nature Translated E-BOOK</t>
  </si>
  <si>
    <t>Martin, Alison E.</t>
  </si>
  <si>
    <t>Edinburgh Critical Studies in Literary Translation</t>
  </si>
  <si>
    <t>978-0-7486-9637-6</t>
  </si>
  <si>
    <t>On the Margins of Modernism</t>
  </si>
  <si>
    <t>Xu Xu, Wumingshi and Popular Chinese Literature in the 1940s</t>
  </si>
  <si>
    <t>On the Margins of Modernism E-BOOK</t>
  </si>
  <si>
    <t>Rosenmeier, Christopher</t>
  </si>
  <si>
    <t>FOR003000 FOREIGN LANGUAGE STUDY / Chinese</t>
  </si>
  <si>
    <t>978-0-7486-9471-6</t>
  </si>
  <si>
    <t>Modernism and the Frankfurt School</t>
  </si>
  <si>
    <t>Modernism and the Frankfurt School E-BOOK</t>
  </si>
  <si>
    <t>Miller, Tyrus</t>
  </si>
  <si>
    <t>978-0-7486-4466-7</t>
  </si>
  <si>
    <t>Untutored Lines</t>
  </si>
  <si>
    <t>The Making of the English Epyllion</t>
  </si>
  <si>
    <t>Untutored Lines E-BOOK</t>
  </si>
  <si>
    <t>Weaver, William</t>
  </si>
  <si>
    <t>978-1-4744-8595-1</t>
  </si>
  <si>
    <t>The Medieval Turks</t>
  </si>
  <si>
    <t>Collected Essays</t>
  </si>
  <si>
    <t>The Medieval Turks E-BOOK</t>
  </si>
  <si>
    <t>EBOOK PACKAGE COMPLETE 2021 | EBOOK PACKAGE COMPLETE 2021 English | EBOOK PACKAGE History 2021 | EBOOK PACKAGE History 2021 English | Edinburgh University Press Complete eBook-Package 2022 | U Chicago P&amp;C UPL Single Titles 2024</t>
  </si>
  <si>
    <t>978-1-4744-5838-2</t>
  </si>
  <si>
    <t>Egypt 1919</t>
  </si>
  <si>
    <t>The Revolution in Literature and Film</t>
  </si>
  <si>
    <t>Egypt 1919 E-BOOK</t>
  </si>
  <si>
    <t>Heshmat, Dina</t>
  </si>
  <si>
    <t>978-1-4744-5037-9</t>
  </si>
  <si>
    <t>The Seljuqs and their Successors</t>
  </si>
  <si>
    <t>Art, Culture and History</t>
  </si>
  <si>
    <t>The Seljuqs and their Successors E-BOOK</t>
  </si>
  <si>
    <t>Rugiadi, Martina / Canby, Sheila / Beyazit, Deniz</t>
  </si>
  <si>
    <t>978-1-4744-4553-5</t>
  </si>
  <si>
    <t>The Federal Theatre Project, 1935-1939</t>
  </si>
  <si>
    <t>Engagement and Experimentation</t>
  </si>
  <si>
    <t>The Federal Theatre Project, 1935-1939 E-BOOK</t>
  </si>
  <si>
    <t>Karoula, Rania</t>
  </si>
  <si>
    <t>978-0-7486-3469-9</t>
  </si>
  <si>
    <t>A Historical Phonology of English</t>
  </si>
  <si>
    <t>A Historical Phonology of English E-BOOK</t>
  </si>
  <si>
    <t>Minkova, Donka</t>
  </si>
  <si>
    <t>978-0-7486-6438-2</t>
  </si>
  <si>
    <t>English Historical Sociolinguistics</t>
  </si>
  <si>
    <t>English Historical Sociolinguistics E-BOOK</t>
  </si>
  <si>
    <t>978-1-4744-1160-8</t>
  </si>
  <si>
    <t>Literature of the 1990s</t>
  </si>
  <si>
    <t>Endings and Beginnings</t>
  </si>
  <si>
    <t>Literature of the 1990s E-BOOK</t>
  </si>
  <si>
    <t>978-1-4744-6402-4</t>
  </si>
  <si>
    <t>Scottish Colonial Literature</t>
  </si>
  <si>
    <t>Writing the Atlantic, 1603-1707</t>
  </si>
  <si>
    <t>Scottish Colonial Literature E-BOOK</t>
  </si>
  <si>
    <t>Sandrock, Kirsten</t>
  </si>
  <si>
    <t>978-1-4744-2650-3</t>
  </si>
  <si>
    <t>The Literature of Suburban Change</t>
  </si>
  <si>
    <t>Narrating Spatial Complexity in Metropolitan America</t>
  </si>
  <si>
    <t>The Literature of Suburban Change E-BOOK</t>
  </si>
  <si>
    <t>Dines, Martin</t>
  </si>
  <si>
    <t>978-1-4744-3827-8</t>
  </si>
  <si>
    <t>Sensing Willa Cather</t>
  </si>
  <si>
    <t>The Writer and the Body in Transition</t>
  </si>
  <si>
    <t>Sensing Willa Cather E-BOOK</t>
  </si>
  <si>
    <t>Reynolds, Guy J.</t>
  </si>
  <si>
    <t>978-0-7486-3027-1</t>
  </si>
  <si>
    <t>A Historical Companion to Postcolonial Literatures - Continental Europe and its Empires</t>
  </si>
  <si>
    <t>A Historical Companion to Postcolonial Literatures -  E-BOOK</t>
  </si>
  <si>
    <t>Jensen, Lars / Poddar, Prem / Patke, Rajeev</t>
  </si>
  <si>
    <t>978-1-4744-6099-6</t>
  </si>
  <si>
    <t>Sacred Place and Sacred Time in the Medieval Islamic Middle East</t>
  </si>
  <si>
    <t>A Historical Perspective</t>
  </si>
  <si>
    <t>Sacred Place and Sacred Time in the Medieval Islamic  E-BOOK</t>
  </si>
  <si>
    <t>Talmon-Heller, Daniella</t>
  </si>
  <si>
    <t>978-1-4744-0946-9</t>
  </si>
  <si>
    <t>Shakespeare in Hindsight</t>
  </si>
  <si>
    <t>Counterfactual Thinking and Shakespearean Tragedy</t>
  </si>
  <si>
    <t>Shakespeare in Hindsight E-BOOK</t>
  </si>
  <si>
    <t>Khan, Amir</t>
  </si>
  <si>
    <t>978-1-4744-7171-8</t>
  </si>
  <si>
    <t>A Historical Companion to Postcolonial Literatures in English</t>
  </si>
  <si>
    <t>A Historical Companion to Postcolonial Literatures in E-BOOK</t>
  </si>
  <si>
    <t>Poddar, Prem / Johnson, David</t>
  </si>
  <si>
    <t>978-1-4744-5041-6</t>
  </si>
  <si>
    <t>Art, Allegory and the Rise of Shi’ism in Iran, 1487-1565</t>
  </si>
  <si>
    <t>Art, Allegory and the Rise of Shi’ism in Iran, 1487-1 E-BOOK</t>
  </si>
  <si>
    <t>Kia, Chad</t>
  </si>
  <si>
    <t>978-1-4744-3289-4</t>
  </si>
  <si>
    <t>Shakespeare’s Moral Compass</t>
  </si>
  <si>
    <t>Shakespeare’s Moral Compass E-BOOK</t>
  </si>
  <si>
    <t>978-0-7486-4479-7</t>
  </si>
  <si>
    <t>English Historical Semantics</t>
  </si>
  <si>
    <t>English Historical Semantics E-BOOK</t>
  </si>
  <si>
    <t>Kay, Christian / Allan, Kathryn</t>
  </si>
  <si>
    <t>978-1-4744-2662-6</t>
  </si>
  <si>
    <t>Female Religious Authority in Shi'i Islam</t>
  </si>
  <si>
    <t>Female Religious Authority in Shi'i Islam E-BOOK</t>
  </si>
  <si>
    <t>Künkler, Mirjam / Stewart, Devin J.</t>
  </si>
  <si>
    <t>978-0-7486-9340-5</t>
  </si>
  <si>
    <t>The Edinburgh Companion to Critical Theory</t>
  </si>
  <si>
    <t>The Edinburgh Companion to Critical Theory E-BOOK</t>
  </si>
  <si>
    <t>978-1-4744-3685-4</t>
  </si>
  <si>
    <t>Pina Bausch's Dance Theatre</t>
  </si>
  <si>
    <t>Tracing the Evolution of Tanztheater</t>
  </si>
  <si>
    <t>Pina Bausch's Dance Theatre E-BOOK</t>
  </si>
  <si>
    <t>Weir, Lucy</t>
  </si>
  <si>
    <t>DRA004000 DRAMA / European / General</t>
  </si>
  <si>
    <t>978-1-4744-1963-5</t>
  </si>
  <si>
    <t>Modernism and the Theatre of the Baroque</t>
  </si>
  <si>
    <t>Modernism and the Theatre of the Baroque E-BOOK</t>
  </si>
  <si>
    <t>Armond, Kate</t>
  </si>
  <si>
    <t>978-0-7486-9089-3</t>
  </si>
  <si>
    <t>An Apocalyptic History of the Early Fatimid Empire</t>
  </si>
  <si>
    <t>An Apocalyptic History of the Early Fatimid Empire E-BOOK</t>
  </si>
  <si>
    <t>Velji, Jamel</t>
  </si>
  <si>
    <t>978-1-4744-2469-1</t>
  </si>
  <si>
    <t>F. Scott Fitzgerald’s Short Fiction</t>
  </si>
  <si>
    <t>From Ragtime to Swing Time</t>
  </si>
  <si>
    <t>F. Scott Fitzgerald’s Short Fiction E-BOOK</t>
  </si>
  <si>
    <t>Adams, Jade Broughton</t>
  </si>
  <si>
    <t>978-0-7486-3396-8</t>
  </si>
  <si>
    <t>Literature of the 1980s</t>
  </si>
  <si>
    <t>After the Watershed: Volume 9</t>
  </si>
  <si>
    <t>Literature of the 1980s E-BOOK</t>
  </si>
  <si>
    <t>Brooker, Joseph</t>
  </si>
  <si>
    <t>978-0-7486-8278-2</t>
  </si>
  <si>
    <t>Contemporary Stylistics</t>
  </si>
  <si>
    <t>Language, Cognition, Interpretation</t>
  </si>
  <si>
    <t>Contemporary Stylistics E-BOOK</t>
  </si>
  <si>
    <t>Gibbons, Alison / Whiteley, Sara</t>
  </si>
  <si>
    <t>978-1-4744-6644-8</t>
  </si>
  <si>
    <t>The Ideology of Democratic Athens</t>
  </si>
  <si>
    <t>Institutions, Orators and the Mythical Past</t>
  </si>
  <si>
    <t>The Ideology of Democratic Athens E-BOOK</t>
  </si>
  <si>
    <t>Barbato, Matteo</t>
  </si>
  <si>
    <t>New Approaches to Ancient Greek Institutional History</t>
  </si>
  <si>
    <t>978-0-7486-9909-4</t>
  </si>
  <si>
    <t>The English Aeneid</t>
  </si>
  <si>
    <t>Translations of Virgil 1555-1646</t>
  </si>
  <si>
    <t>The English Aeneid E-BOOK</t>
  </si>
  <si>
    <t>Brammall, Sheldon</t>
  </si>
  <si>
    <t>978-1-4744-6921-0</t>
  </si>
  <si>
    <t>Mador of the Moor</t>
  </si>
  <si>
    <t>Mador of the Moor E-BOOK</t>
  </si>
  <si>
    <t>Hogg, James / Barcus, James E.</t>
  </si>
  <si>
    <t>978-1-4744-0892-9</t>
  </si>
  <si>
    <t>The Edinburgh Companion to Fin-de-Siècle Literature, Culture and the Arts</t>
  </si>
  <si>
    <t>The Edinburgh Companion to Fin-de-Siècle Literature,  E-BOOK</t>
  </si>
  <si>
    <t>Guy, Josephine M.</t>
  </si>
  <si>
    <t>978-1-4744-3925-1</t>
  </si>
  <si>
    <t>The Jihadist Preachers of the End Times</t>
  </si>
  <si>
    <t>ISIS Apocalyptic Propaganda</t>
  </si>
  <si>
    <t>The Jihadist Preachers of the End Times E-BOOK</t>
  </si>
  <si>
    <t>Ostřanský, Bronislav</t>
  </si>
  <si>
    <t>978-0-7486-3151-3</t>
  </si>
  <si>
    <t>Literature of the 1940s</t>
  </si>
  <si>
    <t>War, Postwar and Peace: Volume 5</t>
  </si>
  <si>
    <t>Literature of the 1940s E-BOOK</t>
  </si>
  <si>
    <t>978-1-4744-0066-4</t>
  </si>
  <si>
    <t>The Edinburgh Companion to the Short Story in English</t>
  </si>
  <si>
    <t>The Edinburgh Companion to the Short Story in English E-BOOK</t>
  </si>
  <si>
    <t>Hunter, Adrian / Delaney, Paul</t>
  </si>
  <si>
    <t>978-1-4744-8553-1</t>
  </si>
  <si>
    <t>Violence in Islamic Thought from European Imperialism to the Post-Colonial Era</t>
  </si>
  <si>
    <t>Violence in Islamic Thought from European Imperialism E-BOOK</t>
  </si>
  <si>
    <t>Baig, Mustafa / Gleave, Robert</t>
  </si>
  <si>
    <t>978-0-7486-7569-2</t>
  </si>
  <si>
    <t>The Edinburgh Companion to Samuel Beckett and the Arts</t>
  </si>
  <si>
    <t>The Edinburgh Companion to Samuel Beckett and the Art E-BOOK</t>
  </si>
  <si>
    <t>978-1-4744-1734-1</t>
  </si>
  <si>
    <t>Shakespearean Melancholy</t>
  </si>
  <si>
    <t>Philosophy, Form and the Transformation of Comedy</t>
  </si>
  <si>
    <t>Shakespearean Melancholy E-BOOK</t>
  </si>
  <si>
    <t>Bernard, J.F.</t>
  </si>
  <si>
    <t>978-1-4744-3697-7</t>
  </si>
  <si>
    <t>Vital Resonances</t>
  </si>
  <si>
    <t>Encountering Film with Varda, Haneke and Nancy</t>
  </si>
  <si>
    <t>Vital Resonances E-BOOK</t>
  </si>
  <si>
    <t>Hardy, Francesca Minnie</t>
  </si>
  <si>
    <t>978-1-4744-7977-6</t>
  </si>
  <si>
    <t>Counter-Memories in Iranian Cinema</t>
  </si>
  <si>
    <t>Counter-Memories in Iranian Cinema E-BOOK</t>
  </si>
  <si>
    <t>Wittmann, Matthias / Holl, Ute</t>
  </si>
  <si>
    <t>978-1-4744-4876-5</t>
  </si>
  <si>
    <t>The Retrospective Raj</t>
  </si>
  <si>
    <t>Medicine, Literature and History After Empire</t>
  </si>
  <si>
    <t>The Retrospective Raj E-BOOK</t>
  </si>
  <si>
    <t>Goodman, Sam</t>
  </si>
  <si>
    <t>978-0-7486-4524-4</t>
  </si>
  <si>
    <t>Prince Otto, by Robert Louis Stevenson</t>
  </si>
  <si>
    <t>Prince Otto, by Robert Louis Stevenson E-BOOK</t>
  </si>
  <si>
    <t>Irvine, Robert P.</t>
  </si>
  <si>
    <t>978-1-4744-0018-3</t>
  </si>
  <si>
    <t>The Many Voices of Lydia Davis</t>
  </si>
  <si>
    <t>Translation, Rewriting, Intertextuality</t>
  </si>
  <si>
    <t>The Many Voices of Lydia Davis E-BOOK</t>
  </si>
  <si>
    <t>Evans, Jonathan</t>
  </si>
  <si>
    <t>978-1-4744-8228-8</t>
  </si>
  <si>
    <t>Fencing, Form and Cognition on the Early Modern Stage</t>
  </si>
  <si>
    <t>Artful Devices</t>
  </si>
  <si>
    <t>Fencing, Form and Cognition on the Early Modern Stage E-BOOK</t>
  </si>
  <si>
    <t>Coblentz, Dori</t>
  </si>
  <si>
    <t>978-1-4744-2770-8</t>
  </si>
  <si>
    <t>The Edinburgh Companion to the Postcolonial Middle East</t>
  </si>
  <si>
    <t>The Edinburgh Companion to the Postcolonial Middle Ea E-BOOK</t>
  </si>
  <si>
    <t>Mattar, Karim / Ball, Anna</t>
  </si>
  <si>
    <t>978-1-4744-0185-2</t>
  </si>
  <si>
    <t>The Harvard Lectures of Alfred North Whitehead, 1924-1925</t>
  </si>
  <si>
    <t>Philosophical Presuppositions of Science</t>
  </si>
  <si>
    <t>The Harvard Lectures of Alfred North Whitehead, 1924- E-BOOK</t>
  </si>
  <si>
    <t>Bogaard, Paul / Bell, Jason</t>
  </si>
  <si>
    <t>The Edinburgh Critical Edition of the Complete Works of Alfred North Whitehead</t>
  </si>
  <si>
    <t>978-1-4744-5159-8</t>
  </si>
  <si>
    <t>A Monument to Medieval Syrian Book Culture</t>
  </si>
  <si>
    <t>The Library of Ibn ʿAbd al-Hādī</t>
  </si>
  <si>
    <t>A Monument to Medieval Syrian Book Culture E-BOOK</t>
  </si>
  <si>
    <t>978-0-7486-9693-2</t>
  </si>
  <si>
    <t>Lyrics of Life</t>
  </si>
  <si>
    <t>Sa'di on Love, Cosmopolitanism and Care of the Self</t>
  </si>
  <si>
    <t>Lyrics of Life E-BOOK</t>
  </si>
  <si>
    <t>Keshavarz, Fatemeh</t>
  </si>
  <si>
    <t>978-1-4744-5437-7</t>
  </si>
  <si>
    <t>Crime and Consequence in Early Modern Literature and Law</t>
  </si>
  <si>
    <t>Crime and Consequence in Early Modern Literature and  E-BOOK</t>
  </si>
  <si>
    <t>Hudson, Judith</t>
  </si>
  <si>
    <t>978-1-4744-8782-5</t>
  </si>
  <si>
    <t>Uncontainable Legacies</t>
  </si>
  <si>
    <t>Theses on Intellectual, Cultural, and Political Inheritance</t>
  </si>
  <si>
    <t>Uncontainable Legacies E-BOOK</t>
  </si>
  <si>
    <t>Richter, Gerhard</t>
  </si>
  <si>
    <t>978-1-4744-6761-2</t>
  </si>
  <si>
    <t>Spinoza's Political Philosophy</t>
  </si>
  <si>
    <t>Spinoza's Political Philosophy E-BOOK</t>
  </si>
  <si>
    <t>Caporali, Riccardo</t>
  </si>
  <si>
    <t>978-1-4744-1464-7</t>
  </si>
  <si>
    <t>The Edinburgh Companion to Children's Literature</t>
  </si>
  <si>
    <t>The Edinburgh Companion to Children's Literature E-BOOK</t>
  </si>
  <si>
    <t>Nikolajeva, Maria / Beauvais, Clémentine</t>
  </si>
  <si>
    <t>978-0-7486-4470-4</t>
  </si>
  <si>
    <t>English Historical Pragmatics</t>
  </si>
  <si>
    <t>English Historical Pragmatics E-BOOK</t>
  </si>
  <si>
    <t>Jucker, Andreas / Taavitsainen, Irma</t>
  </si>
  <si>
    <t>978-1-4744-2143-0</t>
  </si>
  <si>
    <t>Making Mongol History</t>
  </si>
  <si>
    <t>Rashid al-Din and the Jamiʿ al-Tawarikh</t>
  </si>
  <si>
    <t>Making Mongol History E-BOOK</t>
  </si>
  <si>
    <t>Kamola, Stefan</t>
  </si>
  <si>
    <t>978-0-7486-8242-3</t>
  </si>
  <si>
    <t>Rethinking Shakespeare's Political Philosophy</t>
  </si>
  <si>
    <t>From Lear to Leviathan</t>
  </si>
  <si>
    <t>Rethinking Shakespeare's Political Philosophy E-BOOK</t>
  </si>
  <si>
    <t>Schulman, Alex</t>
  </si>
  <si>
    <t>978-0-7486-2854-4</t>
  </si>
  <si>
    <t>James Boswell's Life of Johnson</t>
  </si>
  <si>
    <t>Manuscript Edition: Volume 3, 1776–1780</t>
  </si>
  <si>
    <t>James Boswell's Life of Johnson E-BOOK</t>
  </si>
  <si>
    <t>978-1-4744-9031-3</t>
  </si>
  <si>
    <t>The Politics of Culture in Contemporary Turkey</t>
  </si>
  <si>
    <t>The Politics of Culture in Contemporary Turkey E-BOOK</t>
  </si>
  <si>
    <t>Hecker, Pierre / Akyıldız, Kaya / Furman, Ivo</t>
  </si>
  <si>
    <t>EBOOK PACKAGE Architecture and Design 2021 | EBOOK PACKAGE Arts, Architecture and Design 2021 English | EBOOK PACKAGE COMPLETE 2021 | EBOOK PACKAGE COMPLETE 2021 English | Edinburgh University Press Complete eBook-Package 2022 | NC State Art &amp; Architecture P&amp;C eBook Package 2022 | Universidad Santiago Chile P&amp;C 2024</t>
  </si>
  <si>
    <t>978-1-4744-2747-0</t>
  </si>
  <si>
    <t>Shakespeare and the Fall of the Roman Republic</t>
  </si>
  <si>
    <t>Selfhood, Stoicism and Civil War</t>
  </si>
  <si>
    <t>Shakespeare and the Fall of the Roman Republic E-BOOK</t>
  </si>
  <si>
    <t>Gray, Patrick</t>
  </si>
  <si>
    <t>978-1-4744-2134-8</t>
  </si>
  <si>
    <t>Reading Elizabeth Bishop</t>
  </si>
  <si>
    <t>Reading Elizabeth Bishop E-BOOK</t>
  </si>
  <si>
    <t>978-1-4744-8534-0</t>
  </si>
  <si>
    <t>Digisprudence: Code as Law Rebooted</t>
  </si>
  <si>
    <t>Digisprudence: Code as Law Rebooted E-BOOK</t>
  </si>
  <si>
    <t>Diver, Laurence E.</t>
  </si>
  <si>
    <t>LAW104000 LAW / Computer &amp; Internet</t>
  </si>
  <si>
    <t>EBOOK PACKAGE COMPLETE 2021 | EBOOK PACKAGE COMPLETE 2021 English | EBOOK PACKAGE Law 2021 | EBOOK PACKAGE Law 2021 English | Edinburgh University Press Complete eBook-Package 2021 | Yale P&amp;C Law Package 2023</t>
  </si>
  <si>
    <t>978-1-4744-2490-5</t>
  </si>
  <si>
    <t>The Edinburgh History of the British and Irish Press, Volume 2</t>
  </si>
  <si>
    <t>Expansion and Evolution, 1800-1900</t>
  </si>
  <si>
    <t>The Edinburgh History of the British and Irish Press, E-BOOK</t>
  </si>
  <si>
    <t>Finkelstein, David</t>
  </si>
  <si>
    <t>The Edinburgh History of the British and Irish Press</t>
  </si>
  <si>
    <t>Edinburgh University Press Complete eBook-Package 2020 | The Edinburgh History British and Irish Press V1-3 E-BOOK</t>
  </si>
  <si>
    <t>978-1-4744-7970-7</t>
  </si>
  <si>
    <t>Christian Monastic Life in Early Islam</t>
  </si>
  <si>
    <t>Christian Monastic Life in Early Islam E-BOOK</t>
  </si>
  <si>
    <t>Bowman, Bradley</t>
  </si>
  <si>
    <t>978-1-4744-3237-5</t>
  </si>
  <si>
    <t>The Edinburgh Companion to Gothic and the Arts</t>
  </si>
  <si>
    <t>The Edinburgh Companion to Gothic and the Arts E-BOOK</t>
  </si>
  <si>
    <t>Colorado State University 2023 EBA Selections | Colorado State University EBA Selections 2023 | Edinburgh University Press Complete eBook-Package 2019</t>
  </si>
  <si>
    <t>978-1-4744-8156-4</t>
  </si>
  <si>
    <t>Alison Light – Inside History</t>
  </si>
  <si>
    <t>From Popular Fiction to Life-Writing</t>
  </si>
  <si>
    <t>Alison Light – Inside History E-BOOK</t>
  </si>
  <si>
    <t>Light, Alison</t>
  </si>
  <si>
    <t>The Feminist Library: Essays in Cultural Criticism</t>
  </si>
  <si>
    <t>978-1-4744-8592-0</t>
  </si>
  <si>
    <t>Islam and the Crusades</t>
  </si>
  <si>
    <t>Islam and the Crusades E-BOOK</t>
  </si>
  <si>
    <t>978-1-4744-7638-6</t>
  </si>
  <si>
    <t>Hong Kong Cinema and Sinophone Transnationalisms</t>
  </si>
  <si>
    <t>Hong Kong Cinema and Sinophone Transnationalisms E-BOOK</t>
  </si>
  <si>
    <t>Tan, See Kam</t>
  </si>
  <si>
    <t>978-0-7486-3112-4</t>
  </si>
  <si>
    <t>Political Parties in Britain</t>
  </si>
  <si>
    <t>Political Parties in Britain E-BOOK</t>
  </si>
  <si>
    <t>Cole, Matt / Deighan, Helen</t>
  </si>
  <si>
    <t>978-1-4744-1301-5</t>
  </si>
  <si>
    <t>Violence in Islamic Thought from the Mongols to European Imperialism</t>
  </si>
  <si>
    <t>Violence in Islamic Thought from the Mongols to Europ E-BOOK</t>
  </si>
  <si>
    <t>978-1-4744-3550-5</t>
  </si>
  <si>
    <t>Caught In-Between</t>
  </si>
  <si>
    <t>Intermediality in Contemporary Eastern European and Russian Cinema</t>
  </si>
  <si>
    <t>Caught In-Between E-BOOK</t>
  </si>
  <si>
    <t>Pethő, Ágnes</t>
  </si>
  <si>
    <t>978-0-7486-9456-3</t>
  </si>
  <si>
    <t>A Historical Syntax of English</t>
  </si>
  <si>
    <t>A Historical Syntax of English E-BOOK</t>
  </si>
  <si>
    <t>Los, Bettelou</t>
  </si>
  <si>
    <t>978-1-4744-3977-0</t>
  </si>
  <si>
    <t>The Little Art Colony and US Modernism</t>
  </si>
  <si>
    <t>Carmel, Provincetown, Taos</t>
  </si>
  <si>
    <t>The Little Art Colony and US Modernism E-BOOK</t>
  </si>
  <si>
    <t>Gano, Geneva M.</t>
  </si>
  <si>
    <t>978-1-4744-4004-2</t>
  </si>
  <si>
    <t>Pragmatics</t>
  </si>
  <si>
    <t>Pragmatics E-BOOK</t>
  </si>
  <si>
    <t>Cummins, Chris</t>
  </si>
  <si>
    <t>978-0-7486-5555-7</t>
  </si>
  <si>
    <t>The Strange Death of Labour Scotland</t>
  </si>
  <si>
    <t>The Strange Death of Labour Scotland E-BOOK</t>
  </si>
  <si>
    <t>Hassan, Gerry / Shaw, Eric</t>
  </si>
  <si>
    <t>978-1-4744-1586-6</t>
  </si>
  <si>
    <t>The World of Image in Islamic Philosophy</t>
  </si>
  <si>
    <t>Ibn Sina, Suhrawardi, Shahrazuri and Beyond</t>
  </si>
  <si>
    <t>The World of Image in Islamic Philosophy E-BOOK</t>
  </si>
  <si>
    <t>van Lit, L. W. C.</t>
  </si>
  <si>
    <t>978-0-7486-4514-5</t>
  </si>
  <si>
    <t>Morphological Theory and the Morphology of English</t>
  </si>
  <si>
    <t>Morphological Theory and the Morphology of English E-BOOK</t>
  </si>
  <si>
    <t>Don, Jan</t>
  </si>
  <si>
    <t>978-1-4744-0526-3</t>
  </si>
  <si>
    <t>Weir of Hermiston, by Robert Louis Stevenson</t>
  </si>
  <si>
    <t>Weir of Hermiston, by Robert Louis Stevenson E-BOOK</t>
  </si>
  <si>
    <t>Stevenson, R. L. / Hughes, Gillian</t>
  </si>
  <si>
    <t>978-1-4744-6999-9</t>
  </si>
  <si>
    <t>Women's Periodicals and Print Culture in Britain, 1940s-2000s</t>
  </si>
  <si>
    <t>The Postwar and Contemporary Period</t>
  </si>
  <si>
    <t>Women's Periodicals and Print Culture in Britain, 194 E-BOOK</t>
  </si>
  <si>
    <t>Forster, Laurel / Hollows, Joanne</t>
  </si>
  <si>
    <t>The Edinburgh History of Women's Periodical Culture in Britain</t>
  </si>
  <si>
    <t>978-1-4744-5065-2</t>
  </si>
  <si>
    <t>Women, Periodicals and Print Culture in Britain, 1890s-1920s</t>
  </si>
  <si>
    <t>The Modernist Period</t>
  </si>
  <si>
    <t>Women, Periodicals and Print Culture in Britain, 1890 E-BOOK</t>
  </si>
  <si>
    <t>Binckes, Faith / Snyder, Carey</t>
  </si>
  <si>
    <t>978-1-4744-8600-2</t>
  </si>
  <si>
    <t>Classical Islam</t>
  </si>
  <si>
    <t>Classical Islam E-BOOK</t>
  </si>
  <si>
    <t>978-1-4744-4199-5</t>
  </si>
  <si>
    <t>The General Correspondence of James Boswell, 1757–1763</t>
  </si>
  <si>
    <t>Research Edition: Correspondence, Volume 9</t>
  </si>
  <si>
    <t>The General Correspondence of James Boswell, 1757–176 E-BOOK</t>
  </si>
  <si>
    <t>Boswell, James / Caudle, James J.</t>
  </si>
  <si>
    <t>978-1-4744-6159-7</t>
  </si>
  <si>
    <t>Living Jim Crow</t>
  </si>
  <si>
    <t>The Segregated Town in Mid-Century Southern Fiction</t>
  </si>
  <si>
    <t>Living Jim Crow E-BOOK</t>
  </si>
  <si>
    <t>Lennon, Gavan</t>
  </si>
  <si>
    <t>978-1-4744-9196-9</t>
  </si>
  <si>
    <t>Carlyle, Emerson and the Transatlantic Uses of Authority</t>
  </si>
  <si>
    <t>Literature, Print, Performance</t>
  </si>
  <si>
    <t>Carlyle, Emerson and the Transatlantic Uses of Author E-BOOK</t>
  </si>
  <si>
    <t>Sommer, Tim</t>
  </si>
  <si>
    <t>978-1-4744-7566-2</t>
  </si>
  <si>
    <t>Virgil’s English Translators</t>
  </si>
  <si>
    <t>Civil Wars to Restoration</t>
  </si>
  <si>
    <t>Virgil’s English Translators E-BOOK</t>
  </si>
  <si>
    <t>Calvert, Ian</t>
  </si>
  <si>
    <t>978-1-3995-0416-4</t>
  </si>
  <si>
    <t>The Diaries of Katherine Mansfield</t>
  </si>
  <si>
    <t>Including Miscellaneous Works</t>
  </si>
  <si>
    <t>The Diaries of Katherine Mansfield E-BOOK</t>
  </si>
  <si>
    <t>Davison, Claire / Kimber, Gerri</t>
  </si>
  <si>
    <t>The Edinburgh Edition of the Collected Works of Katherine Mansfield</t>
  </si>
  <si>
    <t>978-1-4744-7542-6</t>
  </si>
  <si>
    <t>American Snobs</t>
  </si>
  <si>
    <t>Transatlantic Novelists, Liberal Culture and the Genteel Tradition</t>
  </si>
  <si>
    <t>American Snobs E-BOOK</t>
  </si>
  <si>
    <t>Coit, Emily</t>
  </si>
  <si>
    <t>978-1-4744-5257-1</t>
  </si>
  <si>
    <t>The Politics of Association in Hellenistic Rhodes</t>
  </si>
  <si>
    <t>The Politics of Association in Hellenistic Rhodes E-BOOK</t>
  </si>
  <si>
    <t>Thomsen, Christian</t>
  </si>
  <si>
    <t>978-1-3995-0397-6</t>
  </si>
  <si>
    <t>The Collected Fiction of Katherine Mansfield, 1898-1915</t>
  </si>
  <si>
    <t>The Collected Fiction of Katherine Mansfield, 1898-15 E-BOOK</t>
  </si>
  <si>
    <t>Mansfield, Katherine / Kimber, Gerri / O'Sullivan, Vincent</t>
  </si>
  <si>
    <t>978-1-4744-1254-4</t>
  </si>
  <si>
    <t>Women's Periodicals and Print Culture in Britain, 1918-1939</t>
  </si>
  <si>
    <t>The Interwar Period</t>
  </si>
  <si>
    <t>Women's Periodicals and Print Culture in Britain, 191 E-BOOK</t>
  </si>
  <si>
    <t>Hackney, Fiona</t>
  </si>
  <si>
    <t>978-0-7486-8273-7</t>
  </si>
  <si>
    <t>Arabic Political Discourse in Transition</t>
  </si>
  <si>
    <t>Arabic Political Discourse in Transition E-BOOK</t>
  </si>
  <si>
    <t>978-1-4744-8224-0</t>
  </si>
  <si>
    <t>Iran to India</t>
  </si>
  <si>
    <t>The Shansabānīs of Afghanistan, c. 1145-1190 CE</t>
  </si>
  <si>
    <t>Iran to India E-BOOK</t>
  </si>
  <si>
    <t>Patel, Alka</t>
  </si>
  <si>
    <t>978-1-4744-9309-3</t>
  </si>
  <si>
    <t>Craftworkers in Nineteenth Century Scotland</t>
  </si>
  <si>
    <t>Making and Adapting in an Industrial Age</t>
  </si>
  <si>
    <t>Craftworkers in Nineteenth Century Scotland E-BOOK</t>
  </si>
  <si>
    <t>Nenadic, Stana</t>
  </si>
  <si>
    <t>978-1-4744-9463-2</t>
  </si>
  <si>
    <t>Japanese High School Films</t>
  </si>
  <si>
    <t>Iconography, Nostalgia and Discipline</t>
  </si>
  <si>
    <t>Japanese High School Films E-BOOK</t>
  </si>
  <si>
    <t>Pugsley, Peter C.</t>
  </si>
  <si>
    <t>978-1-4744-6114-6</t>
  </si>
  <si>
    <t>A History of Danish Cinema</t>
  </si>
  <si>
    <t>A History of Danish Cinema E-BOOK</t>
  </si>
  <si>
    <t>Chow, Pei-Sze / Thomson, C. Claire / Thorsen, Isak</t>
  </si>
  <si>
    <t>978-1-4744-3507-9</t>
  </si>
  <si>
    <t>Seeing God in Sufi Qur’an Commentaries</t>
  </si>
  <si>
    <t>Crossings between This World and the Otherworld</t>
  </si>
  <si>
    <t>Seeing God in Sufi Qur’an Commentaries E-BOOK</t>
  </si>
  <si>
    <t>Coppens, Pieter</t>
  </si>
  <si>
    <t>978-1-4744-2494-3</t>
  </si>
  <si>
    <t>The Edinburgh History of the British and Irish Press, Volume 3</t>
  </si>
  <si>
    <t>Competition and Disruption, 1900-2017</t>
  </si>
  <si>
    <t>Conboy, Martin / Bingham, Adrian</t>
  </si>
  <si>
    <t>978-1-4744-1694-8</t>
  </si>
  <si>
    <t>The Harvard Lectures of Alfred North Whitehead, 1925-1927</t>
  </si>
  <si>
    <t>General Metaphysical Problems of Science</t>
  </si>
  <si>
    <t>The Harvard Lectures of Alfred North Whitehead, 1925- E-BOOK</t>
  </si>
  <si>
    <t>Petek, Joseph / Lucas, George / Henning, Brian G.</t>
  </si>
  <si>
    <t>978-1-4744-1966-6</t>
  </si>
  <si>
    <t>Women's Periodicals and Print Culture in Britain, 1690-1820s</t>
  </si>
  <si>
    <t>The Long Eighteenth Century</t>
  </si>
  <si>
    <t>Women's Periodicals and Print Culture in Britain, 169 E-BOOK</t>
  </si>
  <si>
    <t>Batchelor, Jennie / Powell, Manushag N.</t>
  </si>
  <si>
    <t>978-1-4744-3392-1</t>
  </si>
  <si>
    <t>Women, Periodicals and Print Culture in Britain, 1830s-1900s</t>
  </si>
  <si>
    <t>The Victorian Period</t>
  </si>
  <si>
    <t>Women, Periodicals and Print Culture in Britain, 1830 E-BOOK</t>
  </si>
  <si>
    <t>Rodgers, Beth / Easley, Alexis / Gill, Clare</t>
  </si>
  <si>
    <t>978-1-4744-8104-5</t>
  </si>
  <si>
    <t>British Cinema and a Divided Nation</t>
  </si>
  <si>
    <t>British Cinema and a Divided Nation E-BOOK</t>
  </si>
  <si>
    <t>978-1-4744-2447-9</t>
  </si>
  <si>
    <t>Irish Drama and the Other Revolutions</t>
  </si>
  <si>
    <t>Playwrights, Sexual Politics and the International Left, 1892-1964</t>
  </si>
  <si>
    <t>Irish Drama and the Other Revolutions E-BOOK</t>
  </si>
  <si>
    <t>Cannon Harris, Susan</t>
  </si>
  <si>
    <t>978-1-4744-8672-9</t>
  </si>
  <si>
    <t>Giorgio Agamben’s Homo Sacer Series</t>
  </si>
  <si>
    <t>Giorgio Agamben’s Homo Sacer Series E-BOOK</t>
  </si>
  <si>
    <t>Dickinson, Colby</t>
  </si>
  <si>
    <t>EBOOK PACKAGE COMPLETE 2022 | EBOOK PACKAGE COMPLETE 2022 English | EBOOK PACKAGE Philosophy 2022 | EBOOK PACKAGE Philosophy 2022 English | Edinburgh University Press Complete eBook-Package 2022</t>
  </si>
  <si>
    <t>978-1-4744-8982-9</t>
  </si>
  <si>
    <t>Counterpoetics of Modernity</t>
  </si>
  <si>
    <t>On Irish Poetry and Modernism</t>
  </si>
  <si>
    <t>Counterpoetics of Modernity E-BOOK</t>
  </si>
  <si>
    <t>EBOOK PACKAGE COMPLETE 2022 | EBOOK PACKAGE COMPLETE 2022 English | EBOOK PACKAGE Literary, Cultural, Area Studies 2022 | EBOOK PACKAGE Literary, Cultural, Area Studies 2022 English | Edinburgh University Press Complete eBook-Package 2022</t>
  </si>
  <si>
    <t>978-1-4744-3286-3</t>
  </si>
  <si>
    <t>American Travel Literature, Gendered Aesthetics, and the Italian Tour, 1824–62</t>
  </si>
  <si>
    <t>American Travel Literature, Gendered Aesthetics, and  E-BOOK</t>
  </si>
  <si>
    <t>Bailey, Brigitte</t>
  </si>
  <si>
    <t>978-1-4744-8442-8</t>
  </si>
  <si>
    <t>Late Modernism and the Poetics of Place</t>
  </si>
  <si>
    <t>Late Modernism and the Poetics of Place E-BOOK</t>
  </si>
  <si>
    <t>Alexander, Neal</t>
  </si>
  <si>
    <t>978-1-4744-5556-5</t>
  </si>
  <si>
    <t>Lexical Variation of an East Midlands Mining Community</t>
  </si>
  <si>
    <t>Lexical Variation of an East Midlands Mining Communit E-BOOK</t>
  </si>
  <si>
    <t>Braber, Natalie</t>
  </si>
  <si>
    <t>EBOOK PACKAGE COMPLETE 2022 | EBOOK PACKAGE COMPLETE 2022 English | EBOOK PACKAGE Linguistics 2022 | EBOOK PACKAGE Linguistics 2022 English | Edinburgh University Press Complete eBook-Package 2022</t>
  </si>
  <si>
    <t>978-1-4744-4714-0</t>
  </si>
  <si>
    <t>Atlas of the Hillforts of Britain and Ireland</t>
  </si>
  <si>
    <t>Atlas of the Hillforts of Britain and Ireland E-BOOK</t>
  </si>
  <si>
    <t>Lock, Gary</t>
  </si>
  <si>
    <t>EBOOK PACKAGE COMPLETE 2022 | EBOOK PACKAGE COMPLETE 2022 English | EBOOK PACKAGE History 2022 | EBOOK PACKAGE History 2022 English | Edinburgh University Press Complete eBook-Package 2022</t>
  </si>
  <si>
    <t>978-1-4744-8814-3</t>
  </si>
  <si>
    <t>Language Change and Linguistic Diversity</t>
  </si>
  <si>
    <t>Studies in Honour of Lyle Campbell</t>
  </si>
  <si>
    <t>Language Change and Linguistic Diversity E-BOOK</t>
  </si>
  <si>
    <t>Chacon, Thiago Costa</t>
  </si>
  <si>
    <t>FOR000000 FOREIGN LANGUAGE STUDY / General</t>
  </si>
  <si>
    <t>978-1-4744-8807-5</t>
  </si>
  <si>
    <t>The Eurasian Steppe</t>
  </si>
  <si>
    <t>People, Movement, Ideas</t>
  </si>
  <si>
    <t>The Eurasian Steppe E-BOOK</t>
  </si>
  <si>
    <t>Ball, Warwick</t>
  </si>
  <si>
    <t>978-1-4744-2732-6</t>
  </si>
  <si>
    <t>Slaves and Highlanders</t>
  </si>
  <si>
    <t>Silenced Histories of Scotland and the Caribbean</t>
  </si>
  <si>
    <t>Slaves and Highlanders E-BOOK</t>
  </si>
  <si>
    <t>Alston, David</t>
  </si>
  <si>
    <t>978-1-4744-5541-1</t>
  </si>
  <si>
    <t>Children and Childhood in the Ottoman Empire</t>
  </si>
  <si>
    <t>From the 15th to the 20th Century</t>
  </si>
  <si>
    <t>Children and Childhood in the Ottoman Empire E-BOOK</t>
  </si>
  <si>
    <t>Yilmaz, Gülay / Zachs, Fruma</t>
  </si>
  <si>
    <t>978-1-4744-4591-7</t>
  </si>
  <si>
    <t>Céline Sciamma</t>
  </si>
  <si>
    <t>Portraits</t>
  </si>
  <si>
    <t>Céline Sciamma E-BOOK</t>
  </si>
  <si>
    <t>Wilson, Emma</t>
  </si>
  <si>
    <t>978-1-4744-9173-0</t>
  </si>
  <si>
    <t>Kurdish Diaspora Mobilisation in Denmark</t>
  </si>
  <si>
    <t>Supporting the Struggle in Syria</t>
  </si>
  <si>
    <t>Kurdish Diaspora Mobilisation in Denmark E-BOOK</t>
  </si>
  <si>
    <t>Sofie Schøtt, Anne</t>
  </si>
  <si>
    <t>Edinburgh Studies on Diasporas and Transnationalism</t>
  </si>
  <si>
    <t>978-1-4744-8347-6</t>
  </si>
  <si>
    <t>Resonant Bodies in Contemporary European Art Cinema</t>
  </si>
  <si>
    <t>Resonant Bodies in Contemporary European Art Cinema E-BOOK</t>
  </si>
  <si>
    <t>Talijan, Emilija</t>
  </si>
  <si>
    <t>EBOOK PACKAGE Arts 2022 | EBOOK PACKAGE Arts, Architecture and Design 2022 English | EBOOK PACKAGE COMPLETE 2022 | EBOOK PACKAGE COMPLETE 2022 English | Edinburgh University Press Complete eBook-Package 2022</t>
  </si>
  <si>
    <t>978-1-4744-9205-8</t>
  </si>
  <si>
    <t>The Alevis in Modern Turkey and the Diaspora</t>
  </si>
  <si>
    <t>Recognition, Mobilisation and Transformation</t>
  </si>
  <si>
    <t>The Alevis in Modern Turkey and the Diaspora E-BOOK</t>
  </si>
  <si>
    <t>Ozkul, Derya</t>
  </si>
  <si>
    <t>978-1-4744-9360-4</t>
  </si>
  <si>
    <t>Quintus of Smyrna’s 'Posthomerica'</t>
  </si>
  <si>
    <t>Writing Homer Under Rome</t>
  </si>
  <si>
    <t>Quintus of Smyrna’s 'Posthomerica' E-BOOK</t>
  </si>
  <si>
    <t>Bär, Silvio</t>
  </si>
  <si>
    <t>EBOOK PACKAGE COMPLETE 2022 | EBOOK PACKAGE COMPLETE 2022 English | EBOOK PACKAGE Classical Studies 2022 | EBOOK PACKAGE Classical Studies 2022 English | Edinburgh University Press Complete eBook-Package 2022</t>
  </si>
  <si>
    <t>978-1-4744-8883-9</t>
  </si>
  <si>
    <t>Bergson's Philosophy of Biology</t>
  </si>
  <si>
    <t>Virtual and the Vital</t>
  </si>
  <si>
    <t>Bergson's Philosophy of Biology E-BOOK</t>
  </si>
  <si>
    <t>Posteraro, Tano</t>
  </si>
  <si>
    <t>978-1-4744-9168-6</t>
  </si>
  <si>
    <t>The Revival of Evangelicalism</t>
  </si>
  <si>
    <t>Mission and Piety in the Victorian Church of Scotland</t>
  </si>
  <si>
    <t>The Revival of Evangelicalism E-BOOK</t>
  </si>
  <si>
    <t>Jones, Andrew Michael</t>
  </si>
  <si>
    <t>978-1-4744-9728-2</t>
  </si>
  <si>
    <t>Cormac McCarthy, Philosophy and the Physics of the Damned</t>
  </si>
  <si>
    <t>Cormac McCarthy, Philosophy and the Physics of the Da E-BOOK</t>
  </si>
  <si>
    <t>O’Connor, Patrick</t>
  </si>
  <si>
    <t>978-1-4744-8842-6</t>
  </si>
  <si>
    <t>Poetics and the Gift</t>
  </si>
  <si>
    <t>Reading Poetry from Homer to Derrida</t>
  </si>
  <si>
    <t>Poetics and the Gift E-BOOK</t>
  </si>
  <si>
    <t xml:space="preserve">Rosenthal, Adam R. </t>
  </si>
  <si>
    <t>978-1-3995-0046-3</t>
  </si>
  <si>
    <t>The Duke of Lennox, 1574-1624</t>
  </si>
  <si>
    <t>A Jacobean Courtier’s Life</t>
  </si>
  <si>
    <t>The Duke of Lennox, 1574-1624 E-BOOK</t>
  </si>
  <si>
    <t>Bergeron, David M.</t>
  </si>
  <si>
    <t>978-1-4744-9002-3</t>
  </si>
  <si>
    <t>Cultivating Vocation in Literary Studies</t>
  </si>
  <si>
    <t>Cultivating Vocation in Literary Studies E-BOOK</t>
  </si>
  <si>
    <t>Johnson, Stephanie</t>
  </si>
  <si>
    <t>978-1-4744-9416-8</t>
  </si>
  <si>
    <t>Linguist on the Loose</t>
  </si>
  <si>
    <t>Adventures and Misadventures in Fieldwork</t>
  </si>
  <si>
    <t>Linguist on the Loose E-BOOK</t>
  </si>
  <si>
    <t>Campbell, Lyle</t>
  </si>
  <si>
    <t>BIO026000 BIOGRAPHY &amp; AUTOBIOGRAPHY / Personal Memoirs</t>
  </si>
  <si>
    <t>978-1-4744-6082-8</t>
  </si>
  <si>
    <t>ReFocus: The Films of Joao Pedro Rodrigues and Joao Rui Guerra da Mata</t>
  </si>
  <si>
    <t>ReFocus: The Films of Joao Pedro Rodrigues and Joao R E-BOOK</t>
  </si>
  <si>
    <t>Duarte, José</t>
  </si>
  <si>
    <t>978-1-4744-8013-0</t>
  </si>
  <si>
    <t>Dynamic Realism</t>
  </si>
  <si>
    <t>Uncovering the Reality of Becoming through Phenomenology and Process Philosophy</t>
  </si>
  <si>
    <t>Dynamic Realism E-BOOK</t>
  </si>
  <si>
    <t>Rock, Tina</t>
  </si>
  <si>
    <t>978-1-4744-7622-5</t>
  </si>
  <si>
    <t>Reading Bodies in Victorian Fiction</t>
  </si>
  <si>
    <t>Associationism, Empathy and Literary Authority</t>
  </si>
  <si>
    <t>Reading Bodies in Victorian Fiction E-BOOK</t>
  </si>
  <si>
    <t>Katz, Peter</t>
  </si>
  <si>
    <t>978-1-4744-5441-4</t>
  </si>
  <si>
    <t>Seamus Heaney, Virgil and the Good of Poetry</t>
  </si>
  <si>
    <t>Seamus Heaney, Virgil and the Good of Poetry E-BOOK</t>
  </si>
  <si>
    <t>978-1-4744-9808-1</t>
  </si>
  <si>
    <t>Questioning: A New History of Western Philosophy</t>
  </si>
  <si>
    <t>Questioning: A New History of Western Philosophy E-BOOK</t>
  </si>
  <si>
    <t>Baker, Gideon</t>
  </si>
  <si>
    <t>978-1-4744-9245-4</t>
  </si>
  <si>
    <t>Merleau-Ponty and Nancy on Sense and Being</t>
  </si>
  <si>
    <t>At the Limits of Phenomenology</t>
  </si>
  <si>
    <t>Merleau-Ponty and Nancy on Sense and Being E-BOOK</t>
  </si>
  <si>
    <t>978-1-4744-5934-1</t>
  </si>
  <si>
    <t>British Muslim Women in the Cultural and Creative Industries</t>
  </si>
  <si>
    <t>British Muslim Women in the Cultural and Creative Ind E-BOOK</t>
  </si>
  <si>
    <t>Warren, Saskia</t>
  </si>
  <si>
    <t>EBOOK PACKAGE Architecture and Design 2022 | EBOOK PACKAGE Arts, Architecture and Design 2022 English | EBOOK PACKAGE COMPLETE 2022 | EBOOK PACKAGE COMPLETE 2022 English | Edinburgh University Press Complete eBook-Package 2022 | NC State Art &amp; Architecture P&amp;C eBook Package 2022 | Universidad Santiago Chile P&amp;C 2024</t>
  </si>
  <si>
    <t>978-1-3995-0565-9</t>
  </si>
  <si>
    <t>ReFocus: The Films of Wallace Fox</t>
  </si>
  <si>
    <t>ReFocus: The Films of Wallace Fox E-BOOK</t>
  </si>
  <si>
    <t>978-1-4744-9052-8</t>
  </si>
  <si>
    <t>Proust Between Deleuze and Derrida</t>
  </si>
  <si>
    <t>The Remains of Literature</t>
  </si>
  <si>
    <t>Proust Between Deleuze and Derrida E-BOOK</t>
  </si>
  <si>
    <t>Dutton, James</t>
  </si>
  <si>
    <t>978-1-4744-8943-0</t>
  </si>
  <si>
    <t>New Authoritarian Practices in the Middle East and North Africa</t>
  </si>
  <si>
    <t>New Authoritarian Practices in the Middle East and No E-BOOK</t>
  </si>
  <si>
    <t>Topak, Ozgun</t>
  </si>
  <si>
    <t>978-1-4744-6632-5</t>
  </si>
  <si>
    <t>Fairness and Rights in International Criminal Procedure</t>
  </si>
  <si>
    <t>Fairness and Rights in International Criminal Procedu E-BOOK</t>
  </si>
  <si>
    <t>Rigney, Sophie</t>
  </si>
  <si>
    <t>EBOOK PACKAGE COMPLETE 2022 | EBOOK PACKAGE COMPLETE 2022 English | EBOOK PACKAGE Law 2022 | EBOOK PACKAGE Law 2022 English | Edinburgh University Press Complete eBook-Package 2022 | Stanford 2023 Law Package P&amp;C | UC Irvine 2024 Law P&amp;C | UNIVERSIDAD NACIONAL AUTÓNOMA DE MÉXICO Pick and Choose 2023 | Yale P&amp;C Law Package 2023</t>
  </si>
  <si>
    <t>978-1-4744-8878-5</t>
  </si>
  <si>
    <t>Continuity, Influences and Integration in Scottish Legal History</t>
  </si>
  <si>
    <t>Select Essays of David Sellar</t>
  </si>
  <si>
    <t>Continuity, Influences and Integration in Scottish Le E-BOOK</t>
  </si>
  <si>
    <t>MacQueen, Hector L.</t>
  </si>
  <si>
    <t>978-0-7486-3679-2</t>
  </si>
  <si>
    <t>Justinian</t>
  </si>
  <si>
    <t>Empire and Society in the Sixth Century</t>
  </si>
  <si>
    <t>Justinian E-BOOK</t>
  </si>
  <si>
    <t>Haarer, F.</t>
  </si>
  <si>
    <t>Edinburgh University Press eBook Placeholder 2024</t>
  </si>
  <si>
    <t>978-1-4744-7643-0</t>
  </si>
  <si>
    <t>ReFocus: The Films of Zoya Akhtar</t>
  </si>
  <si>
    <t>ReFocus: The Films of Zoya Akhtar E-BOOK</t>
  </si>
  <si>
    <t>Magazine, Aakshi</t>
  </si>
  <si>
    <t>978-1-4744-9380-2</t>
  </si>
  <si>
    <t>Faces on Screen</t>
  </si>
  <si>
    <t>New Approaches</t>
  </si>
  <si>
    <t>Faces on Screen E-BOOK</t>
  </si>
  <si>
    <t>Maurice, Alice</t>
  </si>
  <si>
    <t>978-1-4744-5772-9</t>
  </si>
  <si>
    <t>Nietzsche's Gay Science</t>
  </si>
  <si>
    <t>Nietzsche's Gay Science E-BOOK</t>
  </si>
  <si>
    <t>Miner, Robert</t>
  </si>
  <si>
    <t>978-1-4744-8520-3</t>
  </si>
  <si>
    <t>Superhero Blockbusters</t>
  </si>
  <si>
    <t>Seriality and Politics</t>
  </si>
  <si>
    <t>Superhero Blockbusters E-BOOK</t>
  </si>
  <si>
    <t>Brinker, Felix</t>
  </si>
  <si>
    <t>978-1-4744-5996-9</t>
  </si>
  <si>
    <t>Military Leadership from Ancient Greece to Byzantium</t>
  </si>
  <si>
    <t>The Art of Generalship</t>
  </si>
  <si>
    <t>Military Leadership from Ancient Greece to Byzantium E-BOOK</t>
  </si>
  <si>
    <t>EBOOK PACKAGE COMPLETE 2022 | EBOOK PACKAGE COMPLETE 2022 English | EBOOK PACKAGE Classical Studies 2022 | EBOOK PACKAGE Classical Studies 2022 English | Edinburgh University Press Complete eBook-Package 2022 | UC San Diego Pick and Choose eBook Package 2024</t>
  </si>
  <si>
    <t>978-1-4744-9356-7</t>
  </si>
  <si>
    <t>Shakespeare’s Golden Ages</t>
  </si>
  <si>
    <t>Resisting Nostalgia in Elizabethan Drama</t>
  </si>
  <si>
    <t>Shakespeare’s Golden Ages E-BOOK</t>
  </si>
  <si>
    <t>Johanson, Kristine</t>
  </si>
  <si>
    <t>978-1-4744-8190-8</t>
  </si>
  <si>
    <t>Romantic Pasts</t>
  </si>
  <si>
    <t>History, Fiction and Feeling in Britain, 1790-1850</t>
  </si>
  <si>
    <t>Romantic Pasts E-BOOK</t>
  </si>
  <si>
    <t>978-1-4744-9824-1</t>
  </si>
  <si>
    <t>British Romanticism and Denmark</t>
  </si>
  <si>
    <t>British Romanticism and Denmark E-BOOK</t>
  </si>
  <si>
    <t xml:space="preserve">Duffy, Cian </t>
  </si>
  <si>
    <t>978-1-4744-5873-3</t>
  </si>
  <si>
    <t>Floating Charges in Scotland</t>
  </si>
  <si>
    <t>New Perspectives and Current Issues</t>
  </si>
  <si>
    <t>Floating Charges in Scotland E-BOOK</t>
  </si>
  <si>
    <t>Hardman, Jonathan / MacPherson, Alisdair</t>
  </si>
  <si>
    <t>LAW007000 LAW / Banking</t>
  </si>
  <si>
    <t>EBOOK PACKAGE COMPLETE 2022 | EBOOK PACKAGE COMPLETE 2022 English | EBOOK PACKAGE Law 2022 | EBOOK PACKAGE Law 2022 English | Edinburgh University Press Complete eBook-Package 2022 | UC Berkeley Law P&amp;C 2024 | UC Irvine 2024 Law P&amp;C | Yale P&amp;C Law Package 2023</t>
  </si>
  <si>
    <t>978-1-4744-8647-7</t>
  </si>
  <si>
    <t>Derivative Images</t>
  </si>
  <si>
    <t>Financial Derivatives in French Film, Literature and Thought</t>
  </si>
  <si>
    <t>Derivative Images E-BOOK</t>
  </si>
  <si>
    <t>Watt, Calum</t>
  </si>
  <si>
    <t>978-1-4744-7611-9</t>
  </si>
  <si>
    <t>Deleuze, Kierkegaard and the Ethics of Selfhood</t>
  </si>
  <si>
    <t>Deleuze, Kierkegaard and the Ethics of Selfhood E-BOOK</t>
  </si>
  <si>
    <t>Jampol-Petzinger, Andrew M.</t>
  </si>
  <si>
    <t>978-1-4744-7954-7</t>
  </si>
  <si>
    <t>A Political Theory of Muslim Democracy</t>
  </si>
  <si>
    <t>A Political Theory of Muslim Democracy E-BOOK</t>
  </si>
  <si>
    <t>Altuntaş-Çakır, Ravza</t>
  </si>
  <si>
    <t>EBOOK PACKAGE COMPLETE 2022 | EBOOK PACKAGE COMPLETE 2022 English | EBOOK PACKAGE Political Science 2022 | EBOOK PACKAGE Political Science 2022 English | Edinburgh University Press Complete eBook-Package 2022</t>
  </si>
  <si>
    <t>978-1-4744-9188-4</t>
  </si>
  <si>
    <t>From Rumi to the Whirling Dervishes</t>
  </si>
  <si>
    <t>Music, Poetry, and Mysticism in the Ottoman Empire</t>
  </si>
  <si>
    <t>From Rumi to the Whirling Dervishes E-BOOK</t>
  </si>
  <si>
    <t>Feldman, Walter</t>
  </si>
  <si>
    <t>978-1-4744-9502-8</t>
  </si>
  <si>
    <t>Strategic Uses of Nationalism and Ethnic Conflict</t>
  </si>
  <si>
    <t>Interest and Identity in Russia and the Post-Soviet Space</t>
  </si>
  <si>
    <t>Strategic Uses of Nationalism and Ethnic Conflict E-BOOK</t>
  </si>
  <si>
    <t>Kolstø, Pål</t>
  </si>
  <si>
    <t>978-1-4744-1526-2</t>
  </si>
  <si>
    <t>Marginalised Populations in the Ancient Greek World</t>
  </si>
  <si>
    <t>The Bioarchaeology of the Other</t>
  </si>
  <si>
    <t>Marginalised Populations in the Ancient Greek World E-BOOK</t>
  </si>
  <si>
    <t>Weaver, Carrie</t>
  </si>
  <si>
    <t>978-1-4744-9960-6</t>
  </si>
  <si>
    <t>The Manuscript Tradition of the Islamic West</t>
  </si>
  <si>
    <t>Maghribi Round Scripts and Andalusi Identity</t>
  </si>
  <si>
    <t>The Manuscript Tradition of the Islamic West E-BOOK</t>
  </si>
  <si>
    <t>Bongianino, Umberto</t>
  </si>
  <si>
    <t>978-1-4744-6283-9</t>
  </si>
  <si>
    <t>Period Drama</t>
  </si>
  <si>
    <t>Period Drama E-BOOK</t>
  </si>
  <si>
    <t>Woods, Faye</t>
  </si>
  <si>
    <t>PER010010 PERFORMING ARTS / Television / Direction &amp; Production</t>
  </si>
  <si>
    <t>978-1-4744-9984-2</t>
  </si>
  <si>
    <t>A History of Crossroads in Early Modern Culture</t>
  </si>
  <si>
    <t>A History of Crossroads in Early Modern Culture E-BOOK</t>
  </si>
  <si>
    <t>978-1-4744-5171-0</t>
  </si>
  <si>
    <t>Religion, Orientalism and Modernity</t>
  </si>
  <si>
    <t>Mahdi Movements of Iran and South Asia</t>
  </si>
  <si>
    <t>Religion, Orientalism and Modernity E-BOOK</t>
  </si>
  <si>
    <t>Nash, Geoffrey</t>
  </si>
  <si>
    <t>978-1-3995-0006-7</t>
  </si>
  <si>
    <t>The British and the Turks</t>
  </si>
  <si>
    <t>A History of Animosity, 1893-1923</t>
  </si>
  <si>
    <t>The British and the Turks E-BOOK</t>
  </si>
  <si>
    <t>McCarthy, Justin</t>
  </si>
  <si>
    <t>978-1-4744-5300-4</t>
  </si>
  <si>
    <t>Towards an Intermedial History of Brazilian Cinema</t>
  </si>
  <si>
    <t>Towards an Intermedial History of Brazilian Cinema E-BOOK</t>
  </si>
  <si>
    <t xml:space="preserve">Nagib, Lúcia </t>
  </si>
  <si>
    <t>978-1-4744-4345-6</t>
  </si>
  <si>
    <t>Gothic Fiction and the Writing of Trauma, 1914-1934</t>
  </si>
  <si>
    <t>The Ghosts of World War One</t>
  </si>
  <si>
    <t>Gothic Fiction and the Writing of Trauma, 1914-1934 E-BOOK</t>
  </si>
  <si>
    <t>World War I</t>
  </si>
  <si>
    <t>HIS027090 HISTORY / Military / World War I</t>
  </si>
  <si>
    <t>978-1-4744-9041-2</t>
  </si>
  <si>
    <t>Shimmer</t>
  </si>
  <si>
    <t>Flying Fox Exuberance in Worlds of Peril</t>
  </si>
  <si>
    <t>Shimmer E-BOOK</t>
  </si>
  <si>
    <t>Rose, Deborah Bird</t>
  </si>
  <si>
    <t>NAT019000 NATURE / Animals / Mammals</t>
  </si>
  <si>
    <t>EBOOK PACKAGE COMPLETE 2022 | EBOOK PACKAGE COMPLETE 2022 English | EBOOK PACKAGE Medicine and Life Sciences 2022 | EBOOK PACKAGE Medicine and Life Sciences 2022 English | Edinburgh University Press Complete eBook-Package 2022 | UIUC Life Sciences 2023 eBook package | UIUC Life Sciences P&amp;C 2023 Package</t>
  </si>
  <si>
    <t>978-1-3995-0311-2</t>
  </si>
  <si>
    <t>Mary Wollstonecraft</t>
  </si>
  <si>
    <t>Cosmopolitan</t>
  </si>
  <si>
    <t>Mary Wollstonecraft E-BOOK</t>
  </si>
  <si>
    <t xml:space="preserve">Kirkley, Laura </t>
  </si>
  <si>
    <t>978-1-4744-7816-8</t>
  </si>
  <si>
    <t>Roman Law and Maritime Commerce</t>
  </si>
  <si>
    <t>Roman Law and Maritime Commerce E-BOOK</t>
  </si>
  <si>
    <t>Candy, Peter / Mataix Ferrándiz, Emilia</t>
  </si>
  <si>
    <t>978-1-4744-7962-2</t>
  </si>
  <si>
    <t>The Rise of the Western Armenian Diaspora in the Early Modern Ottoman Empire</t>
  </si>
  <si>
    <t>From Refugee Crisis to Renaissance in the 17th Century</t>
  </si>
  <si>
    <t>The Rise of the Western Armenian Diaspora in the Earl E-BOOK</t>
  </si>
  <si>
    <t>Shapiro, Henry</t>
  </si>
  <si>
    <t>HIS037040 HISTORY / Modern / 17th Century</t>
  </si>
  <si>
    <t>978-1-4744-5449-0</t>
  </si>
  <si>
    <t>Rewind, Replay</t>
  </si>
  <si>
    <t>Britain and the Video Boom, 1978-1992</t>
  </si>
  <si>
    <t>Rewind, Replay E-BOOK</t>
  </si>
  <si>
    <t>978-1-4744-7775-8</t>
  </si>
  <si>
    <t>The Law of Delict in Scotland</t>
  </si>
  <si>
    <t>The Law of Delict in Scotland E-BOOK</t>
  </si>
  <si>
    <t>Reid, Elspeth</t>
  </si>
  <si>
    <t>LAW087000 LAW / Torts</t>
  </si>
  <si>
    <t>EBOOK PACKAGE COMPLETE 2022 | EBOOK PACKAGE COMPLETE 2022 English | EBOOK PACKAGE Law 2022 | EBOOK PACKAGE Law 2022 English | Edinburgh University Press Complete eBook-Package 2022 | Stanford 2023 Law Package P&amp;C | UC Berkeley Law P&amp;C 2024 | UC Irvine 2024 Law P&amp;C | Yale P&amp;C Law Package 2023</t>
  </si>
  <si>
    <t>978-1-4744-4221-3</t>
  </si>
  <si>
    <t>Film Stardom in South East Asia</t>
  </si>
  <si>
    <t>Film Stardom in South East Asia E-BOOK</t>
  </si>
  <si>
    <t>Driskell, Jonathan</t>
  </si>
  <si>
    <t>978-1-4744-8887-7</t>
  </si>
  <si>
    <t>The Edinburgh Critical History of Twentieth-Century Christian Theology</t>
  </si>
  <si>
    <t>The Edinburgh Critical History of Twentieth-Century C E-BOOK</t>
  </si>
  <si>
    <t>Ziegler, Philip</t>
  </si>
  <si>
    <t>978-1-4744-8990-4</t>
  </si>
  <si>
    <t>Xenophon's Anabasis</t>
  </si>
  <si>
    <t>A Socratic History</t>
  </si>
  <si>
    <t>Xenophon's Anabasis E-BOOK</t>
  </si>
  <si>
    <t>Brennan, Shane</t>
  </si>
  <si>
    <t>978-1-4744-9152-5</t>
  </si>
  <si>
    <t>Politics of Impunity</t>
  </si>
  <si>
    <t>Torture, The Armed Forces and the Failure of Justice in Brazil</t>
  </si>
  <si>
    <t>Politics of Impunity E-BOOK</t>
  </si>
  <si>
    <t>Furtado, Henrique Tavares</t>
  </si>
  <si>
    <t>LAW006000 LAW / Arbitration, Negotiation, Mediation</t>
  </si>
  <si>
    <t>EBOOK PACKAGE COMPLETE 2022 | EBOOK PACKAGE COMPLETE 2022 English | EBOOK PACKAGE Law 2022 | EBOOK PACKAGE Law 2022 English | Edinburgh University Press Complete eBook-Package 2022 | Stanford 2023 Law Package P&amp;C | UC Berkeley Law P&amp;C 2024 | UC Irvine 2024 Law P&amp;C | UNIVERSIDAD NACIONAL AUTÓNOMA DE MÉXICO Pick and Choose 2023 | Yale P&amp;C Law Package 2023</t>
  </si>
  <si>
    <t>978-1-4744-7011-7</t>
  </si>
  <si>
    <t>Consuming Female Beauty</t>
  </si>
  <si>
    <t>British Literature and Periodicals, 1840-1914</t>
  </si>
  <si>
    <t>Consuming Female Beauty E-BOOK</t>
  </si>
  <si>
    <t>Smith, Michelle</t>
  </si>
  <si>
    <t>Gender and the Body in Literature and Culture</t>
  </si>
  <si>
    <t>978-1-4744-7908-0</t>
  </si>
  <si>
    <t>The Gentle Shepherd</t>
  </si>
  <si>
    <t>The Gentle Shepherd E-BOOK</t>
  </si>
  <si>
    <t>Ramsay, Allan</t>
  </si>
  <si>
    <t>The Edinburgh Edition of the Collected Works of Allan Ramsay</t>
  </si>
  <si>
    <t>978-1-4744-6039-2</t>
  </si>
  <si>
    <t>Russian Political Philosophy</t>
  </si>
  <si>
    <t>Anarchy, Authority, Autocracy</t>
  </si>
  <si>
    <t>Russian Political Philosophy E-BOOK</t>
  </si>
  <si>
    <t>van der Zweerde, Evert</t>
  </si>
  <si>
    <t>Edinburgh Studies in Comparative Political Theory and Intellectual History</t>
  </si>
  <si>
    <t>978-1-4744-9424-3</t>
  </si>
  <si>
    <t>Image-Thinking</t>
  </si>
  <si>
    <t>Artmaking as Cultural Analysis</t>
  </si>
  <si>
    <t>Image-Thinking E-BOOK</t>
  </si>
  <si>
    <t>Bal, Mieke</t>
  </si>
  <si>
    <t>Refractions</t>
  </si>
  <si>
    <t>978-1-4744-6326-3</t>
  </si>
  <si>
    <t>Women, Feminism and Italian Cinema</t>
  </si>
  <si>
    <t>Archives from a Film Culture</t>
  </si>
  <si>
    <t>Women, Feminism and Italian Cinema E-BOOK</t>
  </si>
  <si>
    <t>Missero, Dalila</t>
  </si>
  <si>
    <t>978-1-4744-8198-4</t>
  </si>
  <si>
    <t>The Modernist Anthropocene</t>
  </si>
  <si>
    <t>Nonhuman Life and Planetary Change in James Joyce, Virginia Woolf and Djuna Barnes</t>
  </si>
  <si>
    <t>The Modernist Anthropocene E-BOOK</t>
  </si>
  <si>
    <t>Adkins, Peter</t>
  </si>
  <si>
    <t>978-1-4744-8738-2</t>
  </si>
  <si>
    <t>Images at the Crossroads</t>
  </si>
  <si>
    <t>Media and Meaning in Greek Art</t>
  </si>
  <si>
    <t>Images at the Crossroads E-BOOK</t>
  </si>
  <si>
    <t>Barringer, Judith</t>
  </si>
  <si>
    <t>EBOOK PACKAGE Architecture and Design 2022 | EBOOK PACKAGE Arts, Architecture and Design 2022 English | EBOOK PACKAGE COMPLETE 2022 | EBOOK PACKAGE COMPLETE 2022 English | Edinburgh University Press Complete eBook-Package 2022 | NC State Art &amp; Architecture P&amp;C eBook Package 2022 | U Chicago P&amp;C UPL Single Titles 2024 | Universidad Santiago Chile P&amp;C 2024</t>
  </si>
  <si>
    <t>978-1-4744-8711-5</t>
  </si>
  <si>
    <t>Forging Identities in the Irish World</t>
  </si>
  <si>
    <t>Melbourne and Chicago, 1830-1922</t>
  </si>
  <si>
    <t>Forging Identities in the Irish World E-BOOK</t>
  </si>
  <si>
    <t>Cooper, Sophie</t>
  </si>
  <si>
    <t>978-1-4744-8810-5</t>
  </si>
  <si>
    <t>The Dialogues of Francois Hemsterhuis, 1778-1787</t>
  </si>
  <si>
    <t>The Dialogues of Francois Hemsterhuis, 1778-1787 E-BOOK</t>
  </si>
  <si>
    <t>Hemsterhuis, Francois</t>
  </si>
  <si>
    <t>The Edinburgh Edition of the Complete Philosophical Works of François Hemsterhuis</t>
  </si>
  <si>
    <t>978-1-4744-9492-2</t>
  </si>
  <si>
    <t>What Artistry Can Do</t>
  </si>
  <si>
    <t>Essays on Art and Beauty</t>
  </si>
  <si>
    <t>What Artistry Can Do E-BOOK</t>
  </si>
  <si>
    <t>Verschaffel, Bart</t>
  </si>
  <si>
    <t>Edinburgh University Press eBook Placeholder 2025</t>
  </si>
  <si>
    <t>Edinburgh University Press Complete eBook-Package 2025</t>
  </si>
  <si>
    <t>EBA_EBKALL; EBA_EEBKALL; EBA_ESSHALL; EBA_ESTMALL; EBA_PPALL; EBA_SSHALL; EBA_STMALL</t>
  </si>
  <si>
    <t>978-1-3995-0466-9</t>
  </si>
  <si>
    <t>Temporal Politics</t>
  </si>
  <si>
    <t>Contested Pasts, Uncertain Futures</t>
  </si>
  <si>
    <t>Temporal Politics E-BOOK</t>
  </si>
  <si>
    <t>New Horizons</t>
  </si>
  <si>
    <t>978-1-4744-9348-2</t>
  </si>
  <si>
    <t>Sultan Qaboos and Modern Oman, 1970–2020</t>
  </si>
  <si>
    <t>Sultan Qaboos and Modern Oman, 1970–2020 E-BOOK</t>
  </si>
  <si>
    <t>978-1-4744-8524-1</t>
  </si>
  <si>
    <t>ReFocus: The Films of Lucrecia Martel</t>
  </si>
  <si>
    <t>ReFocus: The Films of Lucrecia Martel E-BOOK</t>
  </si>
  <si>
    <t>Barrenha, Natalia Christofoletti</t>
  </si>
  <si>
    <t>978-1-4744-3079-1</t>
  </si>
  <si>
    <t>Nietzsche's On the Genealogy of Morality</t>
  </si>
  <si>
    <t>Nietzsche's On the Genealogy of Morality E-BOOK</t>
  </si>
  <si>
    <t>Guay, Robert</t>
  </si>
  <si>
    <t>978-1-4744-7783-3</t>
  </si>
  <si>
    <t>Researching Historical Screen Audiences</t>
  </si>
  <si>
    <t>Researching Historical Screen Audiences E-BOOK</t>
  </si>
  <si>
    <t>Egan, Kate</t>
  </si>
  <si>
    <t>978-1-4744-9752-7</t>
  </si>
  <si>
    <t>Formal Matters</t>
  </si>
  <si>
    <t>Embodied Experience in Modern Literature</t>
  </si>
  <si>
    <t>Formal Matters E-BOOK</t>
  </si>
  <si>
    <t>Roth, Zoë</t>
  </si>
  <si>
    <t>978-1-4744-8802-0</t>
  </si>
  <si>
    <t>Literary Neo-Orientalism and the Arab Uprisings</t>
  </si>
  <si>
    <t>Tensions in English, French and German Language Fiction</t>
  </si>
  <si>
    <t>Literary Neo-Orientalism and the Arab Uprisings E-BOOK</t>
  </si>
  <si>
    <t>Wurr, Julia</t>
  </si>
  <si>
    <t>978-1-4744-7966-0</t>
  </si>
  <si>
    <t>Political Thought in the Mamluk Period</t>
  </si>
  <si>
    <t>The Unnecessary Caliphate</t>
  </si>
  <si>
    <t>Political Thought in the Mamluk Period E-BOOK</t>
  </si>
  <si>
    <t>El-Merheb, Mohamad</t>
  </si>
  <si>
    <t>EBOOK PACKAGE COMPLETE 2022 | EBOOK PACKAGE COMPLETE 2022 English | EBOOK PACKAGE History 2022 | EBOOK PACKAGE History 2022 English | Edinburgh University Press Complete eBook-Package 2022 | U Chicago P&amp;C UPL Single Titles 2024</t>
  </si>
  <si>
    <t>978-1-3995-0002-9</t>
  </si>
  <si>
    <t>What is Islamic Studies?</t>
  </si>
  <si>
    <t>European and North American Approaches to a Contested Field</t>
  </si>
  <si>
    <t>What is Islamic Studies? E-BOOK</t>
  </si>
  <si>
    <t xml:space="preserve">Stenberg, Leif / Wood, Philip </t>
  </si>
  <si>
    <t>978-1-4744-9160-0</t>
  </si>
  <si>
    <t>The Politics of Immigration in Scotland</t>
  </si>
  <si>
    <t>The Politics of Immigration in Scotland E-BOOK</t>
  </si>
  <si>
    <t>Westfall, Aubrey</t>
  </si>
  <si>
    <t>978-1-3995-0395-2</t>
  </si>
  <si>
    <t>Bantu Presbyterian Church of South Africa</t>
  </si>
  <si>
    <t>A History of the Free Church of Scotland Mission</t>
  </si>
  <si>
    <t>Bantu Presbyterian Church of South Africa E-BOOK</t>
  </si>
  <si>
    <t>Duncan, Graham A.</t>
  </si>
  <si>
    <t>978-1-4744-8823-5</t>
  </si>
  <si>
    <t>Pulpit, Mosque and Nation</t>
  </si>
  <si>
    <t>Turkish Friday Sermons as Text and Ritual</t>
  </si>
  <si>
    <t>Pulpit, Mosque and Nation E-BOOK</t>
  </si>
  <si>
    <t>Özdalga, Elisabeth</t>
  </si>
  <si>
    <t>978-1-4744-8572-2</t>
  </si>
  <si>
    <t>Character, Writing, and Reputation in Victorian Law and Literature</t>
  </si>
  <si>
    <t>Character, Writing, and Reputation in Victorian Law a E-BOOK</t>
  </si>
  <si>
    <t>Frank, Cathrine O.</t>
  </si>
  <si>
    <t>978-1-4744-9216-4</t>
  </si>
  <si>
    <t>Christianity in Latin America and the Caribbean</t>
  </si>
  <si>
    <t>Christianity in Latin America and the Caribbean E-BOOK</t>
  </si>
  <si>
    <t>Ross, Kenneth</t>
  </si>
  <si>
    <t>HIS024000 HISTORY / Latin America / General</t>
  </si>
  <si>
    <t>978-1-4744-7997-4</t>
  </si>
  <si>
    <t>George A. Romero's Independent Cinema</t>
  </si>
  <si>
    <t>Horror, Industry, Economics</t>
  </si>
  <si>
    <t>George A. Romero's Independent Cinema E-BOOK</t>
  </si>
  <si>
    <t>Fallows, Tom</t>
  </si>
  <si>
    <t>978-1-4744-8667-5</t>
  </si>
  <si>
    <t>The Early Writings of Francois Hemsterhuis, 1762-1773</t>
  </si>
  <si>
    <t>The Early Writings of Francois Hemsterhuis, 1762-1773 E-BOOK</t>
  </si>
  <si>
    <t>978-1-3995-0425-6</t>
  </si>
  <si>
    <t>Ambiguous Cinema</t>
  </si>
  <si>
    <t>From Simone de Beauvoir to Feminist Film-Phenomenology</t>
  </si>
  <si>
    <t>Ambiguous Cinema E-BOOK</t>
  </si>
  <si>
    <t>Fuery, Kelli</t>
  </si>
  <si>
    <t>978-1-4744-8153-3</t>
  </si>
  <si>
    <t>Visionary Company</t>
  </si>
  <si>
    <t>Hart Crane and Modernist Periodicals</t>
  </si>
  <si>
    <t>Visionary Company E-BOOK</t>
  </si>
  <si>
    <t>Bratton, Francesca</t>
  </si>
  <si>
    <t>978-1-4744-9400-7</t>
  </si>
  <si>
    <t>Reforming the Law of Nature</t>
  </si>
  <si>
    <t>Natural Law in the Reformed Tradition and the Secularization of Political Thought, 1532–1688</t>
  </si>
  <si>
    <t>Reforming the Law of Nature E-BOOK</t>
  </si>
  <si>
    <t>Kennedy, Simon P.</t>
  </si>
  <si>
    <t>LAW069000 LAW / Natural Law</t>
  </si>
  <si>
    <t>978-1-4744-8005-5</t>
  </si>
  <si>
    <t>TV and Cars</t>
  </si>
  <si>
    <t>TV and Cars E-BOOK</t>
  </si>
  <si>
    <t>Grainge, Paul</t>
  </si>
  <si>
    <t>TV And …</t>
  </si>
  <si>
    <t>978-1-4744-7582-2</t>
  </si>
  <si>
    <t>Transnational Kaiju</t>
  </si>
  <si>
    <t>Exploitation, Globalisation and Cult Monster Movies</t>
  </si>
  <si>
    <t>Transnational Kaiju E-BOOK</t>
  </si>
  <si>
    <t>Rawle, Steven</t>
  </si>
  <si>
    <t>978-1-3995-0061-6</t>
  </si>
  <si>
    <t>Recovering Classical Liberal Political Economy</t>
  </si>
  <si>
    <t>Natural Rights and the Harmony of InterestsNatural Rights and the Harmony of Interests</t>
  </si>
  <si>
    <t>Recovering Classical Liberal Political Economy E-BOOK</t>
  </si>
  <si>
    <t>Ward, Lee</t>
  </si>
  <si>
    <t>978-1-3995-0287-0</t>
  </si>
  <si>
    <t>Turkish Politics and ‘The People’</t>
  </si>
  <si>
    <t>Mass Mobilisation and Populism</t>
  </si>
  <si>
    <t>Turkish Politics and ‘The People’ E-BOOK</t>
  </si>
  <si>
    <t>Sofos, Spyros A.</t>
  </si>
  <si>
    <t>978-1-4744-6346-1</t>
  </si>
  <si>
    <t>Writing the Past in Twenty-First-Century American Fiction</t>
  </si>
  <si>
    <t>Writing the Past in Twenty-First-Century American Fic E-BOOK</t>
  </si>
  <si>
    <t>Lawrie, Alexandra</t>
  </si>
  <si>
    <t xml:space="preserve">LIT024060 LITERARY CRITICISM / Modern / 21st Century </t>
  </si>
  <si>
    <t>978-1-4744-8145-8</t>
  </si>
  <si>
    <t>The Reader's Joyce</t>
  </si>
  <si>
    <t>Ulysses, Authorship and the Authority of the Reader</t>
  </si>
  <si>
    <t>The Reader's Joyce E-BOOK</t>
  </si>
  <si>
    <t>Corser, Sophie</t>
  </si>
  <si>
    <t>978-1-3995-0092-0</t>
  </si>
  <si>
    <t>Scottish Philosophy after the Enlightenment</t>
  </si>
  <si>
    <t>Essays in Pursuit of a Tradition</t>
  </si>
  <si>
    <t>Scottish Philosophy after the Enlightenment E-BOOK</t>
  </si>
  <si>
    <t>Graham, Gordon</t>
  </si>
  <si>
    <t>978-1-4744-9851-7</t>
  </si>
  <si>
    <t>Poetic Prosthetics</t>
  </si>
  <si>
    <t>Trauma and Language in Contemporary Veteran Writing</t>
  </si>
  <si>
    <t>Poetic Prosthetics E-BOOK</t>
  </si>
  <si>
    <t>Ben-Tovim, Ron</t>
  </si>
  <si>
    <t>POL018000 POLITICAL SCIENCE / Reference</t>
  </si>
  <si>
    <t>978-1-4744-9704-6</t>
  </si>
  <si>
    <t>Music in the Horror Films of Val Lewton</t>
  </si>
  <si>
    <t>Music in the Horror Films of Val Lewton E-BOOK</t>
  </si>
  <si>
    <t>Lee, Michael</t>
  </si>
  <si>
    <t>978-1-4744-5901-3</t>
  </si>
  <si>
    <t>Greek Film Noir</t>
  </si>
  <si>
    <t>Greek Film Noir E-BOOK</t>
  </si>
  <si>
    <t>Poupou, Anna</t>
  </si>
  <si>
    <t>978-1-4744-9148-8</t>
  </si>
  <si>
    <t>Recovering Scottish History</t>
  </si>
  <si>
    <t>John Hill Burton and Scottish National Identity in the Nineteenth Century</t>
  </si>
  <si>
    <t>Recovering Scottish History E-BOOK</t>
  </si>
  <si>
    <t>Beveridge, Craig</t>
  </si>
  <si>
    <t>978-1-4744-9498-4</t>
  </si>
  <si>
    <t>Lucretius III</t>
  </si>
  <si>
    <t>A History of Motion</t>
  </si>
  <si>
    <t>Lucretius III E-BOOK</t>
  </si>
  <si>
    <t>978-1-4744-6138-2</t>
  </si>
  <si>
    <t>Nietzsche's The Case of Wagner and Nietzsche Contra Wagner</t>
  </si>
  <si>
    <t>Nietzsche's The Case of Wagner and Nietzsche Contra W E-BOOK</t>
  </si>
  <si>
    <t>Harvey, Ryan</t>
  </si>
  <si>
    <t>EBOOK PACKAGE COMPLETE 2022 | EBOOK PACKAGE COMPLETE 2022 English | EBOOK PACKAGE Literary, Cultural, Area Studies 2022 | EBOOK PACKAGE Literary, Cultural, Area Studies 2022 English | Edinburgh University Press Complete eBook-Package 2022 | Montana State Music Collection P&amp;C Titles</t>
  </si>
  <si>
    <t>978-1-4744-9325-3</t>
  </si>
  <si>
    <t>Robert Louis Stevenson and Nineteenth-Century French Literature</t>
  </si>
  <si>
    <t>Literary Relations at the Fin de Siècle</t>
  </si>
  <si>
    <t>Robert Louis Stevenson and Nineteenth-Century French  E-BOOK</t>
  </si>
  <si>
    <t>Ashley, Katherine</t>
  </si>
  <si>
    <t>978-1-3995-0412-6</t>
  </si>
  <si>
    <t>The Early Years of Television and the BBC</t>
  </si>
  <si>
    <t>The Early Years of Television and the BBC E-BOOK</t>
  </si>
  <si>
    <t>Medhurst, Jamie</t>
  </si>
  <si>
    <t>978-1-3995-0295-5</t>
  </si>
  <si>
    <t>Digital, Class, Work</t>
  </si>
  <si>
    <t>Before and During COVID-19</t>
  </si>
  <si>
    <t>Digital, Class, Work E-BOOK</t>
  </si>
  <si>
    <t>Roberts, John Michael</t>
  </si>
  <si>
    <t>978-1-4744-9321-5</t>
  </si>
  <si>
    <t>(P)rescription Narratives</t>
  </si>
  <si>
    <t>Feminist Medical Fiction and the Failure of American Censorship</t>
  </si>
  <si>
    <t>(P)rescription Narratives E-BOOK</t>
  </si>
  <si>
    <t>Peebles Tavera, Stephanie</t>
  </si>
  <si>
    <t>978-1-4744-8564-7</t>
  </si>
  <si>
    <t>Virginia Woolf and Nineteenth-Century Women Writers</t>
  </si>
  <si>
    <t>Victorian Legacies and Literary Afterlives</t>
  </si>
  <si>
    <t>Virginia Woolf and Nineteenth-Century Women Writers E-BOOK</t>
  </si>
  <si>
    <t>Reus, Anne</t>
  </si>
  <si>
    <t>978-1-4744-9156-3</t>
  </si>
  <si>
    <t>Laughter as Politics</t>
  </si>
  <si>
    <t>Critical Theory in an Age of Hilarity</t>
  </si>
  <si>
    <t>Laughter as Politics E-BOOK</t>
  </si>
  <si>
    <t>Giamario, Patrick</t>
  </si>
  <si>
    <t>POL046000 POLITICAL SCIENCE / Commentary &amp; Opinion</t>
  </si>
  <si>
    <t>978-1-4744-8818-1</t>
  </si>
  <si>
    <t>Kinship, State Formation and Governance in the Arab Gulf States</t>
  </si>
  <si>
    <t>Kinship, State Formation and Governance in the Arab G E-BOOK</t>
  </si>
  <si>
    <t>Weiner, Scott</t>
  </si>
  <si>
    <t>978-1-4744-2537-7</t>
  </si>
  <si>
    <t>Vital Stein</t>
  </si>
  <si>
    <t>Gertrude Stein, Modernism and Life</t>
  </si>
  <si>
    <t>Vital Stein E-BOOK</t>
  </si>
  <si>
    <t>Posman, Sarah</t>
  </si>
  <si>
    <t>978-1-4744-9948-4</t>
  </si>
  <si>
    <t>Women’s Political Representation in Iran and Turkey</t>
  </si>
  <si>
    <t>Demanding a Seat at the Table</t>
  </si>
  <si>
    <t>Women’s Political Representation in Iran and Turkey E-BOOK</t>
  </si>
  <si>
    <t>Effective Open Access 22.04.2022</t>
  </si>
  <si>
    <t>Tajali, Mona</t>
  </si>
  <si>
    <t>Human Rights</t>
  </si>
  <si>
    <t>POL052000 POLITICAL SCIENCE / Women in Politics</t>
  </si>
  <si>
    <t>978-1-4744-9975-0</t>
  </si>
  <si>
    <t>Literary Representations of the Palestine/Israel Conflict After the Second Intifada</t>
  </si>
  <si>
    <t>Literary Representations of the Palestine/Israel Conf E-BOOK</t>
  </si>
  <si>
    <t>Curthoys, Ned</t>
  </si>
  <si>
    <t>978-1-4744-9297-3</t>
  </si>
  <si>
    <t>Data Justice and the Right to the City</t>
  </si>
  <si>
    <t>Data Justice and the Right to the City E-BOOK</t>
  </si>
  <si>
    <t>Currie, Morgan / Knox, Jeremy / McGregor, Callum</t>
  </si>
  <si>
    <t xml:space="preserve">POL066000 POLITICAL SCIENCE / Privacy &amp; Surveillance (see also SOCIAL SCIENCE / Privacy &amp; Surveillance) </t>
  </si>
  <si>
    <t>978-1-4744-9828-9</t>
  </si>
  <si>
    <t>R. B. Cunninghame Graham and Scotland</t>
  </si>
  <si>
    <t>Party, Prose and Political Aesthetic</t>
  </si>
  <si>
    <t>R. B. Cunninghame Graham and Scotland E-BOOK</t>
  </si>
  <si>
    <t>Munro, Lachlan</t>
  </si>
  <si>
    <t>978-1-4744-7958-5</t>
  </si>
  <si>
    <t>A Neo-Fatimid Treasury of Books</t>
  </si>
  <si>
    <t>Arabic Manuscripts among the Alawi Bohras of South Asia</t>
  </si>
  <si>
    <t>A Neo-Fatimid Treasury of Books E-BOOK</t>
  </si>
  <si>
    <t>Akkerman, Olly</t>
  </si>
  <si>
    <t>978-1-4744-6055-2</t>
  </si>
  <si>
    <t>The Edinburgh Companion to Modernism and Technology</t>
  </si>
  <si>
    <t>The Edinburgh Companion to Modernism and Technology E-BOOK</t>
  </si>
  <si>
    <t>Goody, Alex</t>
  </si>
  <si>
    <t>978-1-4744-9928-6</t>
  </si>
  <si>
    <t>Gendering Civil War</t>
  </si>
  <si>
    <t>Francophone Women’s Writing in Lebanon</t>
  </si>
  <si>
    <t>Gendering Civil War E-BOOK</t>
  </si>
  <si>
    <t>Rebeiz, Mireille</t>
  </si>
  <si>
    <t>978-1-4744-8934-8</t>
  </si>
  <si>
    <t>Objective Fictions</t>
  </si>
  <si>
    <t>Philosophy, Psychoanalysis, Marxism</t>
  </si>
  <si>
    <t>Objective Fictions E-BOOK</t>
  </si>
  <si>
    <t>EBOOK PACKAGE COMPLETE 2022 | EBOOK PACKAGE COMPLETE 2022 English | EBOOK PACKAGE Philosophy 2022 | EBOOK PACKAGE Philosophy 2022 English | Edinburgh University Press Complete eBook-Package 2022 | U Chicago P&amp;C UPL Single Titles 2024</t>
  </si>
  <si>
    <t>978-1-4744-9332-1</t>
  </si>
  <si>
    <t>The Edinburgh Companion to Vegan Literary Studies</t>
  </si>
  <si>
    <t>The Edinburgh Companion to Vegan Literary Studies E-BOOK</t>
  </si>
  <si>
    <t>Wright, Laura</t>
  </si>
  <si>
    <t>978-1-4744-9936-1</t>
  </si>
  <si>
    <t>A History of Herat</t>
  </si>
  <si>
    <t>From Chingiz Khan to Tamerlane</t>
  </si>
  <si>
    <t>A History of Herat E-BOOK</t>
  </si>
  <si>
    <t>Mahendrarajah, Shivan</t>
  </si>
  <si>
    <t>EBOOK PACKAGE Architecture and Design 2022 | EBOOK PACKAGE Arts, Architecture and Design 2022 English | EBOOK PACKAGE COMPLETE 2022 | EBOOK PACKAGE COMPLETE 2022 English | Edinburgh University Press Complete eBook-Package 2022 | Universidad Santiago Chile P&amp;C 2024</t>
  </si>
  <si>
    <t>978-1-4744-9871-5</t>
  </si>
  <si>
    <t>The North Caucasus Borderland</t>
  </si>
  <si>
    <t>Between Muscovy and the Ottoman Empire, 1555-1605</t>
  </si>
  <si>
    <t>The North Caucasus Borderland E-BOOK</t>
  </si>
  <si>
    <t>Yasar, Murat</t>
  </si>
  <si>
    <t>978-1-4744-8675-0</t>
  </si>
  <si>
    <t>Derrida's Politics of Friendship</t>
  </si>
  <si>
    <t>Amity and Enmity</t>
  </si>
  <si>
    <t>Derrida's Politics of Friendship E-BOOK</t>
  </si>
  <si>
    <t>Collison, Luke / Ó Fathaigh, Cillian / Tsagdis, Georgios</t>
  </si>
  <si>
    <t>978-1-4744-8770-2</t>
  </si>
  <si>
    <t>Land Reform in the British and Irish Isles since 1800</t>
  </si>
  <si>
    <t>Land Reform in the British and Irish Isles since 1800 E-BOOK</t>
  </si>
  <si>
    <t>Evans, Shaun</t>
  </si>
  <si>
    <t>978-1-4744-9014-6</t>
  </si>
  <si>
    <t>Twentieth-Century Gothic</t>
  </si>
  <si>
    <t>Twentieth-Century Gothic E-BOOK</t>
  </si>
  <si>
    <t>Ni Fhlainn, Sorcha</t>
  </si>
  <si>
    <t>978-1-4744-5649-4</t>
  </si>
  <si>
    <t>Romantic Environmental Sensibility</t>
  </si>
  <si>
    <t>Nature, Class and Empire</t>
  </si>
  <si>
    <t>Romantic Environmental Sensibility E-BOOK</t>
  </si>
  <si>
    <t>Tee, Ve-Yin</t>
  </si>
  <si>
    <t>978-1-4744-7630-0</t>
  </si>
  <si>
    <t>Crossings in Nineteenth-Century American Culture</t>
  </si>
  <si>
    <t>Junctures of Time, Space, Self and Politics</t>
  </si>
  <si>
    <t>Crossings in Nineteenth-Century American Culture E-BOOK</t>
  </si>
  <si>
    <t>Sugden, Edward</t>
  </si>
  <si>
    <t>978-1-3995-0255-9</t>
  </si>
  <si>
    <t>The Dilemma of Authoritarian Local Governance in Egypt</t>
  </si>
  <si>
    <t>The Dilemma of Authoritarian Local Governance in Egyp E-BOOK</t>
  </si>
  <si>
    <t>Awad, Hani</t>
  </si>
  <si>
    <t>978-1-4744-7401-6</t>
  </si>
  <si>
    <t>Diana Dors</t>
  </si>
  <si>
    <t>Film Star and Actor</t>
  </si>
  <si>
    <t>Diana Dors E-BOOK</t>
  </si>
  <si>
    <t>Shingler, Martin</t>
  </si>
  <si>
    <t>978-1-4744-8862-4</t>
  </si>
  <si>
    <t>The Alternative Modernity of the Bicycle in British and French Literature, 1880–1920</t>
  </si>
  <si>
    <t>The Alternative Modernity of the Bicycle in British a E-BOOK</t>
  </si>
  <si>
    <t>Brogan, Una</t>
  </si>
  <si>
    <t>978-1-3995-0078-4</t>
  </si>
  <si>
    <t>The Money Behind the Screen</t>
  </si>
  <si>
    <t>A History of British Film Finance, 1945-1985</t>
  </si>
  <si>
    <t>The Money Behind the Screen E-BOOK</t>
  </si>
  <si>
    <t>Chapman, James</t>
  </si>
  <si>
    <t>978-1-3995-0453-9</t>
  </si>
  <si>
    <t>Virginia Woolf's Apprenticeship</t>
  </si>
  <si>
    <t>Becoming an Essayist</t>
  </si>
  <si>
    <t>Virginia Woolf's Apprenticeship E-BOOK</t>
  </si>
  <si>
    <t xml:space="preserve">Daugherty, Beth </t>
  </si>
  <si>
    <t>978-1-83838-225-4</t>
  </si>
  <si>
    <t>Surveying the Anthropocene</t>
  </si>
  <si>
    <t>Environment and Photography Now</t>
  </si>
  <si>
    <t>Surveying the Anthropocene E-BOOK</t>
  </si>
  <si>
    <t xml:space="preserve">Macdonald, Patricia </t>
  </si>
  <si>
    <t>978-1-4744-9956-9</t>
  </si>
  <si>
    <t>Intelligence Power in Practice</t>
  </si>
  <si>
    <t>Intelligence Power in Practice E-BOOK</t>
  </si>
  <si>
    <t>Herman, Michael</t>
  </si>
  <si>
    <t>Colorado School of Mines Complimentary P&amp;C 2024 | EBOOK PACKAGE COMPLETE 2022 | EBOOK PACKAGE COMPLETE 2022 English | EBOOK PACKAGE History 2022 | EBOOK PACKAGE History 2022 English | Edinburgh University Press Complete eBook-Package 2022</t>
  </si>
  <si>
    <t>978-1-4744-3075-3</t>
  </si>
  <si>
    <t>Nietzsche's The Anti-Christ</t>
  </si>
  <si>
    <t>Nietzsche's The Anti-Christ E-BOOK</t>
  </si>
  <si>
    <t>Bishop, Paul</t>
  </si>
  <si>
    <t>978-1-4744-9867-8</t>
  </si>
  <si>
    <t>Dynastic Politics in the Age of Diocletian, AD 284-311</t>
  </si>
  <si>
    <t>Dynastic Politics in the Age of Diocletian, AD 284-31 E-BOOK</t>
  </si>
  <si>
    <t>Waldron, Byron</t>
  </si>
  <si>
    <t>978-1-3995-1308-1</t>
  </si>
  <si>
    <t>ReFocus: The Films of Yim Soon-rye</t>
  </si>
  <si>
    <t>ReFocus: The Films of Yim Soon-rye E-BOOK</t>
  </si>
  <si>
    <t>Kim, MollyKim, Molly</t>
  </si>
  <si>
    <t>EBOOK PACKAGE Arts 2023 | EBOOK PACKAGE Arts, Architecture and Design 2023 English | EBOOK PACKAGE COMPLETE 2023 | EBOOK PACKAGE COMPLETE 2023 English | Edinburgh University Press Complete eBook-Package 2023</t>
  </si>
  <si>
    <t>978-1-3995-0834-6</t>
  </si>
  <si>
    <t>Towards a Critical Existentialism</t>
  </si>
  <si>
    <t>Truth, Relevance and Politics</t>
  </si>
  <si>
    <t>Towards a Critical Existentialism E-BOOK</t>
  </si>
  <si>
    <t>978-1-4744-2335-9</t>
  </si>
  <si>
    <t>The US Graphic Novel</t>
  </si>
  <si>
    <t>The US Graphic Novel E-BOOK</t>
  </si>
  <si>
    <t>Williams, Paul</t>
  </si>
  <si>
    <t>Critical Insights in American Studies</t>
  </si>
  <si>
    <t>CGN006000 COMICS &amp; GRAPHIC NOVELS / Literary</t>
  </si>
  <si>
    <t>978-1-4744-8766-5</t>
  </si>
  <si>
    <t>The Lady’s Magazine (1770–1832) and the Making of Literary History</t>
  </si>
  <si>
    <t>The Lady’s Magazine (1770–1832) and the Making of Lit E-BOOK</t>
  </si>
  <si>
    <t>Batchelor, Jennie</t>
  </si>
  <si>
    <t>978-1-4744-9952-1</t>
  </si>
  <si>
    <t>Molla Nasreddin</t>
  </si>
  <si>
    <t>The Making of a Modern Trickster, 1906-1911</t>
  </si>
  <si>
    <t>Molla Nasreddin E-BOOK</t>
  </si>
  <si>
    <t>Afary, Janet</t>
  </si>
  <si>
    <t>978-1-3995-0632-8</t>
  </si>
  <si>
    <t>Sidonius Apollinaris’ Letters, Book 2</t>
  </si>
  <si>
    <t>Text, Translation and Commentary</t>
  </si>
  <si>
    <t>Sidonius Apollinaris’ Letters, Book 2 E-BOOK</t>
  </si>
  <si>
    <t>Hindermann, Judith</t>
  </si>
  <si>
    <t>Edinburgh Studies in Later Latin Literature</t>
  </si>
  <si>
    <t>978-1-4744-8746-7</t>
  </si>
  <si>
    <t>The Lawful Forest</t>
  </si>
  <si>
    <t>A Critical History of Property, Protest and Spatial Justice</t>
  </si>
  <si>
    <t>The Lawful Forest E-BOOK</t>
  </si>
  <si>
    <t>Clark, Cristy</t>
  </si>
  <si>
    <t>EBOOK PACKAGE COMPLETE 2022 | EBOOK PACKAGE COMPLETE 2022 English | EBOOK PACKAGE Law 2022 | EBOOK PACKAGE Law 2022 English | Edinburgh University Press Complete eBook-Package 2022 | UC Berkeley Law P&amp;C 2024 | UC Irvine 2024 Law P&amp;C | UNIVERSIDAD NACIONAL AUTÓNOMA DE MÉXICO Pick and Choose 2023 | Yale P&amp;C Law Package 2023</t>
  </si>
  <si>
    <t>978-1-3995-0580-2</t>
  </si>
  <si>
    <t>General William Roy, 1726-1790</t>
  </si>
  <si>
    <t>Father of the Ordnance Survey</t>
  </si>
  <si>
    <t>General William Roy, 1726-1790 E-BOOK</t>
  </si>
  <si>
    <t>Welfare, Humphrey</t>
  </si>
  <si>
    <t>978-1-4744-8415-2</t>
  </si>
  <si>
    <t>Screen Acting</t>
  </si>
  <si>
    <t>A Cognitive Approach</t>
  </si>
  <si>
    <t>Screen Acting E-BOOK</t>
  </si>
  <si>
    <t>Leberg, Dan</t>
  </si>
  <si>
    <t>978-1-3995-0640-3</t>
  </si>
  <si>
    <t>A History of the Scottish Liberals and Liberal Democrats</t>
  </si>
  <si>
    <t>A History of the Scottish Liberals and Liberal Democr E-BOOK</t>
  </si>
  <si>
    <t>978-0-7486-4434-6</t>
  </si>
  <si>
    <t>The Edinburgh Critical History of Greek and Roman Philosophy</t>
  </si>
  <si>
    <t>The Edinburgh Critical History of Greek and Roman Phi E-BOOK</t>
  </si>
  <si>
    <t>Cambiano, Giuseppe</t>
  </si>
  <si>
    <t>Edinburgh University Press Complete eBook-Package 2022</t>
  </si>
  <si>
    <t>978-1-4744-8512-8</t>
  </si>
  <si>
    <t>Romanticism and Consciousness, Revisited</t>
  </si>
  <si>
    <t>Romanticism and Consciousness, Revisited E-BOOK</t>
  </si>
  <si>
    <t>Sha, Richard</t>
  </si>
  <si>
    <t>978-1-4744-8719-1</t>
  </si>
  <si>
    <t>The Gothic Forms of Victorian Poetry</t>
  </si>
  <si>
    <t>The Gothic Forms of Victorian Poetry E-BOOK</t>
  </si>
  <si>
    <t>Loksing Moy, Olivia</t>
  </si>
  <si>
    <t>Edinburgh University Press eBook Placeholder 2026</t>
  </si>
  <si>
    <t>Edinburgh University Press Complete eBook-Package 2026</t>
  </si>
  <si>
    <t>Edinburgh University Press eBook Placeholder 2027</t>
  </si>
  <si>
    <t>Edinburgh University Press Complete eBook-Package 2027</t>
  </si>
  <si>
    <t>Edinburgh University Press eBook Placeholder 2023</t>
  </si>
  <si>
    <t>978-1-4744-5098-0</t>
  </si>
  <si>
    <t>The Edinburgh Companion to the Politics of American Health</t>
  </si>
  <si>
    <t>The Edinburgh Companion to the Politics of American H E-BOOK</t>
  </si>
  <si>
    <t>978-1-4744-4066-0</t>
  </si>
  <si>
    <t>Reanimated</t>
  </si>
  <si>
    <t>The Contemporary American Horror Remake</t>
  </si>
  <si>
    <t>Reanimated E-BOOK</t>
  </si>
  <si>
    <t>Mee, Laura</t>
  </si>
  <si>
    <t>978-1-3995-0482-9</t>
  </si>
  <si>
    <t>The Unconscious of Thought in Leibniz, Spinoza, and Hume</t>
  </si>
  <si>
    <t>The Unconscious of Thought in Leibniz, Spinoza, and H E-BOOK</t>
  </si>
  <si>
    <t>Morejón, Gil</t>
  </si>
  <si>
    <t>978-1-4744-7820-5</t>
  </si>
  <si>
    <t>Midterms and Mandates</t>
  </si>
  <si>
    <t>Electoral Reassessment of Presidents and Parties</t>
  </si>
  <si>
    <t>Midterms and Mandates E-BOOK</t>
  </si>
  <si>
    <t>Andelic, Patrick</t>
  </si>
  <si>
    <t>978-1-4744-5727-9</t>
  </si>
  <si>
    <t>The Entail</t>
  </si>
  <si>
    <t>or The Lairds of Grippy</t>
  </si>
  <si>
    <t>The Entail E-BOOK</t>
  </si>
  <si>
    <t>Galt, John</t>
  </si>
  <si>
    <t>978-1-4744-8244-8</t>
  </si>
  <si>
    <t>Asbestos – The Last Modernist Object</t>
  </si>
  <si>
    <t>Asbestos – The Last Modernist Object E-BOOK</t>
  </si>
  <si>
    <t>Rose, Arthur</t>
  </si>
  <si>
    <t>978-1-4744-5854-2</t>
  </si>
  <si>
    <t>The Ayrshire Legatees, The Steam-Boat, The Gathering of the West</t>
  </si>
  <si>
    <t>The Ayrshire Legatees, The Steam-Boat, The Gathering  E-BOOK</t>
  </si>
  <si>
    <t>978-1-4744-9392-5</t>
  </si>
  <si>
    <t>Metaphysics and the Moving Image</t>
  </si>
  <si>
    <t>Paradise Exposed</t>
  </si>
  <si>
    <t>Metaphysics and the Moving Image E-BOOK</t>
  </si>
  <si>
    <t>Mowchun, Trevor</t>
  </si>
  <si>
    <t>978-1-4744-9651-3</t>
  </si>
  <si>
    <t>Conscientious Objection in Turkey</t>
  </si>
  <si>
    <t>A Socio-legal Analysis of the Right to Refuse Military Service</t>
  </si>
  <si>
    <t>Conscientious Objection in Turkey E-BOOK</t>
  </si>
  <si>
    <t>Çaltekin, Demet Aslı</t>
  </si>
  <si>
    <t>978-1-4744-6153-5</t>
  </si>
  <si>
    <t>The Correspondence of James Boswell and Sir William Forbes of Pitsligo</t>
  </si>
  <si>
    <t>Yale Boswell Editions Research Series: Correspondence Vol. 10</t>
  </si>
  <si>
    <t>The Correspondence of James Boswell and Sir William F E-BOOK</t>
  </si>
  <si>
    <t>Boswell, James</t>
  </si>
  <si>
    <t>978-1-4744-8619-4</t>
  </si>
  <si>
    <t>Scottish Writing After Devolution</t>
  </si>
  <si>
    <t>Edges of the New</t>
  </si>
  <si>
    <t>Scottish Writing After Devolution E-BOOK</t>
  </si>
  <si>
    <t>Pittin-Hedon, Marie-Odile</t>
  </si>
  <si>
    <t>978-1-4744-8315-5</t>
  </si>
  <si>
    <t>Thinking as Anarchists</t>
  </si>
  <si>
    <t>Selected Writings from Volontá</t>
  </si>
  <si>
    <t>Thinking as Anarchists E-BOOK</t>
  </si>
  <si>
    <t>Gioli, Giovanna</t>
  </si>
  <si>
    <t>978-1-4744-9788-6</t>
  </si>
  <si>
    <t>The California Gothic in Fiction and Film</t>
  </si>
  <si>
    <t>The California Gothic in Fiction and Film E-BOOK</t>
  </si>
  <si>
    <t>978-1-4744-9388-8</t>
  </si>
  <si>
    <t>Main Melody Films</t>
  </si>
  <si>
    <t>Hong Kong Directors in Mainland China</t>
  </si>
  <si>
    <t>Main Melody Films E-BOOK</t>
  </si>
  <si>
    <t>Yiu-Wai Chu, Stephen</t>
  </si>
  <si>
    <t>978-1-4744-9224-9</t>
  </si>
  <si>
    <t>The Art of Defiance</t>
  </si>
  <si>
    <t>Dissident Culture and Militant Resistance in 1970s Iran</t>
  </si>
  <si>
    <t>The Art of Defiance E-BOOK</t>
  </si>
  <si>
    <t>Vahabzadeh, Peyman</t>
  </si>
  <si>
    <t>978-1-4744-6214-3</t>
  </si>
  <si>
    <t>Plasticity</t>
  </si>
  <si>
    <t>The Promise of Explosion</t>
  </si>
  <si>
    <t>Plasticity E-BOOK</t>
  </si>
  <si>
    <t>Malabou, Catherine</t>
  </si>
  <si>
    <t>978-1-4744-9496-0</t>
  </si>
  <si>
    <t>A Call to Dissent</t>
  </si>
  <si>
    <t>Defending Democracy Against Extremism and Populism</t>
  </si>
  <si>
    <t>A Call to Dissent E-BOOK</t>
  </si>
  <si>
    <t>978-1-4744-7521-1</t>
  </si>
  <si>
    <t>Film, Hot War Traces and Cold War Spaces</t>
  </si>
  <si>
    <t>Film, Hot War Traces and Cold War Spaces E-BOOK</t>
  </si>
  <si>
    <t>978-1-3995-0441-6</t>
  </si>
  <si>
    <t>Political Agency and the Medicalisation of Negative Emotions</t>
  </si>
  <si>
    <t>Political Agency and the Medicalisation of Negative E E-BOOK</t>
  </si>
  <si>
    <t>Degerman, Dan</t>
  </si>
  <si>
    <t>978-1-3995-0792-9</t>
  </si>
  <si>
    <t>Militant Cosmopolitics</t>
  </si>
  <si>
    <t>Another World Horizon</t>
  </si>
  <si>
    <t>Militant Cosmopolitics E-BOOK</t>
  </si>
  <si>
    <t>Caraus, Tamara</t>
  </si>
  <si>
    <t>POL042010 POLITICAL SCIENCE / Political Ideologies / Anarchism</t>
  </si>
  <si>
    <t>978-1-3995-0351-8</t>
  </si>
  <si>
    <t>New Methods in the Study of Islam</t>
  </si>
  <si>
    <t>New Methods in the Study of Islam E-BOOK</t>
  </si>
  <si>
    <t>Aghdassi, Abbas</t>
  </si>
  <si>
    <t>Advances in the Study of Islam</t>
  </si>
  <si>
    <t>EBOOK PACKAGE COMPLETE 2022 | EBOOK PACKAGE COMPLETE 2022 English | EBOOK PACKAGE Theol., Relig.Stud., Jewish Stud. 2022 | EBOOK PACKAGE Theol., Relig.Stud., Jewish Stud. 2022 English | Edinburgh University Press Complete eBook-Package 2022</t>
  </si>
  <si>
    <t>978-1-3995-0830-8</t>
  </si>
  <si>
    <t>An Inquiry into Analytic-Continental Metaphysics</t>
  </si>
  <si>
    <t>Truth, Relevance and Metaphysics</t>
  </si>
  <si>
    <t>An Inquiry into Analytic-Continental Metaphysics E-BOOK</t>
  </si>
  <si>
    <t>978-1-4744-4880-2</t>
  </si>
  <si>
    <t>Hollywood Remakes of Iconic British Films</t>
  </si>
  <si>
    <t>Class, Gender and Stardom</t>
  </si>
  <si>
    <t>Hollywood Remakes of Iconic British Films E-BOOK</t>
  </si>
  <si>
    <t>Rasmus, Agnieszka</t>
  </si>
  <si>
    <t>978-1-4744-4864-2</t>
  </si>
  <si>
    <t>Looking Beyond Neoliberalism</t>
  </si>
  <si>
    <t>French and Francophone Belgian Cinema and the Crisis</t>
  </si>
  <si>
    <t>Looking Beyond Neoliberalism E-BOOK</t>
  </si>
  <si>
    <t>O'Shaughnessy, Martin</t>
  </si>
  <si>
    <t>Political Cinemas</t>
  </si>
  <si>
    <t>978-1-3995-0088-3</t>
  </si>
  <si>
    <t>Metaphor in Illness Writing</t>
  </si>
  <si>
    <t>Fight and Battle Reused</t>
  </si>
  <si>
    <t>Metaphor in Illness Writing E-BOOK</t>
  </si>
  <si>
    <t>Wohlmann, Anita</t>
  </si>
  <si>
    <t>Contemporary Cultural Studies in Illness, Health and Medicine</t>
  </si>
  <si>
    <t>978-1-3995-0283-2</t>
  </si>
  <si>
    <t>Writing Egypt</t>
  </si>
  <si>
    <t>Al-Maqrizi and his Historical Project</t>
  </si>
  <si>
    <t>Writing Egypt E-BOOK</t>
  </si>
  <si>
    <t>Rabbat, Nasser</t>
  </si>
  <si>
    <t>978-1-4744-7741-3</t>
  </si>
  <si>
    <t>Expenses</t>
  </si>
  <si>
    <t>A Civil Practitioner’s Handbook</t>
  </si>
  <si>
    <t>Expenses E-BOOK</t>
  </si>
  <si>
    <t>Nicol, Iain W</t>
  </si>
  <si>
    <t>Edinburgh University Press Complete eBook-Package 2022 | UC Berkeley Law P&amp;C 2024 | UC Irvine 2024 Law P&amp;C | UNIVERSIDAD NACIONAL AUTÓNOMA DE MÉXICO Pick and Choose 2023 | Yale P&amp;C Law Package 2023</t>
  </si>
  <si>
    <t>978-1-3995-0636-6</t>
  </si>
  <si>
    <t>Amnesty and Reconciliation in Late Fifth-Century Athens</t>
  </si>
  <si>
    <t>The Rule of Law under Restored Democracy</t>
  </si>
  <si>
    <t>Amnesty and Reconciliation in Late Fifth-Century Athe E-BOOK</t>
  </si>
  <si>
    <t>Joyce, Christopher J.</t>
  </si>
  <si>
    <t>978-1-4744-6717-9</t>
  </si>
  <si>
    <t>The Modern Arabic Bible</t>
  </si>
  <si>
    <t>Translation, Dissemination and Literary Impact</t>
  </si>
  <si>
    <t>The Modern Arabic Bible E-BOOK</t>
  </si>
  <si>
    <t>Issa, Rana</t>
  </si>
  <si>
    <t>978-1-4744-9022-1</t>
  </si>
  <si>
    <t>Postcolonial Fiction and Colonial Time</t>
  </si>
  <si>
    <t>Waiting for Now</t>
  </si>
  <si>
    <t>Postcolonial Fiction and Colonial Time E-BOOK</t>
  </si>
  <si>
    <t>Lagji, Amanda</t>
  </si>
  <si>
    <t>978-1-3995-0433-1</t>
  </si>
  <si>
    <t>Zarathustra's Moral Tyranny</t>
  </si>
  <si>
    <t>Kant, Hegel and Feuerbach</t>
  </si>
  <si>
    <t>Zarathustra's Moral Tyranny E-BOOK</t>
  </si>
  <si>
    <t>Cauchi, Francesca</t>
  </si>
  <si>
    <t>978-1-3995-0772-1</t>
  </si>
  <si>
    <t>Victorian Fictions of Middle-Class Status</t>
  </si>
  <si>
    <t>Forms of Absence in the Age of Reform</t>
  </si>
  <si>
    <t>Victorian Fictions of Middle-Class Status E-BOOK</t>
  </si>
  <si>
    <t xml:space="preserve">Pionke, Albert </t>
  </si>
  <si>
    <t>978-1-4744-8538-8</t>
  </si>
  <si>
    <t>Digital Death, Digital Assets and Post-mortem Privacy</t>
  </si>
  <si>
    <t>Theory, Technology and the Law</t>
  </si>
  <si>
    <t>Digital Death, Digital Assets and Post-mortem Privacy E-BOOK</t>
  </si>
  <si>
    <t>Harbinja, Edina</t>
  </si>
  <si>
    <t>LAW035000 LAW / Estates &amp; Trusts</t>
  </si>
  <si>
    <t>EBOOK PACKAGE COMPLETE 2022 | EBOOK PACKAGE COMPLETE 2022 English | EBOOK PACKAGE Law 2022 | EBOOK PACKAGE Law 2022 English | Edinburgh University Press Complete eBook-Package 2022 | Yale P&amp;C Law Package 2023</t>
  </si>
  <si>
    <t>978-1-3995-0858-2</t>
  </si>
  <si>
    <t>Sufis and Sharīʿa</t>
  </si>
  <si>
    <t>The Forgotten School of Mercy</t>
  </si>
  <si>
    <t>Sufis and Sharīʿa E-BOOK</t>
  </si>
  <si>
    <t>Dajani, Samer</t>
  </si>
  <si>
    <t>978-1-4744-9902-6</t>
  </si>
  <si>
    <t>James Joyce and Samaritan Hospitality</t>
  </si>
  <si>
    <t>Postcritical and Postsecular Reading in Dubliners and Ulysses</t>
  </si>
  <si>
    <t>James Joyce and Samaritan Hospitality E-BOOK</t>
  </si>
  <si>
    <t>978-1-4744-9364-2</t>
  </si>
  <si>
    <t>Identities and Ideologies in the Medieval East Roman World</t>
  </si>
  <si>
    <t>Identities and Ideologies in the Medieval East Roman  E-BOOK</t>
  </si>
  <si>
    <t>Stouraitis, Yannis</t>
  </si>
  <si>
    <t>978-1-3995-0105-7</t>
  </si>
  <si>
    <t>Film Viewing in Postwar Japan, 1945-1968: An Ethnographic Study</t>
  </si>
  <si>
    <t>Film Viewing in Postwar Japan, 1945-1968: An Ethnogra E-BOOK</t>
  </si>
  <si>
    <t>Coates, Jennifer</t>
  </si>
  <si>
    <t>978-1-4744-8659-0</t>
  </si>
  <si>
    <t>Emotion, Mission, Architecture</t>
  </si>
  <si>
    <t>Building Hospitals in Persia and British India, 1865-1914</t>
  </si>
  <si>
    <t>Emotion, Mission, Architecture E-BOOK</t>
  </si>
  <si>
    <t>Ebrahimi, Sara</t>
  </si>
  <si>
    <t>ARC011000 ARCHITECTURE / Buildings / Public, Commercial &amp; Industrial</t>
  </si>
  <si>
    <t>978-1-3995-0997-8</t>
  </si>
  <si>
    <t>Katherine Mansfield and The Garden Party and Other Stories</t>
  </si>
  <si>
    <t>Katherine Mansfield and The Garden Party and Other St E-BOOK</t>
  </si>
  <si>
    <t>978-1-4744-9006-1</t>
  </si>
  <si>
    <t>Marx’s Theory of Land, Rent and Cities</t>
  </si>
  <si>
    <t>Marx’s Theory of Land, Rent and Cities E-BOOK</t>
  </si>
  <si>
    <t>Effective Open Access 29.06.2022</t>
  </si>
  <si>
    <t>Munro, Don</t>
  </si>
  <si>
    <t>978-1-4744-7614-0</t>
  </si>
  <si>
    <t>Contemporary Disney Animation</t>
  </si>
  <si>
    <t>Genre, Gender and Hollywood</t>
  </si>
  <si>
    <t>Contemporary Disney Animation E-BOOK</t>
  </si>
  <si>
    <t>Benhamou, Eve</t>
  </si>
  <si>
    <t>978-1-3995-0553-6</t>
  </si>
  <si>
    <t>Estimative Intelligence in European Foreign Policymaking</t>
  </si>
  <si>
    <t>Learning Lessons from an Era of Surprise</t>
  </si>
  <si>
    <t>Estimative Intelligence in European Foreign Policymak E-BOOK</t>
  </si>
  <si>
    <t>Meyer, Christoph</t>
  </si>
  <si>
    <t>978-1-3995-0141-5</t>
  </si>
  <si>
    <t>The Sense of Place in Contemporary Cinema</t>
  </si>
  <si>
    <t>The Sense of Place in Contemporary Cinema E-BOOK</t>
  </si>
  <si>
    <t>Maury, Corinne</t>
  </si>
  <si>
    <t>978-1-4744-9832-6</t>
  </si>
  <si>
    <t>Who Runs Edinburgh?</t>
  </si>
  <si>
    <t>Who Runs Edinburgh? E-BOOK</t>
  </si>
  <si>
    <t>McCrone, David</t>
  </si>
  <si>
    <t>ARC005080 ARCHITECTURE / History / Contemporary (1945-)</t>
  </si>
  <si>
    <t>Edinburgh University Press Complete eBook-Package 2022 | Universidad Santiago Chile P&amp;C 2024</t>
  </si>
  <si>
    <t>978-1-3995-0267-2</t>
  </si>
  <si>
    <t>British Muslims, Ethnicity and Health Inequalities</t>
  </si>
  <si>
    <t>British Muslims, Ethnicity and Health Inequalities E-BOOK</t>
  </si>
  <si>
    <t>Dogra, Sufyan</t>
  </si>
  <si>
    <t>Public Health</t>
  </si>
  <si>
    <t>MED078000 MEDICAL / Public Health</t>
  </si>
  <si>
    <t>EBOOK PACKAGE COMPLETE 2023 | EBOOK PACKAGE COMPLETE 2023 English | EBOOK PACKAGE Medicine and Life Sciences 2023 | EBOOK PACKAGE Medicine and Life Sciences 2023 English | Edinburgh University Press Complete eBook-Package 2023</t>
  </si>
  <si>
    <t>978-1-4744-5700-2</t>
  </si>
  <si>
    <t>Politics and the People</t>
  </si>
  <si>
    <t>Scotland, 1945-1979</t>
  </si>
  <si>
    <t>Politics and the People E-BOOK</t>
  </si>
  <si>
    <t>978-1-4744-5786-6</t>
  </si>
  <si>
    <t>Norwegian Nightmares</t>
  </si>
  <si>
    <t>The Horror Cinema of a Nordic Country</t>
  </si>
  <si>
    <t>Norwegian Nightmares E-BOOK</t>
  </si>
  <si>
    <t>Andresen, Christer Bakke</t>
  </si>
  <si>
    <t>978-1-4744-8731-3</t>
  </si>
  <si>
    <t>Reanimating Shakespeare’s Othello in Post-Racial America</t>
  </si>
  <si>
    <t>Reanimating Shakespeare’s Othello in Post-Racial Amer E-BOOK</t>
  </si>
  <si>
    <t>Corredera, Vanessa</t>
  </si>
  <si>
    <t>DRA001010 DRAMA / American / African American</t>
  </si>
  <si>
    <t>978-1-3995-0243-6</t>
  </si>
  <si>
    <t>Georg Lukács and Critical Theory</t>
  </si>
  <si>
    <t>Aesthetics, History, Utopia</t>
  </si>
  <si>
    <t>Georg Lukács and Critical Theory E-BOOK</t>
  </si>
  <si>
    <t>Other Genres</t>
  </si>
  <si>
    <t>978-1-4744-9182-2</t>
  </si>
  <si>
    <t>Refusing to Behave in Early Modern Literature</t>
  </si>
  <si>
    <t>Refusing to Behave in Early Modern Literature E-BOOK</t>
  </si>
  <si>
    <t>Seymour, Laura</t>
  </si>
  <si>
    <t>978-1-4744-7812-0</t>
  </si>
  <si>
    <t>The Monotheisation of Pontic-Caspian Eurasia</t>
  </si>
  <si>
    <t>From the Eighth to the Thirteenth Century</t>
  </si>
  <si>
    <t>The Monotheisation of Pontic-Caspian Eurasia E-BOOK</t>
  </si>
  <si>
    <t>Feldman, Alex M.</t>
  </si>
  <si>
    <t>978-1-4744-9352-9</t>
  </si>
  <si>
    <t>Scotland's Transnational Heritage</t>
  </si>
  <si>
    <t>Legacies of Empire and Slavery</t>
  </si>
  <si>
    <t>Scotland's Transnational Heritage E-BOOK</t>
  </si>
  <si>
    <t>Bond, Emma</t>
  </si>
  <si>
    <t>978-1-4744-5288-5</t>
  </si>
  <si>
    <t>ReFocus: The Films of Shyam Benegal</t>
  </si>
  <si>
    <t>ReFocus: The Films of Shyam Benegal E-BOOK</t>
  </si>
  <si>
    <t>Chaudhuri, Sneha Kar / Samaddar, Ramit</t>
  </si>
  <si>
    <t>978-1-4744-8978-2</t>
  </si>
  <si>
    <t>The New Vienna School of Art History</t>
  </si>
  <si>
    <t>Fulfilling the Promise of Analytic Holism</t>
  </si>
  <si>
    <t>The New Vienna School of Art History E-BOOK</t>
  </si>
  <si>
    <t>Verstegen, Ian</t>
  </si>
  <si>
    <t>978-1-3995-0992-3</t>
  </si>
  <si>
    <t>The Informational Logic of Human Rights</t>
  </si>
  <si>
    <t>Networked Imaginaries in the Cybernetic Age</t>
  </si>
  <si>
    <t>The Informational Logic of Human Rights E-BOOK</t>
  </si>
  <si>
    <t>Bowsher, Joshua</t>
  </si>
  <si>
    <t>978-1-3995-0359-4</t>
  </si>
  <si>
    <t>Divination and Philosophy in the Letters of Paul</t>
  </si>
  <si>
    <t>Divination and Philosophy in the Letters of Paul E-BOOK</t>
  </si>
  <si>
    <t>Sharp, Matthew</t>
  </si>
  <si>
    <t>Edinburgh Studies in Religion in Antiquity</t>
  </si>
  <si>
    <t>978-1-4744-6309-6</t>
  </si>
  <si>
    <t>Domestic Architecture, Literature and the Sexual Imaginary in Europe, 1850-1930</t>
  </si>
  <si>
    <t>Domestic Architecture, Literature and the Sexual Imag E-BOOK</t>
  </si>
  <si>
    <t>Marti, Aina</t>
  </si>
  <si>
    <t>Nineteenth-Century and Neo-Victorian Cultures</t>
  </si>
  <si>
    <t>978-1-4744-9768-8</t>
  </si>
  <si>
    <t>Assessing Intelligence</t>
  </si>
  <si>
    <t>The Bildungsroman and the Politics of Human Potential in England, 1860–1910</t>
  </si>
  <si>
    <t>Assessing Intelligence E-BOOK</t>
  </si>
  <si>
    <t>Lyons, Sara</t>
  </si>
  <si>
    <t>978-1-3995-0984-8</t>
  </si>
  <si>
    <t>Francois Hemsterhuis and the Writing of Philosophy</t>
  </si>
  <si>
    <t>Francois Hemsterhuis and the Writing of Philosophy E-BOOK</t>
  </si>
  <si>
    <t>978-1-4744-5599-2</t>
  </si>
  <si>
    <t>Global Displacement in the Twenty-first Century</t>
  </si>
  <si>
    <t>Towards an Ethical Framework</t>
  </si>
  <si>
    <t>Global Displacement in the Twenty-first Century E-BOOK</t>
  </si>
  <si>
    <t>Edinburgh University Press Complete eBook-Package 2022 | UC Berkeley Law P&amp;C 2024 | UC Irvine 2024 Law P&amp;C | Yale P&amp;C Law Package 2023</t>
  </si>
  <si>
    <t>978-1-3995-1099-8</t>
  </si>
  <si>
    <t>Phenomenology of Black Spirit</t>
  </si>
  <si>
    <t>Phenomenology of Black Spirit E-BOOK</t>
  </si>
  <si>
    <t>Gray, Biko</t>
  </si>
  <si>
    <t>978-1-4744-4690-7</t>
  </si>
  <si>
    <t>Pontius Pilate on Screen</t>
  </si>
  <si>
    <t>Soldier, Sinner, Superstar</t>
  </si>
  <si>
    <t>Pontius Pilate on Screen E-BOOK</t>
  </si>
  <si>
    <t>McDonough, Christopher</t>
  </si>
  <si>
    <t>978-1-3995-0796-7</t>
  </si>
  <si>
    <t>Sports and the American Presidency</t>
  </si>
  <si>
    <t>From Theodore Roosevelt to Donald Trump</t>
  </si>
  <si>
    <t>Sports and the American Presidency E-BOOK</t>
  </si>
  <si>
    <t>978-1-3995-0545-1</t>
  </si>
  <si>
    <t>Global Security in an Age of Crisis</t>
  </si>
  <si>
    <t>Global Security in an Age of Crisis E-BOOK</t>
  </si>
  <si>
    <t>Warren, Aiden</t>
  </si>
  <si>
    <t>978-1-3995-0014-2</t>
  </si>
  <si>
    <t>Arabic Exile Literature in Europe</t>
  </si>
  <si>
    <t>Defamiliarising Forced Migration</t>
  </si>
  <si>
    <t>Arabic Exile Literature in Europe E-BOOK</t>
  </si>
  <si>
    <t>Sellman, Johanna</t>
  </si>
  <si>
    <t>978-1-3995-0805-6</t>
  </si>
  <si>
    <t>Meta in Film and Television Series</t>
  </si>
  <si>
    <t>Meta in Film and Television Series E-BOOK</t>
  </si>
  <si>
    <t>Roche, David</t>
  </si>
  <si>
    <t>978-1-4744-8603-3</t>
  </si>
  <si>
    <t>The Edinburgh Companion to the Essay</t>
  </si>
  <si>
    <t>The Edinburgh Companion to the Essay E-BOOK</t>
  </si>
  <si>
    <t>Aquilina, Mario</t>
  </si>
  <si>
    <t>978-1-3995-0714-1</t>
  </si>
  <si>
    <t>Latin American and Arab Literature</t>
  </si>
  <si>
    <t>Transcontinental Exchanges</t>
  </si>
  <si>
    <t>Latin American and Arab Literature E-BOOK</t>
  </si>
  <si>
    <t>978-1-4744-8615-6</t>
  </si>
  <si>
    <t>Reading Time in the Long Poem</t>
  </si>
  <si>
    <t>Milton, Thomson and Wordsworth</t>
  </si>
  <si>
    <t>Reading Time in the Long Poem E-BOOK</t>
  </si>
  <si>
    <t>Somervell, Tess</t>
  </si>
  <si>
    <t>978-1-4744-8955-3</t>
  </si>
  <si>
    <t>Zoroastrians in Early Islamic History</t>
  </si>
  <si>
    <t>Accommodation and Memory</t>
  </si>
  <si>
    <t>Zoroastrians in Early Islamic History E-BOOK</t>
  </si>
  <si>
    <t>D. Magnusson, Andrew</t>
  </si>
  <si>
    <t>978-1-3995-0383-9</t>
  </si>
  <si>
    <t>Early Golf</t>
  </si>
  <si>
    <t>Royal Myths and Ancient Histories</t>
  </si>
  <si>
    <t>Early Golf E-BOOK</t>
  </si>
  <si>
    <t xml:space="preserve">Millar, Neil S. </t>
  </si>
  <si>
    <t>978-1-3995-0275-7</t>
  </si>
  <si>
    <t>Identity and Ritual Healing in Roman and Late Antique Palestine</t>
  </si>
  <si>
    <t>Identity and Ritual Healing in Roman and Late Antique E-BOOK</t>
  </si>
  <si>
    <t>Nutzman, Megan</t>
  </si>
  <si>
    <t>978-1-4744-9479-3</t>
  </si>
  <si>
    <t>The Edinburgh Companion to Modernism, Myth and Religion</t>
  </si>
  <si>
    <t>The Edinburgh Companion to Modernism, Myth and Religi E-BOOK</t>
  </si>
  <si>
    <t>Hobson, Suzanne / Radford, Andrew D</t>
  </si>
  <si>
    <t>EBOOK PACKAGE COMPLETE 2023 | EBOOK PACKAGE COMPLETE 2023 English | EBOOK PACKAGE Literary Studies 2023 | EBOOK PACKAGE Literary Studies 2023 English | Edinburgh University Press Complete eBook-Package 2023</t>
  </si>
  <si>
    <t>978-1-4744-8998-0</t>
  </si>
  <si>
    <t>The Regional Development of the American Bildungsroman, 1900–1960</t>
  </si>
  <si>
    <t>The Regional Development of the American Bildungsroma E-BOOK</t>
  </si>
  <si>
    <t>Avery, Tamlyn</t>
  </si>
  <si>
    <t>978-1-4744-4682-2</t>
  </si>
  <si>
    <t>Finnish Film Studios</t>
  </si>
  <si>
    <t>Finnish Film Studios E-BOOK</t>
  </si>
  <si>
    <t>Laine, Kimmo</t>
  </si>
  <si>
    <t>EBOOK PACKAGE COMPLETE 2022 | EBOOK PACKAGE COMPLETE 2022 English | EBOOK PACKAGE Literary, Cultural, Area Studies 2022 | EBOOK PACKAGE Literary, Cultural, Area Studies 2022 English | Edinburgh University Press Complete eBook-Package 2023</t>
  </si>
  <si>
    <t>978-1-4744-9659-9</t>
  </si>
  <si>
    <t>ReFocus: The Literary Films of Richard Brooks</t>
  </si>
  <si>
    <t>ReFocus: The Literary Films of Richard Brooks E-BOOK</t>
  </si>
  <si>
    <t>978-1-4744-7534-1</t>
  </si>
  <si>
    <t>The Greek Imaginary</t>
  </si>
  <si>
    <t>From Homer to Heraclitus, Seminars 1982-1983</t>
  </si>
  <si>
    <t>The Greek Imaginary E-BOOK</t>
  </si>
  <si>
    <t xml:space="preserve">Castoriadis, CorneliusGarner, John / Garrido Sierralta, María-Constanza </t>
  </si>
  <si>
    <t>EBOOK PACKAGE COMPLETE 2023 | EBOOK PACKAGE COMPLETE 2023 English | EBOOK PACKAGE Classical Studies 2023 | EBOOK PACKAGE Classical Studies 2023 English | Edinburgh University Press Complete eBook-Package 2023</t>
  </si>
  <si>
    <t>978-1-4744-6094-1</t>
  </si>
  <si>
    <t>Form of Life: Agamben and the Destitution of Rules</t>
  </si>
  <si>
    <t>Form of Life: Agamben and the Destitution of Rules E-BOOK</t>
  </si>
  <si>
    <t>Fusco, Gian</t>
  </si>
  <si>
    <t>EBOOK PACKAGE COMPLETE 2022 | EBOOK PACKAGE COMPLETE 2022 English | EBOOK PACKAGE Law 2022 | EBOOK PACKAGE Law 2022 English | Edinburgh University Press Complete eBook-Package 2023 | UC Berkeley Law P&amp;C 2024 | UC Irvine 2024 Law P&amp;C | Yale P&amp;C Law Package 2023</t>
  </si>
  <si>
    <t>978-1-4744-4213-8</t>
  </si>
  <si>
    <t>Tracking Loach</t>
  </si>
  <si>
    <t>Politics ǀ Practices ǀ Production</t>
  </si>
  <si>
    <t>Tracking Loach E-BOOK</t>
  </si>
  <si>
    <t>Archibald, David</t>
  </si>
  <si>
    <t>EBOOK PACKAGE Arts 2022 | EBOOK PACKAGE Arts, Architecture and Design 2022 English | EBOOK PACKAGE COMPLETE 2022 | EBOOK PACKAGE COMPLETE 2022 English | Edinburgh University Press Complete eBook-Package 2023</t>
  </si>
  <si>
    <t>978-1-3995-1231-2</t>
  </si>
  <si>
    <t>The Work of Words</t>
  </si>
  <si>
    <t>Literature, Craft, and the Labour of Mind in Britain, 1830–1940</t>
  </si>
  <si>
    <t>The Work of Words E-BOOK</t>
  </si>
  <si>
    <t>Waithe, Marcus</t>
  </si>
  <si>
    <t>978-1-3995-0502-4</t>
  </si>
  <si>
    <t>The Corporation in the Nineteenth-Century American Imagination</t>
  </si>
  <si>
    <t>The Corporation in the Nineteenth-Century American Im E-BOOK</t>
  </si>
  <si>
    <t>Meuller, Stefanie</t>
  </si>
  <si>
    <t>EBOOK PACKAGE COMPLETE 2022 | EBOOK PACKAGE COMPLETE 2022 English | EBOOK PACKAGE Law 2022 | EBOOK PACKAGE Law 2022 English | Edinburgh University Press Complete eBook-Package 2023 | U Chicago P&amp;C UPL Single Titles 2024 | UC Irvine 2024 Law P&amp;C | Yale P&amp;C Law Package 2023</t>
  </si>
  <si>
    <t>978-1-4744-9756-5</t>
  </si>
  <si>
    <t>The Geographies of David Foster Wallace's Novels</t>
  </si>
  <si>
    <t>Spatial History and Literary Practice</t>
  </si>
  <si>
    <t>The Geographies of David Foster Wallace's Novels E-BOOK</t>
  </si>
  <si>
    <t>McRae Andrew, Laurie</t>
  </si>
  <si>
    <t>978-1-4744-8408-4</t>
  </si>
  <si>
    <t>Islam and New Directions in World Literature</t>
  </si>
  <si>
    <t>Islam and New Directions in World Literature E-BOOK</t>
  </si>
  <si>
    <t>978-1-4744-9784-8</t>
  </si>
  <si>
    <t>Touching at a Distance</t>
  </si>
  <si>
    <t>Shakespeare's Theatre</t>
  </si>
  <si>
    <t>Touching at a Distance E-BOOK</t>
  </si>
  <si>
    <t>Effective Open Access 13.02.2023</t>
  </si>
  <si>
    <t>Ungelenk, Johannes</t>
  </si>
  <si>
    <t>EBOOK PACKAGE COMPLETE 2023 | EBOOK PACKAGE COMPLETE 2023 English | EBOOK PACKAGE Literary Studies 2023 | EBOOK PACKAGE Literary Studies 2023 English | Edinburgh University Press Complete eBook-Package 2022</t>
  </si>
  <si>
    <t>978-1-4744-5187-1</t>
  </si>
  <si>
    <t>Prefigurative Democracy</t>
  </si>
  <si>
    <t>Protest, Social Movements and the Political Institution of Society</t>
  </si>
  <si>
    <t>Prefigurative Democracy E-BOOK</t>
  </si>
  <si>
    <t>van de Sande, Mathijs</t>
  </si>
  <si>
    <t>EBOOK PACKAGE COMPLETE 2022 | EBOOK PACKAGE COMPLETE 2022 English | EBOOK PACKAGE Philosophy 2022 | EBOOK PACKAGE Philosophy 2022 English | Edinburgh University Press Complete eBook-Package 2023 | U Chicago P&amp;C UPL Single Titles 2024 | UNAM Pick and Choose 2023</t>
  </si>
  <si>
    <t>978-1-3995-0549-9</t>
  </si>
  <si>
    <t>Martha Nussbaum and Politics</t>
  </si>
  <si>
    <t>Martha Nussbaum and Politics E-BOOK</t>
  </si>
  <si>
    <t>Robshaw, Brandon</t>
  </si>
  <si>
    <t>EBOOK PACKAGE COMPLETE 2023 | EBOOK PACKAGE COMPLETE 2023 English | EBOOK PACKAGE Philosophy 2023 | EBOOK PACKAGE Philosophy 2023 English | Edinburgh University Press Complete eBook-Package 2023 | UNAM Pick and Choose 2023</t>
  </si>
  <si>
    <t>978-1-4744-8418-3</t>
  </si>
  <si>
    <t>The Edinburgh Companion to Romanticism and the Arts</t>
  </si>
  <si>
    <t>The Edinburgh Companion to Romanticism and the Arts E-BOOK</t>
  </si>
  <si>
    <t>McCue, Maureen</t>
  </si>
  <si>
    <t>978-1-4744-9384-0</t>
  </si>
  <si>
    <t>ReFocus: The Films of Richard Linklater</t>
  </si>
  <si>
    <t>ReFocus: The Films of Richard Linklater E-BOOK</t>
  </si>
  <si>
    <t>Wilkins, Kim</t>
  </si>
  <si>
    <t>Edinburgh University Press Complete eBook-Package 2023</t>
  </si>
  <si>
    <t>978-1-3995-0363-1</t>
  </si>
  <si>
    <t>The Social and Cultural History of Palestine</t>
  </si>
  <si>
    <t>Essays in Honour of Salim Tamari</t>
  </si>
  <si>
    <t>The Social and Cultural History of Palestine E-BOOK</t>
  </si>
  <si>
    <t xml:space="preserve">Irving, Sarah </t>
  </si>
  <si>
    <t>EBOOK PACKAGE COMPLETE 2023 | EBOOK PACKAGE COMPLETE 2023 English | EBOOK PACKAGE History 2023 | EBOOK PACKAGE History 2023 English | Edinburgh University Press Complete eBook-Package 2023</t>
  </si>
  <si>
    <t>978-1-4744-9736-7</t>
  </si>
  <si>
    <t>Women's Literary Education, c. 1690–1850</t>
  </si>
  <si>
    <t>Women's Literary Education, c. 1690–1850 E-BOOK</t>
  </si>
  <si>
    <t>Joy, Louise / Lim, Jessica</t>
  </si>
  <si>
    <t>Theory and History of Education</t>
  </si>
  <si>
    <t>EDU016000 EDUCATION / History</t>
  </si>
  <si>
    <t>EBOOK PACKAGE COMPLETE 2023 | EBOOK PACKAGE COMPLETE 2023 English | EBOOK PACKAGE Education, Psychology, Comm 2023 English | EBOOK PACKAGE Education, Psychology, Communication 2023 | Edinburgh University Press Complete eBook-Package 2023</t>
  </si>
  <si>
    <t>978-1-3995-0102-6</t>
  </si>
  <si>
    <t>James Boswell, The Journals in Scotland, England and Ireland, 1766-1769</t>
  </si>
  <si>
    <t>James Boswell, The Journals in Scotland, England and  E-BOOK</t>
  </si>
  <si>
    <t>Boswell, JamesMilne, Hugh</t>
  </si>
  <si>
    <t>978-1-3995-0843-8</t>
  </si>
  <si>
    <t>Shakespeare the Bodger</t>
  </si>
  <si>
    <t>Ingenuity, Imitation and the Arts of The Winter’s Tale</t>
  </si>
  <si>
    <t>Shakespeare the Bodger E-BOOK</t>
  </si>
  <si>
    <t xml:space="preserve">Altman, Joel </t>
  </si>
  <si>
    <t>978-1-3995-0524-6</t>
  </si>
  <si>
    <t>Deleuze and Guattari and Fascism</t>
  </si>
  <si>
    <t>Deleuze and Guattari and Fascism E-BOOK</t>
  </si>
  <si>
    <t>Dolphijn, Rick</t>
  </si>
  <si>
    <t>Edinburgh University Press Complete eBook-Package 2023 | UNAM Pick and Choose 2023</t>
  </si>
  <si>
    <t>978-1-3995-1251-0</t>
  </si>
  <si>
    <t>Cyberspace and Instability</t>
  </si>
  <si>
    <t>Cyberspace and Instability E-BOOK</t>
  </si>
  <si>
    <t>Effective Open Access 01.09.2022</t>
  </si>
  <si>
    <t>Chesney, Robert / Shires, James / Smeets, Max</t>
  </si>
  <si>
    <t>Military Policy</t>
  </si>
  <si>
    <t>EBOOK PACKAGE COMPLETE 2023 | EBOOK PACKAGE COMPLETE 2023 English | EBOOK PACKAGE Political Science 2023 | EBOOK PACKAGE Political Science 2023 English | Edinburgh University Press Complete eBook-Package 2022</t>
  </si>
  <si>
    <t>978-1-4744-9919-4</t>
  </si>
  <si>
    <t>The Edinburgh History of the British and Irish Press, Volume 1</t>
  </si>
  <si>
    <t>Beginnings and Consolidation 1640–1800</t>
  </si>
  <si>
    <t xml:space="preserve">Brownlees, Nicholas </t>
  </si>
  <si>
    <t>EBOOK PACKAGE COMPLETE 2023 | EBOOK PACKAGE COMPLETE 2023 English | EBOOK PACKAGE Literary Studies 2023 | EBOOK PACKAGE Literary Studies 2023 English | Edinburgh University Press Complete eBook-Package 2023 | The Edinburgh History British and Irish Press V1-3 E-BOOK</t>
  </si>
  <si>
    <t>978-1-3995-1045-5</t>
  </si>
  <si>
    <t>Death and Life in the Ottoman Palace</t>
  </si>
  <si>
    <t>Revelations of the Sultan Abdülhamid I Tomb</t>
  </si>
  <si>
    <t>Death and Life in the Ottoman Palace E-BOOK</t>
  </si>
  <si>
    <t>Brookes, Douglas Scott</t>
  </si>
  <si>
    <t>978-1-3995-1598-6</t>
  </si>
  <si>
    <t>Selected Letters of Clive Bell</t>
  </si>
  <si>
    <t>Art, Love and War in Bloomsbury</t>
  </si>
  <si>
    <t>Selected Letters of Clive Bell E-BOOK</t>
  </si>
  <si>
    <t xml:space="preserve">Hussey, Mark </t>
  </si>
  <si>
    <t>978-1-3995-0129-3</t>
  </si>
  <si>
    <t>Rev. James Fraser, 1634-1709</t>
  </si>
  <si>
    <t>A New Perspective on the Scottish Highlands Before Culloden</t>
  </si>
  <si>
    <t>Rev. James Fraser, 1634-1709 E-BOOK</t>
  </si>
  <si>
    <t>Worthington, David</t>
  </si>
  <si>
    <t>978-1-4744-9413-7</t>
  </si>
  <si>
    <t>Bosnian Hajj Literature</t>
  </si>
  <si>
    <t>Multiple Paths to the Holy</t>
  </si>
  <si>
    <t>Bosnian Hajj Literature E-BOOK</t>
  </si>
  <si>
    <t>Karić, Dženita</t>
  </si>
  <si>
    <t>978-1-4744-7767-3</t>
  </si>
  <si>
    <t>ReFocus: The Films of Ken Russell</t>
  </si>
  <si>
    <t>ReFocus: The Films of Ken Russell E-BOOK</t>
  </si>
  <si>
    <t>Melia, Matthew</t>
  </si>
  <si>
    <t>978-1-4744-9708-4</t>
  </si>
  <si>
    <t>Networked David Lynch</t>
  </si>
  <si>
    <t>Critical Perspectives on Cinematic Transmediality</t>
  </si>
  <si>
    <t>Networked David Lynch E-BOOK</t>
  </si>
  <si>
    <t>Hartwig, Marcel / Niedermuller, Peter  / Rauscher, Andreas</t>
  </si>
  <si>
    <t>978-1-3995-0117-0</t>
  </si>
  <si>
    <t>The Gendered and Colonial Lives of Gurkhas in Private Security</t>
  </si>
  <si>
    <t>From Military to Market</t>
  </si>
  <si>
    <t>The Gendered and Colonial Lives of Gurkhas in Private E-BOOK</t>
  </si>
  <si>
    <t>Chisholm, Amanda</t>
  </si>
  <si>
    <t>EBOOK PACKAGE COMPLETE 2022 | EBOOK PACKAGE COMPLETE 2022 English | EBOOK PACKAGE Political Science 2022 | EBOOK PACKAGE Political Science 2022 English | Edinburgh University Press Complete eBook-Package 2023</t>
  </si>
  <si>
    <t>978-1-4744-8922-5</t>
  </si>
  <si>
    <t>Deleuze and Time</t>
  </si>
  <si>
    <t>Deleuze and Time E-BOOK</t>
  </si>
  <si>
    <t xml:space="preserve">Luzecky, Robert / Smith, Daniel </t>
  </si>
  <si>
    <t>978-1-4744-9740-4</t>
  </si>
  <si>
    <t>ReFocus: The Films of Denis Villeneuve</t>
  </si>
  <si>
    <t>ReFocus: The Films of Denis Villeneuve E-BOOK</t>
  </si>
  <si>
    <t>English, Jeri</t>
  </si>
  <si>
    <t>978-1-4744-8210-3</t>
  </si>
  <si>
    <t>Blood on the Lens</t>
  </si>
  <si>
    <t>Trauma and Anxiety in American Found Footage Horror Cinema</t>
  </si>
  <si>
    <t>Blood on the Lens E-BOOK</t>
  </si>
  <si>
    <t>McMurdo, Shellie</t>
  </si>
  <si>
    <t>978-1-4744-9776-3</t>
  </si>
  <si>
    <t>Modernist War Poetry</t>
  </si>
  <si>
    <t>Combat Gnosticism and the Sympathetic Imagination, 1914–19</t>
  </si>
  <si>
    <t>Modernist War Poetry E-BOOK</t>
  </si>
  <si>
    <t>Wood, Jamie</t>
  </si>
  <si>
    <t>978-1-4744-9724-4</t>
  </si>
  <si>
    <t>Hannah Arendt and Politics</t>
  </si>
  <si>
    <t>Hannah Arendt and Politics E-BOOK</t>
  </si>
  <si>
    <t xml:space="preserve">Robaszkiewicz, Maria </t>
  </si>
  <si>
    <t>978-1-3995-0669-4</t>
  </si>
  <si>
    <t>The History of Matthew Wald</t>
  </si>
  <si>
    <t>John Gibson Lockhart</t>
  </si>
  <si>
    <t>The History of Matthew Wald E-BOOK</t>
  </si>
  <si>
    <t>Richardson, Thomas C.</t>
  </si>
  <si>
    <t>978-1-3995-0220-7</t>
  </si>
  <si>
    <t>Arthur Conan Doyle and Photography</t>
  </si>
  <si>
    <t>Traces, Fairies and Other Apparitions</t>
  </si>
  <si>
    <t>Arthur Conan Doyle and Photography E-BOOK</t>
  </si>
  <si>
    <t>Stiegler, Bernd Filkins, Peter</t>
  </si>
  <si>
    <t>978-1-4744-9732-9</t>
  </si>
  <si>
    <t>Democracy in the Post-Truth Era</t>
  </si>
  <si>
    <t>Restoring Faith in Expertise</t>
  </si>
  <si>
    <t>Democracy in the Post-Truth Era E-BOOK</t>
  </si>
  <si>
    <t>Grygienc, Janusz</t>
  </si>
  <si>
    <t>EBOOK PACKAGE COMPLETE 2023 | EBOOK PACKAGE COMPLETE 2023 English | EBOOK PACKAGE Political Science 2023 | EBOOK PACKAGE Political Science 2023 English | Edinburgh University Press Complete eBook-Package 2023</t>
  </si>
  <si>
    <t>978-1-3995-0323-5</t>
  </si>
  <si>
    <t>Palestinian and Arab-Jewish Cultures</t>
  </si>
  <si>
    <t>Language, Literature, and Identity</t>
  </si>
  <si>
    <t>Palestinian and Arab-Jewish Cultures E-BOOK</t>
  </si>
  <si>
    <t>EBOOK PACKAGE COMPLETE 2023 | EBOOK PACKAGE COMPLETE 2023 English | EBOOK PACKAGE Theol., Relig.Stud., Jewish Stud. 2023 | EBOOK PACKAGE Theol., Relig.Stud., Jewish Stud. 2023 English | Edinburgh University Press Complete eBook-Package 2023</t>
  </si>
  <si>
    <t>978-1-4744-9329-1</t>
  </si>
  <si>
    <t>Remediating the 1820s</t>
  </si>
  <si>
    <t>Remediating the 1820s E-BOOK</t>
  </si>
  <si>
    <t>Mee, Jon / Sangster, Matthew</t>
  </si>
  <si>
    <t>978-1-3995-0726-4</t>
  </si>
  <si>
    <t>The Eye of the Cinematograph</t>
  </si>
  <si>
    <t>Lévinas and Realisms of the Body</t>
  </si>
  <si>
    <t>The Eye of the Cinematograph E-BOOK</t>
  </si>
  <si>
    <t>Manafi, Keyvan</t>
  </si>
  <si>
    <t>978-1-3995-0449-2</t>
  </si>
  <si>
    <t>New Perspectives on Mary E. Wilkins Freeman</t>
  </si>
  <si>
    <t>Reading with and against the Grain</t>
  </si>
  <si>
    <t>New Perspectives on Mary E. Wilkins Freeman E-BOOK</t>
  </si>
  <si>
    <t>Drizou, Myrto / Palmer, Stephanie / Roudeau, Cécile</t>
  </si>
  <si>
    <t>978-1-3995-0569-7</t>
  </si>
  <si>
    <t>Transnational Crime Cinema</t>
  </si>
  <si>
    <t>Transnational Crime Cinema E-BOOK</t>
  </si>
  <si>
    <t>Delahousse, Sarah</t>
  </si>
  <si>
    <t>978-1-3995-1175-9</t>
  </si>
  <si>
    <t>Plastics, Environment, Culture and the Politics of Waste</t>
  </si>
  <si>
    <t>Plastics, Environment, Culture and the Politics of Wa E-BOOK</t>
  </si>
  <si>
    <t>Konrad, Tatiana</t>
  </si>
  <si>
    <t>POL044000 POLITICAL SCIENCE / Public Policy / Environmental Policy</t>
  </si>
  <si>
    <t>978-1-3995-0375-4</t>
  </si>
  <si>
    <t>The Archaeology of Southwest Afghanistan, Volume 1</t>
  </si>
  <si>
    <t>Survey and Excavation</t>
  </si>
  <si>
    <t>The Archaeology of Southwest Afghanistan, Volume 1 E-BOOK</t>
  </si>
  <si>
    <t>Trousdale, William B.</t>
  </si>
  <si>
    <t>978-1-4744-1423-4</t>
  </si>
  <si>
    <t>Late-colonial French Cinema</t>
  </si>
  <si>
    <t>Filming the Algerian War of Independence</t>
  </si>
  <si>
    <t>Late-colonial French Cinema E-BOOK</t>
  </si>
  <si>
    <t>Sharpe, Mani</t>
  </si>
  <si>
    <t>978-1-3995-1324-1</t>
  </si>
  <si>
    <t>Literary Critique, Modernism and the Transformation of Theory</t>
  </si>
  <si>
    <t>Literary Critique, Modernism and the Transformation o E-BOOK</t>
  </si>
  <si>
    <t>978-1-4744-9748-0</t>
  </si>
  <si>
    <t>ReFocus: The Films of Roberta Findlay</t>
  </si>
  <si>
    <t>ReFocus: The Films of Roberta Findlay E-BOOK</t>
  </si>
  <si>
    <t>Alilunas, Peter / Strub, Whitney</t>
  </si>
  <si>
    <t>978-1-4744-1407-4</t>
  </si>
  <si>
    <t>Freak Scenes</t>
  </si>
  <si>
    <t>American Indie Cinema and Indie Music Cultures</t>
  </si>
  <si>
    <t>Freak Scenes E-BOOK</t>
  </si>
  <si>
    <t>MUS033000 MUSIC / Reference</t>
  </si>
  <si>
    <t>EBOOK PACKAGE COMPLETE 2022 | EBOOK PACKAGE COMPLETE 2022 English | EBOOK PACKAGE Literary, Cultural, Area Studies 2022 | EBOOK PACKAGE Literary, Cultural, Area Studies 2022 English | Edinburgh University Press Complete eBook-Package 2023 | Montana State Music Collection P&amp;C Titles</t>
  </si>
  <si>
    <t>978-1-3995-1033-2</t>
  </si>
  <si>
    <t>The Egyptian Social Contract</t>
  </si>
  <si>
    <t>A History of State-Middle Class Relations</t>
  </si>
  <si>
    <t>The Egyptian Social Contract E-BOOK</t>
  </si>
  <si>
    <t>Shechter, Relli</t>
  </si>
  <si>
    <t>978-1-3995-0624-3</t>
  </si>
  <si>
    <t>Why Islamists Go Green</t>
  </si>
  <si>
    <t>Why Islamists Go Green E-BOOK</t>
  </si>
  <si>
    <t xml:space="preserve">Karagiannis, Emmanuel </t>
  </si>
  <si>
    <t>978-1-4744-9875-3</t>
  </si>
  <si>
    <t>Understanding Islam</t>
  </si>
  <si>
    <t>Positions of Knowledge</t>
  </si>
  <si>
    <t>Understanding Islam E-BOOK</t>
  </si>
  <si>
    <t>Turner, Bryan S.</t>
  </si>
  <si>
    <t>Globalised Muslim Societies</t>
  </si>
  <si>
    <t>978-1-3995-0327-3</t>
  </si>
  <si>
    <t>Contemporary Arabic Literature</t>
  </si>
  <si>
    <t>Heritage and Innovation</t>
  </si>
  <si>
    <t>Contemporary Arabic Literature E-BOOK</t>
  </si>
  <si>
    <t>978-1-4744-8434-3</t>
  </si>
  <si>
    <t>Gertrude Stein and the Politics of Participation</t>
  </si>
  <si>
    <t>Democracy, Rights and Modernist Authorship, 1909–1933</t>
  </si>
  <si>
    <t>Gertrude Stein and the Politics of Participation E-BOOK</t>
  </si>
  <si>
    <t>Parkinson, Isabelle</t>
  </si>
  <si>
    <t>978-1-3995-0529-1</t>
  </si>
  <si>
    <t>Life in the Posthuman Condition</t>
  </si>
  <si>
    <t>Critical Responses to the Anthropocene</t>
  </si>
  <si>
    <t>Life in the Posthuman Condition E-BOOK</t>
  </si>
  <si>
    <t>Wilmer, S. E. / Žukauskaitė, Audronė</t>
  </si>
  <si>
    <t>EBOOK PACKAGE COMPLETE 2023 | EBOOK PACKAGE COMPLETE 2023 English | EBOOK PACKAGE Medicine and Life Sciences 2023 | EBOOK PACKAGE Medicine and Life Sciences 2023 English | Edinburgh University Press Complete eBook-Package 2023 | UIUC Life Sciences 2023 eBook package | UIUC Life Sciences P&amp;C 2023 Package</t>
  </si>
  <si>
    <t>978-1-3995-0648-9</t>
  </si>
  <si>
    <t>Transscalar Critique</t>
  </si>
  <si>
    <t>Climate, Blackness, Crisis</t>
  </si>
  <si>
    <t>Transscalar Critique E-BOOK</t>
  </si>
  <si>
    <t>Ivry, Henry</t>
  </si>
  <si>
    <t>978-1-4744-9716-9</t>
  </si>
  <si>
    <t>The Idler's Club</t>
  </si>
  <si>
    <t>Humour and Mass Readership from Jerome K. Jerome to P. G. Wodehouse</t>
  </si>
  <si>
    <t>The Idler's Club E-BOOK</t>
  </si>
  <si>
    <t>Fiss, Laura</t>
  </si>
  <si>
    <t>978-1-3995-0259-7</t>
  </si>
  <si>
    <t>Ottoman Translation</t>
  </si>
  <si>
    <t>Circulating Texts from Bombay to Paris</t>
  </si>
  <si>
    <t>Ottoman Translation E-BOOK</t>
  </si>
  <si>
    <t>978-1-3995-0988-6</t>
  </si>
  <si>
    <t>Deleuze and Guattari and Terror</t>
  </si>
  <si>
    <t>Deleuze and Guattari and Terror E-BOOK</t>
  </si>
  <si>
    <t xml:space="preserve">Purakayastha, Anindya </t>
  </si>
  <si>
    <t>EBOOK PACKAGE COMPLETE 2022 | EBOOK PACKAGE COMPLETE 2022 English | EBOOK PACKAGE Philosophy 2022 | EBOOK PACKAGE Philosophy 2022 English | Edinburgh University Press Complete eBook-Package 2023 | UNAM Pick and Choose 2023</t>
  </si>
  <si>
    <t>978-1-3995-0616-8</t>
  </si>
  <si>
    <t>Life Worlds of Middle Eastern Oil</t>
  </si>
  <si>
    <t>Histories and Ethnographies of Black Gold</t>
  </si>
  <si>
    <t>Life Worlds of Middle Eastern Oil E-BOOK</t>
  </si>
  <si>
    <t>Limbert, Mandana / Fuccaro, Nelida</t>
  </si>
  <si>
    <t>978-1-3995-1583-2</t>
  </si>
  <si>
    <t>Journalism in the Grey Zone</t>
  </si>
  <si>
    <t>Pluralism and Media Capture in Lebanon and Tunisia</t>
  </si>
  <si>
    <t>Journalism in the Grey Zone E-BOOK</t>
  </si>
  <si>
    <t>Selvik, Kjetil / Høigilt, Jacob</t>
  </si>
  <si>
    <t>978-1-4744-9010-8</t>
  </si>
  <si>
    <t>Moralities of Drone Violence</t>
  </si>
  <si>
    <t>Moralities of Drone Violence E-BOOK</t>
  </si>
  <si>
    <t>EBOOK PACKAGE COMPLETE 2023 | EBOOK PACKAGE COMPLETE 2023 English | EBOOK PACKAGE Law 2023 | EBOOK PACKAGE Law 2023 English | Edinburgh University Press Complete eBook-Package 2023 | Yale P&amp;C Law Package 2023</t>
  </si>
  <si>
    <t>978-1-4744-8699-6</t>
  </si>
  <si>
    <t>Ageing, Dementia and Time in Film</t>
  </si>
  <si>
    <t>Temporal Performances</t>
  </si>
  <si>
    <t>Ageing, Dementia and Time in Film E-BOOK</t>
  </si>
  <si>
    <t>Deng, MaoHui</t>
  </si>
  <si>
    <t>978-1-4744-8584-5</t>
  </si>
  <si>
    <t>The Viking Age in Scotland</t>
  </si>
  <si>
    <t>Studies in Scottish Scandinavian Archaeology</t>
  </si>
  <si>
    <t>The Viking Age in Scotland E-BOOK</t>
  </si>
  <si>
    <t>Horne, Tom</t>
  </si>
  <si>
    <t>978-1-3995-0863-6</t>
  </si>
  <si>
    <t>The Kurdish Nobility in the Ottoman Empire</t>
  </si>
  <si>
    <t>Loyalty, Autonomy and Privilege</t>
  </si>
  <si>
    <t>The Kurdish Nobility in the Ottoman Empire E-BOOK</t>
  </si>
  <si>
    <t>Özok-Gündoğan, Nilay</t>
  </si>
  <si>
    <t>978-1-4744-7618-8</t>
  </si>
  <si>
    <t>Documenting Fashion</t>
  </si>
  <si>
    <t>Documenting Fashion E-BOOK</t>
  </si>
  <si>
    <t>Caoduro, Elena / Ulfsdotter, Boel</t>
  </si>
  <si>
    <t>EBOOK PACKAGE Architecture and Design 2023 | EBOOK PACKAGE Arts, Architecture and Design 2023 English | EBOOK PACKAGE COMPLETE 2023 | EBOOK PACKAGE COMPLETE 2023 English | Edinburgh University Press Complete eBook-Package 2023 | UKansas DG Architecture and Design Frontlist 2024 | Universidad Santiago Chile P&amp;C 2024</t>
  </si>
  <si>
    <t>978-1-4744-9372-7</t>
  </si>
  <si>
    <t>ReFocus: The Films of Antoinetta Angelidi</t>
  </si>
  <si>
    <t>ReFocus: The Films of Antoinetta Angelidi E-BOOK</t>
  </si>
  <si>
    <t>Bouska, Penny</t>
  </si>
  <si>
    <t>978-1-3995-1087-5</t>
  </si>
  <si>
    <t>Islamic Studies in European Higher Education</t>
  </si>
  <si>
    <t>Navigating Academic and Confessional Approaches</t>
  </si>
  <si>
    <t>Islamic Studies in European Higher Education E-BOOK</t>
  </si>
  <si>
    <t>Jones, Stephen / Nielsen, Jørgen S.</t>
  </si>
  <si>
    <t>Education Systems</t>
  </si>
  <si>
    <t>EDU015000 EDUCATION / Higher</t>
  </si>
  <si>
    <t>978-1-4744-7753-6</t>
  </si>
  <si>
    <t>The Memoirs of Sherlock Holmes</t>
  </si>
  <si>
    <t>The Memoirs of Sherlock Holmes E-BOOK</t>
  </si>
  <si>
    <t>Conan Doyle, ArthurCranfield, Jonathan</t>
  </si>
  <si>
    <t>978-1-3995-1296-1</t>
  </si>
  <si>
    <t>ReFocus: The Films of Kim Ki-young</t>
  </si>
  <si>
    <t>ReFocus: The Films of Kim Ki-young E-BOOK</t>
  </si>
  <si>
    <t>Kim, Chung-kang</t>
  </si>
  <si>
    <t>978-1-3995-0029-6</t>
  </si>
  <si>
    <t>ReFocus: The Films of Jane Campion</t>
  </si>
  <si>
    <t>ReFocus: The Films of Jane Campion E-BOOK</t>
  </si>
  <si>
    <t>Bowler, Alexia / Jones, Adele</t>
  </si>
  <si>
    <t>978-1-4744-8971-3</t>
  </si>
  <si>
    <t>Contemporary Arab Women’s Life Writing and the Politics of Resistance</t>
  </si>
  <si>
    <t>Contemporary Arab Women’s Life Writing and the Politi E-BOOK</t>
  </si>
  <si>
    <t>Cheurfa, Hiyem</t>
  </si>
  <si>
    <t>978-1-3995-1223-7</t>
  </si>
  <si>
    <t>The Complete Magazine Stories of F. Scott Fitzgerald, 1921–1924</t>
  </si>
  <si>
    <t>The Complete Magazine Stories of F. Scott Fitzgerald, E-BOOK</t>
  </si>
  <si>
    <t>Mitchell, Alexandra / Nolan, Jennifer</t>
  </si>
  <si>
    <t>978-1-3995-0573-4</t>
  </si>
  <si>
    <t>Consuming Empire in U.S. Fiction, 1865–1930</t>
  </si>
  <si>
    <t>Consuming Empire in U.S. Fiction, 1865–1930 E-BOOK</t>
  </si>
  <si>
    <t>Wayne, Heather</t>
  </si>
  <si>
    <t>978-1-3995-1048-6</t>
  </si>
  <si>
    <t>ReFocus: The Films of William Wyler</t>
  </si>
  <si>
    <t>ReFocus: The Films of William Wyler E-BOOK</t>
  </si>
  <si>
    <t>Price, John</t>
  </si>
  <si>
    <t>978-1-4744-8516-6</t>
  </si>
  <si>
    <t>Early Radio</t>
  </si>
  <si>
    <t>An Anthology of European Texts and Translations</t>
  </si>
  <si>
    <t>Early Radio E-BOOK</t>
  </si>
  <si>
    <t>Morin, Emilie / Morin, Emilie / Sutherland, Marielle  / Asciuto, Nicoletta</t>
  </si>
  <si>
    <t>978-1-4744-9018-4</t>
  </si>
  <si>
    <t>Italian Gothic</t>
  </si>
  <si>
    <t>Italian Gothic E-BOOK</t>
  </si>
  <si>
    <t>Malvestio, Marco / Serafini, Stefano</t>
  </si>
  <si>
    <t>978-1-3995-1304-3</t>
  </si>
  <si>
    <t>The Islamic–Byzantine Border in History</t>
  </si>
  <si>
    <t>From the Rise of Islam to the End of the Crusades</t>
  </si>
  <si>
    <t>The Islamic–Byzantine Border in History E-BOOK</t>
  </si>
  <si>
    <t xml:space="preserve">Beihammer, Alexander / Tor, Deborah </t>
  </si>
  <si>
    <t>978-1-4744-9693-3</t>
  </si>
  <si>
    <t>Taiwan New Cinema at Film Festivals</t>
  </si>
  <si>
    <t>Taiwan New Cinema at Film Festivals E-BOOK</t>
  </si>
  <si>
    <t>Tsai, Beth</t>
  </si>
  <si>
    <t>978-1-4744-9483-0</t>
  </si>
  <si>
    <t>Robert Louis Stevenson and the Pacific</t>
  </si>
  <si>
    <t>The Transformation of Global Christianity</t>
  </si>
  <si>
    <t>Robert Louis Stevenson and the Pacific E-BOOK</t>
  </si>
  <si>
    <t>Ratnapalan, L. M.</t>
  </si>
  <si>
    <t>978-1-3995-0137-8</t>
  </si>
  <si>
    <t>Adrian Brunel and British Cinema of the 1920s</t>
  </si>
  <si>
    <t>The Artist versus the Moneybags</t>
  </si>
  <si>
    <t>Adrian Brunel and British Cinema of the 1920s E-BOOK</t>
  </si>
  <si>
    <t>Botting, Josephine</t>
  </si>
  <si>
    <t>978-1-3995-1179-7</t>
  </si>
  <si>
    <t>Scottish Commercial Law Essentials</t>
  </si>
  <si>
    <t>Scottish Commercial Law Essentials E-BOOK</t>
  </si>
  <si>
    <t>UsageBasedPricing</t>
  </si>
  <si>
    <t>Combe, Malcolm / MacPherson, Alisdair</t>
  </si>
  <si>
    <t>Law of Civil Procedure, Voluntary Jurisdiction</t>
  </si>
  <si>
    <t>Insolvency Law</t>
  </si>
  <si>
    <t>LAW008000 LAW / Bankruptcy &amp; Insolvency</t>
  </si>
  <si>
    <t>Edinburgh University Press Complete eBook-Package 2023 | Yale P&amp;C Law Package 2023</t>
  </si>
  <si>
    <t>EBA_EXCL</t>
  </si>
  <si>
    <t>978-1-4744-7985-1</t>
  </si>
  <si>
    <t>Performative Opacity in the Work of Isabelle Huppert</t>
  </si>
  <si>
    <t>Performative Opacity in the Work of Isabelle Huppert E-BOOK</t>
  </si>
  <si>
    <t>Cortez, Iggy / Fleishman, Ian</t>
  </si>
  <si>
    <t>978-1-4744-8651-4</t>
  </si>
  <si>
    <t>Muslim Cultures of the Indian Ocean</t>
  </si>
  <si>
    <t>Diversity and Pluralism, Past and Present</t>
  </si>
  <si>
    <t>Muslim Cultures of the Indian Ocean E-BOOK</t>
  </si>
  <si>
    <t>Effective Open Access 06.07.2023</t>
  </si>
  <si>
    <t>Pradines, Stéphane / Topan, Farouk</t>
  </si>
  <si>
    <t>EBOOK PACKAGE Architecture and Design 2023 | EBOOK PACKAGE Arts, Architecture and Design 2023 English | EBOOK PACKAGE COMPLETE 2023 | EBOOK PACKAGE COMPLETE 2023 English | Edinburgh University Press Complete eBook-Package 2023 | UKansas DG Architecture and Design Frontlist 2024</t>
  </si>
  <si>
    <t>978-1-4744-8907-2</t>
  </si>
  <si>
    <t>Spinoza's Paradoxical Conservatism</t>
  </si>
  <si>
    <t>Infancy and Monarchy</t>
  </si>
  <si>
    <t>Spinoza's Paradoxical Conservatism E-BOOK</t>
  </si>
  <si>
    <t>Zourabichvili, FrancoisMorejon, Gil</t>
  </si>
  <si>
    <t>EBOOK PACKAGE COMPLETE 2023 | EBOOK PACKAGE COMPLETE 2023 English | EBOOK PACKAGE Philosophy 2023 | EBOOK PACKAGE Philosophy 2023 English | Edinburgh University Press Complete eBook-Package 2023</t>
  </si>
  <si>
    <t>978-1-4744-6167-2</t>
  </si>
  <si>
    <t>Abstraction in Modernism and Modernity</t>
  </si>
  <si>
    <t>Human and Inhuman</t>
  </si>
  <si>
    <t>Abstraction in Modernism and Modernity E-BOOK</t>
  </si>
  <si>
    <t>Wallace, Jeff</t>
  </si>
  <si>
    <t>978-1-3995-1079-0</t>
  </si>
  <si>
    <t>Sidonius: Letters Book 5, Part 1</t>
  </si>
  <si>
    <t>Sidonius: Letters Book 5, Part 1 E-BOOK</t>
  </si>
  <si>
    <t>Marolla, Giulia</t>
  </si>
  <si>
    <t>978-1-3995-1116-2</t>
  </si>
  <si>
    <t>Failed Masculinities</t>
  </si>
  <si>
    <t>The Men in Satyajit Ray’s Films</t>
  </si>
  <si>
    <t>Failed Masculinities E-BOOK</t>
  </si>
  <si>
    <t>Sanyal, Devapriya</t>
  </si>
  <si>
    <t>978-1-3995-0784-4</t>
  </si>
  <si>
    <t>Poetic Theory and Practice in Early Modern Verse</t>
  </si>
  <si>
    <t>Unwritten Arts</t>
  </si>
  <si>
    <t>Poetic Theory and Practice in Early Modern Verse E-BOOK</t>
  </si>
  <si>
    <t xml:space="preserve">Luis-Martínez, Zenón </t>
  </si>
  <si>
    <t>978-1-3995-1824-6</t>
  </si>
  <si>
    <t>The Struggle to Reshape the Middle East in the 21st Century</t>
  </si>
  <si>
    <t>The Struggle to Reshape the Middle East in the 21st C E-BOOK</t>
  </si>
  <si>
    <t>Shehata, Samer</t>
  </si>
  <si>
    <t>978-1-4744-9472-4</t>
  </si>
  <si>
    <t>The Edinburgh Companion to First World War Periodicals</t>
  </si>
  <si>
    <t>The Edinburgh Companion to First World War Periodical E-BOOK</t>
  </si>
  <si>
    <t>van Puymbroeck, Birgit  / Demoor, Marysa / Van Dijck, Cedric</t>
  </si>
  <si>
    <t>978-1-3995-1276-3</t>
  </si>
  <si>
    <t>Democracy and the Future</t>
  </si>
  <si>
    <t>Future-Regarding Governance in Democratic Systems</t>
  </si>
  <si>
    <t>Democracy and the Future E-BOOK</t>
  </si>
  <si>
    <t>Kyllönen, Simo / MacKenzie, Michael / Setälä, Maija</t>
  </si>
  <si>
    <t>978-1-4744-1117-2</t>
  </si>
  <si>
    <t>Macpherson the Historian</t>
  </si>
  <si>
    <t>Historiography, Nation-building and Enlightenment Culture</t>
  </si>
  <si>
    <t>Macpherson the Historian E-BOOK</t>
  </si>
  <si>
    <t>MacPherson, Mairi / MacPherson, Jim</t>
  </si>
  <si>
    <t>978-1-4744-9804-3</t>
  </si>
  <si>
    <t>Beastly Modernisms</t>
  </si>
  <si>
    <t>The Figure of the Animal in Modernist Literature and Culture</t>
  </si>
  <si>
    <t>Beastly Modernisms E-BOOK</t>
  </si>
  <si>
    <t xml:space="preserve">Goody, Alex / McCracken, Saskia </t>
  </si>
  <si>
    <t>978-1-4744-9796-1</t>
  </si>
  <si>
    <t>Yul Brynner</t>
  </si>
  <si>
    <t>Exoticism, Cosmopolitanism and Screen Masculinity</t>
  </si>
  <si>
    <t>Yul Brynner E-BOOK</t>
  </si>
  <si>
    <t xml:space="preserve">Paasonen, Susanna </t>
  </si>
  <si>
    <t>978-1-4744-6106-1</t>
  </si>
  <si>
    <t>Hadith Commentary</t>
  </si>
  <si>
    <t>Hadith Commentary E-BOOK</t>
  </si>
  <si>
    <t>Blecher, Joel / Brinkmann, Stefanie</t>
  </si>
  <si>
    <t>978-1-4744-8351-3</t>
  </si>
  <si>
    <t>Provocation in Women’s Filmmaking</t>
  </si>
  <si>
    <t>Authorship and Art Cinema</t>
  </si>
  <si>
    <t>Provocation in Women’s Filmmaking E-BOOK</t>
  </si>
  <si>
    <t>Loreck, Janice</t>
  </si>
  <si>
    <t>978-1-3995-0367-9</t>
  </si>
  <si>
    <t>Rethinking State and Border Formation in the Middle East</t>
  </si>
  <si>
    <t>Turkish-Syrian-Iraqi Borderlands, 1921-46</t>
  </si>
  <si>
    <t>Rethinking State and Border Formation in the Middle E E-BOOK</t>
  </si>
  <si>
    <t>Tejel, Jordi</t>
  </si>
  <si>
    <t>978-1-3995-1183-4</t>
  </si>
  <si>
    <t>Time and Timelessness in Victorian Poetry</t>
  </si>
  <si>
    <t>Time and Timelessness in Victorian Poetry E-BOOK</t>
  </si>
  <si>
    <t>Huber, Irmtraud</t>
  </si>
  <si>
    <t>978-1-4744-9305-5</t>
  </si>
  <si>
    <t>Beyond the Enlightenment</t>
  </si>
  <si>
    <t>Scottish Intellectual Life, 1790-1914</t>
  </si>
  <si>
    <t>Beyond the Enlightenment E-BOOK</t>
  </si>
  <si>
    <t>Kidd, Colin C / Fyfe, Aileen</t>
  </si>
  <si>
    <t>978-1-4744-8994-2</t>
  </si>
  <si>
    <t>Medical Caregiving Narratives of the First World War</t>
  </si>
  <si>
    <t>Geographies of Care</t>
  </si>
  <si>
    <t>Medical Caregiving Narratives of the First World War E-BOOK</t>
  </si>
  <si>
    <t>Allitt, Marie</t>
  </si>
  <si>
    <t>978-1-4744-4908-3</t>
  </si>
  <si>
    <t>The Game of the World</t>
  </si>
  <si>
    <t>The Game of the World E-BOOK</t>
  </si>
  <si>
    <t>Axelos, KostasMonz, Hellmut / Clemens, Justin</t>
  </si>
  <si>
    <t>Theoretical Computer Sciences</t>
  </si>
  <si>
    <t>COM031000 COMPUTERS / Information Theory</t>
  </si>
  <si>
    <t>EBOOK PACKAGE COMPLETE 2023 | EBOOK PACKAGE COMPLETE 2023 English | EBOOK PACKAGE Engineering, Computer Sciences 2023 | EBOOK PACKAGE Engineering, Computer Sciences 2023 English | Edinburgh University Press Complete eBook-Package 2023</t>
  </si>
  <si>
    <t>978-1-4744-8355-1</t>
  </si>
  <si>
    <t>Race, Nation and Cultural Power in Film Adaptation</t>
  </si>
  <si>
    <t>Race, Nation and Cultural Power in Film Adaptation E-BOOK</t>
  </si>
  <si>
    <t>Roberts, Gillian</t>
  </si>
  <si>
    <t>EBOOK PACKAGE COMPLETE 2023 | EBOOK PACKAGE COMPLETE 2023 English | EBOOK PACKAGE Cultural and Area Studies 2023 | EBOOK PACKAGE Cultural and Area Studies 2023 English | Edinburgh University Press Complete eBook-Package 2023</t>
  </si>
  <si>
    <t>978-1-3995-1155-1</t>
  </si>
  <si>
    <t>The Edinburgh History of Scottish Newspapers, 1850-1950</t>
  </si>
  <si>
    <t>The Edinburgh History of Scottish Newspapers, 1850-19 E-BOOK</t>
  </si>
  <si>
    <t>978-1-3995-0879-7</t>
  </si>
  <si>
    <t>Modern Philosopher Kings</t>
  </si>
  <si>
    <t>Wisdom and Power in Politics</t>
  </si>
  <si>
    <t>Modern Philosopher Kings E-BOOK</t>
  </si>
  <si>
    <t>Patapan, Haig</t>
  </si>
  <si>
    <t>Social History</t>
  </si>
  <si>
    <t>HIS054000 HISTORY / Social History</t>
  </si>
  <si>
    <t>978-1-3995-0053-1</t>
  </si>
  <si>
    <t>Failures East and West</t>
  </si>
  <si>
    <t>Cultural Encounters between East Asia and Europe</t>
  </si>
  <si>
    <t>Failures East and West E-BOOK</t>
  </si>
  <si>
    <t>Sandrock, Kirsten / Hertel, Ralf</t>
  </si>
  <si>
    <t>978-1-3995-0391-4</t>
  </si>
  <si>
    <t>John Kennedy of Dingwall, 1819-1884</t>
  </si>
  <si>
    <t>Evangelicalism in the Scottish Highlands</t>
  </si>
  <si>
    <t>John Kennedy of Dingwall, 1819-1884 E-BOOK</t>
  </si>
  <si>
    <t>Macleod, Alasdair J.</t>
  </si>
  <si>
    <t>978-1-4744-9208-9</t>
  </si>
  <si>
    <t>Owning Books and Preserving Documents in Medieval Jerusalem</t>
  </si>
  <si>
    <t>The Library of Burhan al-Din</t>
  </si>
  <si>
    <t>Owning Books and Preserving Documents in Medieval Jer E-BOOK</t>
  </si>
  <si>
    <t>Aljoumani, Said / Hirschler, Konrad</t>
  </si>
  <si>
    <t>978-1-3995-0347-1</t>
  </si>
  <si>
    <t>Robert Burns and Scottish Cultural Politics</t>
  </si>
  <si>
    <t>The Bard of Contention (1914-2014)</t>
  </si>
  <si>
    <t>Robert Burns and Scottish Cultural Politics E-BOOK</t>
  </si>
  <si>
    <t>Malgrati, Paul</t>
  </si>
  <si>
    <t>978-1-3995-0557-4</t>
  </si>
  <si>
    <t>Revolutionaries and Global Politics</t>
  </si>
  <si>
    <t>War Machines from the Bolsheviks to ISIS</t>
  </si>
  <si>
    <t>Revolutionaries and Global Politics E-BOOK</t>
  </si>
  <si>
    <t>Daniel, Jan / Ditrych, Ondrej / Záhora, Jakub</t>
  </si>
  <si>
    <t>978-1-4744-9843-2</t>
  </si>
  <si>
    <t>Scottish Education and Society since 1945</t>
  </si>
  <si>
    <t>Democracy and Intellect</t>
  </si>
  <si>
    <t>Scottish Education and Society since 1945 E-BOOK</t>
  </si>
  <si>
    <t>EDU034000 EDUCATION / Educational Policy &amp; Reform / General</t>
  </si>
  <si>
    <t>978-1-3995-1537-5</t>
  </si>
  <si>
    <t>Machiavelli in the Spanish-Speaking Atlantic World, 1880-1940</t>
  </si>
  <si>
    <t>Liberal and Anti-Liberal Political Thought</t>
  </si>
  <si>
    <t>Machiavelli in the Spanish-Speaking Atlantic World, 1 E-BOOK</t>
  </si>
  <si>
    <t>Losada, Leandro</t>
  </si>
  <si>
    <t>HIS033000 HISTORY / Latin America / South America</t>
  </si>
  <si>
    <t>978-1-3995-0691-5</t>
  </si>
  <si>
    <t>Japanese Racial Identities within U.S.-Japan Relations, 1853-1919</t>
  </si>
  <si>
    <t>Japanese Racial Identities within U.S.-Japan Relation E-BOOK</t>
  </si>
  <si>
    <t>Merida, Tarik</t>
  </si>
  <si>
    <t>978-1-4744-9177-8</t>
  </si>
  <si>
    <t>Social Justice and the Language Classroom</t>
  </si>
  <si>
    <t>Reflection, Action, and Transformation</t>
  </si>
  <si>
    <t>Social Justice and the Language Classroom E-BOOK</t>
  </si>
  <si>
    <t>Ortaçtepe Hart, Deniz</t>
  </si>
  <si>
    <t>EBOOK PACKAGE COMPLETE 2023 | EBOOK PACKAGE COMPLETE 2023 English | EBOOK PACKAGE Linguistics 2023 | EBOOK PACKAGE Linguistics 2023 English | Edinburgh University Press Complete eBook-Package 2023</t>
  </si>
  <si>
    <t>978-1-4744-9915-6</t>
  </si>
  <si>
    <t>Film Adaptations of Russian Classics</t>
  </si>
  <si>
    <t>Dialogism and Authorship</t>
  </si>
  <si>
    <t>Film Adaptations of Russian Classics E-BOOK</t>
  </si>
  <si>
    <t>Smith, Alexandra / Sobolev, Olga</t>
  </si>
  <si>
    <t>978-1-4744-8946-1</t>
  </si>
  <si>
    <t>Inscriptions of the Medieval Islamic World</t>
  </si>
  <si>
    <t>Inscriptions of the Medieval Islamic World E-BOOK</t>
  </si>
  <si>
    <t xml:space="preserve">O'Kane, Bernard / Peacock, A. C. S. / Muehlhaeusler, Mark </t>
  </si>
  <si>
    <t>978-1-3995-1979-3</t>
  </si>
  <si>
    <t>Violence, Image and Victim in Bataille, Agamben and Girard</t>
  </si>
  <si>
    <t>Violence, Image and Victim in Bataille, Agamben and G E-BOOK</t>
  </si>
  <si>
    <t>Lechte, John</t>
  </si>
  <si>
    <t>978-1-3995-0071-5</t>
  </si>
  <si>
    <t>Peter’s Letters to his Kinsfolk</t>
  </si>
  <si>
    <t>The Text and Introduction, Notes, and Editorial Material</t>
  </si>
  <si>
    <t>Peter’s Letters to his Kinsfolk E-BOOK</t>
  </si>
  <si>
    <t>Gibson Lockhart, JohnGarside, P. D. / Hughes, Gillian</t>
  </si>
  <si>
    <t>978-1-4744-5681-4</t>
  </si>
  <si>
    <t>Poems of Allan Ramsay</t>
  </si>
  <si>
    <t>Poems of Allan Ramsay E-BOOK</t>
  </si>
  <si>
    <t>Ramsay, AllanBrown, Rhona</t>
  </si>
  <si>
    <t>978-1-3995-0506-2</t>
  </si>
  <si>
    <t>Noise and Noise Law</t>
  </si>
  <si>
    <t>A Practitioner’s Guide</t>
  </si>
  <si>
    <t>Noise and Noise Law E-BOOK</t>
  </si>
  <si>
    <t>Mckenzie, Andy / McManus, Francis</t>
  </si>
  <si>
    <t>978-1-3995-1485-9</t>
  </si>
  <si>
    <t>George Craig of Galashiels</t>
  </si>
  <si>
    <t>The Life and Work of a Nineteenth Century Lawyer</t>
  </si>
  <si>
    <t>George Craig of Galashiels E-BOOK</t>
  </si>
  <si>
    <t>Commercial Law</t>
  </si>
  <si>
    <t>Commercial Law, other</t>
  </si>
  <si>
    <t>EBOOK PACKAGE COMPLETE 2023 | EBOOK PACKAGE COMPLETE 2023 English | EBOOK PACKAGE Law 2023 | EBOOK PACKAGE Law 2023 English | Edinburgh University Press Complete eBook-Package 2023 | UC Berkeley Law P&amp;C 2024 | UC Irvine 2024 Law P&amp;C | Yale P&amp;C Law Package 2023</t>
  </si>
  <si>
    <t>978-1-3995-0387-7</t>
  </si>
  <si>
    <t>Comparative Perspectives in Scottish and Norwegian Legal History, Trade and Seafaring, 1200-1800</t>
  </si>
  <si>
    <t>Comparative Perspectives in Scottish and Norwegian Le E-BOOK</t>
  </si>
  <si>
    <t>Øyrehagen Sunde, Jørn / Simpson, Andrew</t>
  </si>
  <si>
    <t>978-1-3995-1239-8</t>
  </si>
  <si>
    <t>Transnational Culture in the Iranian Armenian Diaspora</t>
  </si>
  <si>
    <t>Transnational Culture in the Iranian Armenian Diaspor E-BOOK</t>
  </si>
  <si>
    <t>Yaghoobi, Claudia</t>
  </si>
  <si>
    <t>978-1-3995-1743-0</t>
  </si>
  <si>
    <t>Mission, Race and Colonialism in Malawi</t>
  </si>
  <si>
    <t>Alexander Hetherwick of Blantyre</t>
  </si>
  <si>
    <t>Mission, Race and Colonialism in Malawi E-BOOK</t>
  </si>
  <si>
    <t>Ross, Kenneth R.</t>
  </si>
  <si>
    <t>HIS001020 HISTORY / Africa / East</t>
  </si>
  <si>
    <t>978-1-4744-9285-0</t>
  </si>
  <si>
    <t>Martialling Peace</t>
  </si>
  <si>
    <t>How the Peacekeeper Myth Legitimises Warfare</t>
  </si>
  <si>
    <t>Martialling Peace E-BOOK</t>
  </si>
  <si>
    <t>Wegner, Nicole</t>
  </si>
  <si>
    <t>978-1-3995-0010-4</t>
  </si>
  <si>
    <t>Turkey’s Political Leaders</t>
  </si>
  <si>
    <t>Authoritarian Tendencies in a Democratic State</t>
  </si>
  <si>
    <t>Turkey’s Political Leaders E-BOOK</t>
  </si>
  <si>
    <t>Gümüş, Tezcan</t>
  </si>
  <si>
    <t>978-1-4744-8911-9</t>
  </si>
  <si>
    <t>The Vattimo Dictionary</t>
  </si>
  <si>
    <t>The Vattimo Dictionary E-BOOK</t>
  </si>
  <si>
    <t>Moro, Simonetta</t>
  </si>
  <si>
    <t>978-1-3995-1143-8</t>
  </si>
  <si>
    <t>The Loneliest Revolution</t>
  </si>
  <si>
    <t>A Memoir of Solidarity and Struggle in Iran</t>
  </si>
  <si>
    <t>The Loneliest Revolution E-BOOK</t>
  </si>
  <si>
    <t>Mirsepassi, Ali</t>
  </si>
  <si>
    <t>978-1-3995-1211-4</t>
  </si>
  <si>
    <t>Human-Animal Relations and the Hunt in Korea and Northeast Asia</t>
  </si>
  <si>
    <t>Human-Animal Relations and the Hunt in Korea and Nort E-BOOK</t>
  </si>
  <si>
    <t>Kallander, George</t>
  </si>
  <si>
    <t>Encounters in the Middle East and Asia</t>
  </si>
  <si>
    <t>978-1-3995-0112-5</t>
  </si>
  <si>
    <t>Abject Pleasures in the Cinematic</t>
  </si>
  <si>
    <t>The Beautiful, Sexual Arousal, and Laughter</t>
  </si>
  <si>
    <t>Abject Pleasures in the Cinematic E-BOOK</t>
  </si>
  <si>
    <t>Kerner, Aaron</t>
  </si>
  <si>
    <t>978-1-4744-7514-3</t>
  </si>
  <si>
    <t>The Poetics of Spiritual Instruction</t>
  </si>
  <si>
    <t>Farid al-Din ʿAttar and Persian Sufi Didacticism</t>
  </si>
  <si>
    <t>The Poetics of Spiritual Instruction E-BOOK</t>
  </si>
  <si>
    <t>O'Malley, Austin</t>
  </si>
  <si>
    <t>978-0-7486-9307-8</t>
  </si>
  <si>
    <t>Australian International Pictures (1946 - 75)</t>
  </si>
  <si>
    <t>Australian International Pictures (1946 - 75) E-BOOK</t>
  </si>
  <si>
    <t xml:space="preserve">Verevis, Constantine / Danks, Adrian </t>
  </si>
  <si>
    <t>978-1-3995-1000-4</t>
  </si>
  <si>
    <t>Performance, Theatricality and the US Presidency</t>
  </si>
  <si>
    <t>The Currency of Distrust</t>
  </si>
  <si>
    <t>Performance, Theatricality and the US Presidency E-BOOK</t>
  </si>
  <si>
    <t>Peetz, Julia</t>
  </si>
  <si>
    <t>978-1-4744-5780-4</t>
  </si>
  <si>
    <t>Leibniz's Discourse on Metaphysics</t>
  </si>
  <si>
    <t>A New Translation and Commentary</t>
  </si>
  <si>
    <t>Leibniz's Discourse on Metaphysics E-BOOK</t>
  </si>
  <si>
    <t xml:space="preserve">Johns, Christopher </t>
  </si>
  <si>
    <t>978-1-3995-0101-9</t>
  </si>
  <si>
    <t>The Didi-Huberman Dictionary</t>
  </si>
  <si>
    <t>The Didi-Huberman Dictionary E-BOOK</t>
  </si>
  <si>
    <t>978-1-4744-4841-3</t>
  </si>
  <si>
    <t>Michael Field's Revisionary Poetics</t>
  </si>
  <si>
    <t>Michael Field's Revisionary Poetics E-BOOK</t>
  </si>
  <si>
    <t>Ehnenn, Jill</t>
  </si>
  <si>
    <t>978-1-4744-9451-9</t>
  </si>
  <si>
    <t>Homemaking in the Russian-speaking Diaspora</t>
  </si>
  <si>
    <t>Material Culture, Language and Identity</t>
  </si>
  <si>
    <t>Homemaking in the Russian-speaking Diaspora E-BOOK</t>
  </si>
  <si>
    <t>Yelenevskaya, Maria / Protassova, Ekaterina</t>
  </si>
  <si>
    <t>978-1-4744-9476-2</t>
  </si>
  <si>
    <t>Naomi Mitchison</t>
  </si>
  <si>
    <t>A Writer in Time</t>
  </si>
  <si>
    <t>Naomi Mitchison E-BOOK</t>
  </si>
  <si>
    <t>Purdon, James</t>
  </si>
  <si>
    <t>978-1-3995-1614-3</t>
  </si>
  <si>
    <t>The Court of the Caliphate of al-Andalus</t>
  </si>
  <si>
    <t>Four Years in Umayyad Córdoba</t>
  </si>
  <si>
    <t>The Court of the Caliphate of al-Andalus E-BOOK</t>
  </si>
  <si>
    <t>Manzano Moreno, EduardoRoe, Jeremy</t>
  </si>
  <si>
    <t>978-1-3995-0510-9</t>
  </si>
  <si>
    <t>Law, Surveillance and the Humanities</t>
  </si>
  <si>
    <t>Law, Surveillance and the Humanities E-BOOK</t>
  </si>
  <si>
    <t>Wrobel, Claire  / Manderson, Desmond / Gligorijevic, Jelena / Brunon-Ernst, Anne</t>
  </si>
  <si>
    <t>EBOOK PACKAGE COMPLETE 2023 | EBOOK PACKAGE COMPLETE 2023 English | EBOOK PACKAGE Law 2023 | EBOOK PACKAGE Law 2023 English | Edinburgh University Press Complete eBook-Package 2023 | Stanford 2023 Law Package P&amp;C | UC Irvine 2024 Law P&amp;C | UNIVERSIDAD NACIONAL AUTÓNOMA DE MÉXICO Pick and Choose 2023 | Yale P&amp;C Law Package 2023</t>
  </si>
  <si>
    <t>978-1-3995-0673-1</t>
  </si>
  <si>
    <t>The American Vagrant in Literature</t>
  </si>
  <si>
    <t>Race, Work and Welfare</t>
  </si>
  <si>
    <t>The American Vagrant in Literature E-BOOK</t>
  </si>
  <si>
    <t xml:space="preserve">Yazell, Bryan </t>
  </si>
  <si>
    <t>978-1-3995-0371-6</t>
  </si>
  <si>
    <t>Geopolitics and Governance in North Africa</t>
  </si>
  <si>
    <t>Local Challenges, Global Implications</t>
  </si>
  <si>
    <t>Geopolitics and Governance in North Africa E-BOOK</t>
  </si>
  <si>
    <t xml:space="preserve">Yerkes, Sarah </t>
  </si>
  <si>
    <t>Edinburgh Studies on the Maghreb</t>
  </si>
  <si>
    <t>978-1-4744-5122-2</t>
  </si>
  <si>
    <t>The Politics of Voice in Education</t>
  </si>
  <si>
    <t>Reforming Schools after Deleuze and Guattari</t>
  </si>
  <si>
    <t>The Politics of Voice in Education E-BOOK</t>
  </si>
  <si>
    <t>Mayes, Eve</t>
  </si>
  <si>
    <t>Pedagogies</t>
  </si>
  <si>
    <t>978-1-3995-0592-5</t>
  </si>
  <si>
    <t>Stars, Fan Magazines and Audiences</t>
  </si>
  <si>
    <t>Desire by Design</t>
  </si>
  <si>
    <t>Stars, Fan Magazines and Audiences E-BOOK</t>
  </si>
  <si>
    <t>Lanckman, Lies / Polley, Sarah  / Jeffers McDonald, Tamar</t>
  </si>
  <si>
    <t>978-1-3995-1602-0</t>
  </si>
  <si>
    <t>Conversion Machines</t>
  </si>
  <si>
    <t>Apparatus, Artifice, Body</t>
  </si>
  <si>
    <t>Conversion Machines E-BOOK</t>
  </si>
  <si>
    <t>Yachnin, Paul / Wilson, Bronwen</t>
  </si>
  <si>
    <t>978-1-3995-0462-1</t>
  </si>
  <si>
    <t>An Introduction to English Semantics and Pragmatics</t>
  </si>
  <si>
    <t>An Introduction to English Semantics and Pragmatics E-BOOK</t>
  </si>
  <si>
    <t>Griffiths, PatrickCummins, Chris</t>
  </si>
  <si>
    <t>978-1-4744-9505-9</t>
  </si>
  <si>
    <t>The Edinburgh Companion to Modernism in Contemporary Theatre</t>
  </si>
  <si>
    <t>The Edinburgh Companion to Modernism in Contemporary  E-BOOK</t>
  </si>
  <si>
    <t>Curtin, Adrian  / Johnson, Nicholas  / Paxton, Naomi / Warden, Claire</t>
  </si>
  <si>
    <t>978-1-4744-1083-0</t>
  </si>
  <si>
    <t>The Edinburgh History of the Greeks, 20th and Early 21st Centuries</t>
  </si>
  <si>
    <t>Global Perspectives</t>
  </si>
  <si>
    <t>The Edinburgh History of the Greeks, 20th and Early 2 E-BOOK</t>
  </si>
  <si>
    <t>Liakos, Antonis / Doumanis, Nicholas</t>
  </si>
  <si>
    <t>978-1-3995-1215-2</t>
  </si>
  <si>
    <t>Derek Walcott’s Painters</t>
  </si>
  <si>
    <t>A Life with Pictures</t>
  </si>
  <si>
    <t>Derek Walcott’s Painters E-BOOK</t>
  </si>
  <si>
    <t>Fumagalli, Maria Cristina</t>
  </si>
  <si>
    <t>ART016030 ART / Individual Artists / Monographs</t>
  </si>
  <si>
    <t>978-1-3995-1029-5</t>
  </si>
  <si>
    <t>State Atrophy in Syria</t>
  </si>
  <si>
    <t>War, Society and Institutional Change</t>
  </si>
  <si>
    <t>State Atrophy in Syria E-BOOK</t>
  </si>
  <si>
    <t>Akdedian, Harout</t>
  </si>
  <si>
    <t>978-1-3995-0279-5</t>
  </si>
  <si>
    <t>Neo-traditionalism in Islam in the West</t>
  </si>
  <si>
    <t>Orthodoxy, Spirituality and Politics</t>
  </si>
  <si>
    <t>Neo-traditionalism in Islam in the West E-BOOK</t>
  </si>
  <si>
    <t>Quisay, Walaa</t>
  </si>
  <si>
    <t>978-1-4744-9212-6</t>
  </si>
  <si>
    <t>Turkish-Greek Relations</t>
  </si>
  <si>
    <t>Foreign Policy in a Securitisation Framework</t>
  </si>
  <si>
    <t>Turkish-Greek Relations E-BOOK</t>
  </si>
  <si>
    <t xml:space="preserve">Dizdaroğlu, Cihan </t>
  </si>
  <si>
    <t>978-1-3995-1995-3</t>
  </si>
  <si>
    <t>New Perspectives on English Word Stress</t>
  </si>
  <si>
    <t>New Perspectives on English Word Stress E-BOOK</t>
  </si>
  <si>
    <t>Ballier, Nicolas / Fournier, Jean-Michel / Yamada, Eiji / Przewozny, Anne</t>
  </si>
  <si>
    <t>Forensic Linguistics</t>
  </si>
  <si>
    <t>978-1-3995-0319-8</t>
  </si>
  <si>
    <t>Medieval Syria and the Onset of the Crusades</t>
  </si>
  <si>
    <t>The Political World of Bilad al-Sham 1050-1128</t>
  </si>
  <si>
    <t>Medieval Syria and the Onset of the Crusades E-BOOK</t>
  </si>
  <si>
    <t>Wilson, James</t>
  </si>
  <si>
    <t>978-1-3995-0584-0</t>
  </si>
  <si>
    <t>Silicon Valley Cinema</t>
  </si>
  <si>
    <t>Silicon Valley Cinema E-BOOK</t>
  </si>
  <si>
    <t>Street, Joe</t>
  </si>
  <si>
    <t>978-1-3995-0867-4</t>
  </si>
  <si>
    <t>The Apocalypse of the Birds</t>
  </si>
  <si>
    <t>1 Enoch and the Jewish Revolt against Rome</t>
  </si>
  <si>
    <t>The Apocalypse of the Birds E-BOOK</t>
  </si>
  <si>
    <t>Dugan, Elena</t>
  </si>
  <si>
    <t>978-1-4744-8867-9</t>
  </si>
  <si>
    <t>The Art of Iran in the Twentieth and Twenty-first Centuries</t>
  </si>
  <si>
    <t>Tracing the Modern and the Contemporary</t>
  </si>
  <si>
    <t>The Art of Iran in the Twentieth and Twenty-first Cen E-BOOK</t>
  </si>
  <si>
    <t>Keshmirshekan, Hamid</t>
  </si>
  <si>
    <t>978-1-4744-9289-8</t>
  </si>
  <si>
    <t>The Lost History of Sextus Aurelius Victor</t>
  </si>
  <si>
    <t>The Lost History of Sextus Aurelius Victor E-BOOK</t>
  </si>
  <si>
    <t>Stover, Justin / Woudhuysen, George</t>
  </si>
  <si>
    <t>978-1-4744-9988-0</t>
  </si>
  <si>
    <t>Key Concepts in Victorian Studies</t>
  </si>
  <si>
    <t>Key Concepts in Victorian Studies E-BOOK</t>
  </si>
  <si>
    <t>978-1-4744-6058-3</t>
  </si>
  <si>
    <t>Lawrie Todd</t>
  </si>
  <si>
    <t>or The Settlers in the Woods</t>
  </si>
  <si>
    <t>Lawrie Todd E-BOOK</t>
  </si>
  <si>
    <t>Galt, JohnHewitt, Regina</t>
  </si>
  <si>
    <t>978-1-4744-7896-0</t>
  </si>
  <si>
    <t>Anna Kavan</t>
  </si>
  <si>
    <t>Mid-Century Experimental Fiction</t>
  </si>
  <si>
    <t>Anna Kavan E-BOOK</t>
  </si>
  <si>
    <t>Walker, Victoria</t>
  </si>
  <si>
    <t>978-1-3995-1751-5</t>
  </si>
  <si>
    <t>Theocritus and Things</t>
  </si>
  <si>
    <t>Material Agency in the Idylls</t>
  </si>
  <si>
    <t>Theocritus and Things E-BOOK</t>
  </si>
  <si>
    <t>Canevaro, Lilah Grace</t>
  </si>
  <si>
    <t>978-1-4744-8607-1</t>
  </si>
  <si>
    <t>Interrogating Lesbian Modernism</t>
  </si>
  <si>
    <t>Histories, Forms, Genres</t>
  </si>
  <si>
    <t>Interrogating Lesbian Modernism E-BOOK</t>
  </si>
  <si>
    <t>Parker, Sarah / Funke, Jana / English, Elizabeth</t>
  </si>
  <si>
    <t>978-1-4744-6196-2</t>
  </si>
  <si>
    <t>Shakespeare, the Reformation and the Interpreting Self</t>
  </si>
  <si>
    <t>Shakespeare, the Reformation and the Interpreting Sel E-BOOK</t>
  </si>
  <si>
    <t>Kwan, Roberta</t>
  </si>
  <si>
    <t>978-1-3995-0748-6</t>
  </si>
  <si>
    <t>Junian Latinity in the Roman Empire Volume 1</t>
  </si>
  <si>
    <t>History, Law, Literature</t>
  </si>
  <si>
    <t>Junian Latinity in the Roman Empire Volume 1 E-BOOK</t>
  </si>
  <si>
    <t>Doria, Carla Masi / López Barja, Simone / Roth, Ulrike</t>
  </si>
  <si>
    <t>978-1-3995-1059-2</t>
  </si>
  <si>
    <t>The Edinburgh Companion to Globalgothic</t>
  </si>
  <si>
    <t>The Edinburgh Companion to Globalgothic E-BOOK</t>
  </si>
  <si>
    <t xml:space="preserve">Duncan, Rebecca </t>
  </si>
  <si>
    <t>978-1-3995-0702-8</t>
  </si>
  <si>
    <t>ReFocus: The Films of Wes Craven</t>
  </si>
  <si>
    <t>ReFocus: The Films of Wes Craven E-BOOK</t>
  </si>
  <si>
    <t>978-1-3995-0355-6</t>
  </si>
  <si>
    <t>Middle Eastern and European Christianity, 16th-20th Century</t>
  </si>
  <si>
    <t>Connected Histories</t>
  </si>
  <si>
    <t>Middle Eastern and European Christianity, 16th-20th C E-BOOK</t>
  </si>
  <si>
    <t>Heyberger, BernardGirard, Aurélien / Kontouma, Vassa / Sanchez Summerer, Karène / Santus, Cesare</t>
  </si>
  <si>
    <t>Edinburgh Studies in Middle Eastern Christianity</t>
  </si>
  <si>
    <t>978-1-4744-4759-1</t>
  </si>
  <si>
    <t>Contemporary Screen Ethics</t>
  </si>
  <si>
    <t>Absences, Identities, Belonging, Looking Anew</t>
  </si>
  <si>
    <t>Contemporary Screen Ethics E-BOOK</t>
  </si>
  <si>
    <t>Sinnerbrink, Robert / Martin-Jones, David / Bolton, Lucy</t>
  </si>
  <si>
    <t>978-1-3995-0343-3</t>
  </si>
  <si>
    <t>Peter Williamson, French and Indian Cruelty</t>
  </si>
  <si>
    <t>A Modern Critical Edition</t>
  </si>
  <si>
    <t>Peter Williamson, French and Indian Cruelty E-BOOK</t>
  </si>
  <si>
    <t>Shannon, Timothy</t>
  </si>
  <si>
    <t>978-1-3995-0744-8</t>
  </si>
  <si>
    <t>Christianity in North America</t>
  </si>
  <si>
    <t>Christianity in North America E-BOOK</t>
  </si>
  <si>
    <t>Johnson, Todd / Kim, Grace Ji-Sun / Ross, Kenneth</t>
  </si>
  <si>
    <t>Practical Theology</t>
  </si>
  <si>
    <t>Christian Life</t>
  </si>
  <si>
    <t>978-1-3995-0687-8</t>
  </si>
  <si>
    <t>Gabriele D’Annunzio and World Literature</t>
  </si>
  <si>
    <t>Multilingualism, Translation, Reception</t>
  </si>
  <si>
    <t>Gabriele D’Annunzio and World Literature E-BOOK</t>
  </si>
  <si>
    <t xml:space="preserve">Subialka, Michael  / Segnini, Elisa </t>
  </si>
  <si>
    <t>LCO008040 LITERARY COLLECTIONS / European / Italian</t>
  </si>
  <si>
    <t>978-1-3995-0057-9</t>
  </si>
  <si>
    <t>Irish Gothic</t>
  </si>
  <si>
    <t>Irish Gothic E-BOOK</t>
  </si>
  <si>
    <t>Killeen, Jarlath / Morin, Christina</t>
  </si>
  <si>
    <t>978-1-4744-9760-2</t>
  </si>
  <si>
    <t>The Figure of the Terrorist in Literature and Visual Culture</t>
  </si>
  <si>
    <t>The Figure of the Terrorist in Literature and Visual  E-BOOK</t>
  </si>
  <si>
    <t>Flood, Maria / Frank, Michael</t>
  </si>
  <si>
    <t>978-1-3995-1919-9</t>
  </si>
  <si>
    <t>Round the Red Lamp</t>
  </si>
  <si>
    <t>Being Facts and Fancies of Medical Life</t>
  </si>
  <si>
    <t>Round the Red Lamp E-BOOK</t>
  </si>
  <si>
    <t>Conan Doyle, ArthurLuckhurst, Roger</t>
  </si>
  <si>
    <t>978-1-3995-0818-6</t>
  </si>
  <si>
    <t>East Asian Film Remakes</t>
  </si>
  <si>
    <t>East Asian Film Remakes E-BOOK</t>
  </si>
  <si>
    <t>Chan, Kenneth / Diffrient, David Scott</t>
  </si>
  <si>
    <t>978-1-3995-0768-4</t>
  </si>
  <si>
    <t>Marx with Spinoza</t>
  </si>
  <si>
    <t>Production, Alienation, History</t>
  </si>
  <si>
    <t>Marx with Spinoza E-BOOK</t>
  </si>
  <si>
    <t>Fischbach, FranckRead, Jason</t>
  </si>
  <si>
    <t>978-1-4744-9924-8</t>
  </si>
  <si>
    <t>The Tea-Table Miscellany</t>
  </si>
  <si>
    <t>The Tea-Table Miscellany E-BOOK</t>
  </si>
  <si>
    <t>Ramsay, AllanRobertson-Kirkland, Brianna / Pittock, Murray</t>
  </si>
  <si>
    <t>978-1-3995-2509-1</t>
  </si>
  <si>
    <t>Reconfiguring the Portrait</t>
  </si>
  <si>
    <t>Reconfiguring the Portrait E-BOOK</t>
  </si>
  <si>
    <t xml:space="preserve">Geil, AbrahamGeil, Abraham / Jirsa, Tomáš </t>
  </si>
  <si>
    <t>978-1-3995-2221-2</t>
  </si>
  <si>
    <t>Narrative, Affect and Victorian Sensation</t>
  </si>
  <si>
    <t>Wilful Bodies</t>
  </si>
  <si>
    <t>Narrative, Affect and Victorian Sensation E-BOOK</t>
  </si>
  <si>
    <t>MacDonald, Tara</t>
  </si>
  <si>
    <t>978-1-4744-6729-2</t>
  </si>
  <si>
    <t>Reluctant Remilitarisation</t>
  </si>
  <si>
    <t>The Transformation of Defence Policy and Armed Forces in Germany, Italy and Japan</t>
  </si>
  <si>
    <t>Reluctant Remilitarisation E-BOOK</t>
  </si>
  <si>
    <t>Moro, Francesco / Coticchia, Fabrizio / Dian, Matteo</t>
  </si>
  <si>
    <t>978-1-4744-9240-9</t>
  </si>
  <si>
    <t>Bergson in Britain</t>
  </si>
  <si>
    <t>Philosophy and Modernist Painting, c. 1890-1914</t>
  </si>
  <si>
    <t>Bergson in Britain E-BOOK</t>
  </si>
  <si>
    <t>de Mille, Charlotte</t>
  </si>
  <si>
    <t>978-1-3995-1579-5</t>
  </si>
  <si>
    <t>Music Making in Iran from the 15th to the Early 20th Century</t>
  </si>
  <si>
    <t>Music Making in Iran from the 15th to the Early 20th  E-BOOK</t>
  </si>
  <si>
    <t>Effective Open Access 16.04.2024</t>
  </si>
  <si>
    <t>Pourjavady, Amir Hosein</t>
  </si>
  <si>
    <t>978-1-4744-9991-0</t>
  </si>
  <si>
    <t>The Edinburgh Companion to Don DeLillo and the Arts</t>
  </si>
  <si>
    <t>The Edinburgh Companion to Don DeLillo and the Arts E-BOOK</t>
  </si>
  <si>
    <t>Gander, CatherineGander, Catherine</t>
  </si>
  <si>
    <t>978-1-3995-1967-0</t>
  </si>
  <si>
    <t>An Exodus from Turkey</t>
  </si>
  <si>
    <t>Tales of Migration and Exile</t>
  </si>
  <si>
    <t>An Exodus from Turkey E-BOOK</t>
  </si>
  <si>
    <t>Öztürk, Ahmet Erdi / Baser, Bahar</t>
  </si>
  <si>
    <t>POL042030 POLITICAL SCIENCE / Political Ideologies / Fascism &amp; Totalitarianism</t>
  </si>
  <si>
    <t>978-1-4744-8759-7</t>
  </si>
  <si>
    <t>Nan Shepherd's Correspondence, 1920–80</t>
  </si>
  <si>
    <t>Nan Shepherd's Correspondence, 1920–80 E-BOOK</t>
  </si>
  <si>
    <t>Andrews, KerriAndrews, Kerri</t>
  </si>
  <si>
    <t>978-1-3995-2255-7</t>
  </si>
  <si>
    <t>Scottish Society in the Second World War</t>
  </si>
  <si>
    <t>Tradition, Tension, Transformation</t>
  </si>
  <si>
    <t>Scottish Society in the Second World War E-BOOK</t>
  </si>
  <si>
    <t>Moffat, Michelle</t>
  </si>
  <si>
    <t>978-1-3995-2519-0</t>
  </si>
  <si>
    <t>The Philosophical Correspondence and Unpublished Writings of Francois Hemsterhuis</t>
  </si>
  <si>
    <t>The Philosophical Correspondence and Unpublished Writ E-BOOK</t>
  </si>
  <si>
    <t>Selected Philosophers</t>
  </si>
  <si>
    <t>Adorno</t>
  </si>
  <si>
    <t>PHI046000 PHILOSOPHY / Individual Philosophers</t>
  </si>
  <si>
    <t>978-1-3995-1259-6</t>
  </si>
  <si>
    <t>Gombrich: A Theory of Art</t>
  </si>
  <si>
    <t>Gombrich: A Theory of Art E-BOOK</t>
  </si>
  <si>
    <t>Lorda, JoaquinGombrich, E. H.  / Martínez, María Angélica  / Lorda, Juan Luis / Mitter, Partha</t>
  </si>
  <si>
    <t>978-1-3995-1187-2</t>
  </si>
  <si>
    <t>Democratic Partisanship</t>
  </si>
  <si>
    <t>Party Activism in an Age of Democratic Crises</t>
  </si>
  <si>
    <t>Democratic Partisanship E-BOOK</t>
  </si>
  <si>
    <t>Herman, Lise Esther</t>
  </si>
  <si>
    <t>978-1-4744-8975-1</t>
  </si>
  <si>
    <t>Displacement and Erasure in Palestine</t>
  </si>
  <si>
    <t>The Politics of Hope</t>
  </si>
  <si>
    <t>Displacement and Erasure in Palestine E-BOOK</t>
  </si>
  <si>
    <t>Shaindlinger, Noa</t>
  </si>
  <si>
    <t>978-1-3995-1207-7</t>
  </si>
  <si>
    <t>Believing Ancient Women</t>
  </si>
  <si>
    <t>Feminist Epistemologies for Greece and Rome</t>
  </si>
  <si>
    <t>Believing Ancient Women E-BOOK</t>
  </si>
  <si>
    <t>Elena Bowen, Megan / Hamil Gilbert, Mary / Nally, Edith Gwendolyn</t>
  </si>
  <si>
    <t>Gender History</t>
  </si>
  <si>
    <t xml:space="preserve">HIS058000 HISTORY / Women </t>
  </si>
  <si>
    <t>EBOOK PACKAGE COMPLETE 2023 | EBOOK PACKAGE COMPLETE 2023 English | EBOOK PACKAGE History 2023 | EBOOK PACKAGE History 2023 English | Edinburgh University Press Complete eBook-Package 2024</t>
  </si>
  <si>
    <t>978-1-3995-2278-6</t>
  </si>
  <si>
    <t>Gooey Media</t>
  </si>
  <si>
    <t>Screen Entertainment and the Graphic User Interface</t>
  </si>
  <si>
    <t>Gooey Media E-BOOK</t>
  </si>
  <si>
    <t>Jones, Nick</t>
  </si>
  <si>
    <t>978-1-3995-0494-2</t>
  </si>
  <si>
    <t>Women in East Asian Cinema</t>
  </si>
  <si>
    <t>Gender Representations, Creative Labour and Global Histories</t>
  </si>
  <si>
    <t>Women in East Asian Cinema E-BOOK</t>
  </si>
  <si>
    <t>Chan, Felicia / Elliott, Fraser / Willis, Andrew</t>
  </si>
  <si>
    <t>EBOOK PACKAGE Arts 2023 | EBOOK PACKAGE Arts, Architecture and Design 2023 English | EBOOK PACKAGE COMPLETE 2023 | EBOOK PACKAGE COMPLETE 2023 English | Edinburgh University Press Complete eBook-Package 2024</t>
  </si>
  <si>
    <t>978-1-3995-1916-8</t>
  </si>
  <si>
    <t>Utopian Pasts and Futures in the Contemporary American Novel</t>
  </si>
  <si>
    <t>Utopian Pasts and Futures in the Contemporary America E-BOOK</t>
  </si>
  <si>
    <t>Lanzendörfer, Tim</t>
  </si>
  <si>
    <t>978-1-3995-1610-5</t>
  </si>
  <si>
    <t>The Provincial Fiction of Mitford, Gaskell and Eliot</t>
  </si>
  <si>
    <t>The Provincial Fiction of Mitford, Gaskell and Eliot E-BOOK</t>
  </si>
  <si>
    <t>978-1-3995-2178-9</t>
  </si>
  <si>
    <t>Hong Kong Crime Films</t>
  </si>
  <si>
    <t>Criminal Realism, Censorship and Society, 1947-1986</t>
  </si>
  <si>
    <t>Hong Kong Crime Films E-BOOK</t>
  </si>
  <si>
    <t>Van den Troost, Kristof</t>
  </si>
  <si>
    <t>978-1-3995-1680-8</t>
  </si>
  <si>
    <t>Hemingway and Agamben</t>
  </si>
  <si>
    <t>Finding Religion Without God</t>
  </si>
  <si>
    <t>Hemingway and Agamben E-BOOK</t>
  </si>
  <si>
    <t>Norris, Marcos</t>
  </si>
  <si>
    <t>978-1-3995-0644-1</t>
  </si>
  <si>
    <t>A History of the Scottish Conservative and Unionist Parties</t>
  </si>
  <si>
    <t>A History of the Scottish Conservative and Unionist P E-BOOK</t>
  </si>
  <si>
    <t>EBOOK PACKAGE COMPLETE 2023 | EBOOK PACKAGE COMPLETE 2023 English | EBOOK PACKAGE Political Science 2023 | EBOOK PACKAGE Political Science 2023 English | Edinburgh University Press Complete eBook-Package 2024</t>
  </si>
  <si>
    <t>978-1-4744-8380-3</t>
  </si>
  <si>
    <t>Time, Duration and Eternity in Spinoza</t>
  </si>
  <si>
    <t>Time, Duration and Eternity in Spinoza E-BOOK</t>
  </si>
  <si>
    <t>Jaquet, ChantalAldieri, Eric / Matheron, Alexandre</t>
  </si>
  <si>
    <t>978-1-4744-9663-6</t>
  </si>
  <si>
    <t>Film Style in Indonesian Cinema, 1998-2018</t>
  </si>
  <si>
    <t>Lighting, Production Design and Camera Movement</t>
  </si>
  <si>
    <t>Film Style in Indonesian Cinema, 1998-2018 E-BOOK</t>
  </si>
  <si>
    <t>Purnama, Ari</t>
  </si>
  <si>
    <t>978-1-3995-1195-7</t>
  </si>
  <si>
    <t>Dilemmas of European Democracy</t>
  </si>
  <si>
    <t>New Perspectives on Democratic Politics in the European Union</t>
  </si>
  <si>
    <t>Dilemmas of European Democracy E-BOOK</t>
  </si>
  <si>
    <t>Bremberg, Niklas / Norman, Ludvig</t>
  </si>
  <si>
    <t>978-1-3995-2245-8</t>
  </si>
  <si>
    <t>Choose Your Bearing</t>
  </si>
  <si>
    <t>Édouard Glissant, Human Rights and Decolonial Ethics</t>
  </si>
  <si>
    <t>Choose Your Bearing E-BOOK</t>
  </si>
  <si>
    <t>Davis, Benjamin P.</t>
  </si>
  <si>
    <t>978-1-4744-8240-0</t>
  </si>
  <si>
    <t>Film Regulation in a Cultural Context</t>
  </si>
  <si>
    <t>Film Regulation in a Cultural Context E-BOOK</t>
  </si>
  <si>
    <t>Sacco, Daniel</t>
  </si>
  <si>
    <t>978-1-3995-2055-3</t>
  </si>
  <si>
    <t>Toxic Masculinity in the Ancient World</t>
  </si>
  <si>
    <t>Toxic Masculinity in the Ancient World E-BOOK</t>
  </si>
  <si>
    <t>Racette-Campbell, Melanie / McMaster, Aven</t>
  </si>
  <si>
    <t>978-1-4744-4834-5</t>
  </si>
  <si>
    <t>The Extreme Cinema of Eastern Europe</t>
  </si>
  <si>
    <t>Rape, Art, (S)Exploitation</t>
  </si>
  <si>
    <t>The Extreme Cinema of Eastern Europe E-BOOK</t>
  </si>
  <si>
    <t>Batori, Anna</t>
  </si>
  <si>
    <t>978-1-3995-1747-8</t>
  </si>
  <si>
    <t>Iran’s Soft Power in Afghanistan and Pakistan</t>
  </si>
  <si>
    <t>Iran’s Soft Power in Afghanistan and Pakistan E-BOOK</t>
  </si>
  <si>
    <t>Akbar, Ali / Ahmed, Zahid</t>
  </si>
  <si>
    <t>978-1-3995-1710-2</t>
  </si>
  <si>
    <t>Judith Butler and Politics</t>
  </si>
  <si>
    <t>Judith Butler and Politics E-BOOK</t>
  </si>
  <si>
    <t>Zaharijevic, Adriana</t>
  </si>
  <si>
    <t>978-1-3995-1122-3</t>
  </si>
  <si>
    <t>ReFocus: The Films of Claire Denis</t>
  </si>
  <si>
    <t>ReFocus: The Films of Claire Denis E-BOOK</t>
  </si>
  <si>
    <t>Sloane, PeterSloane, Peter</t>
  </si>
  <si>
    <t>978-1-3995-0756-1</t>
  </si>
  <si>
    <t>Secular Coexistence in Lebanon</t>
  </si>
  <si>
    <t>Christians, Muslims and Subjects of Law</t>
  </si>
  <si>
    <t>Secular Coexistence in Lebanon E-BOOK</t>
  </si>
  <si>
    <t>Abillama, Raja</t>
  </si>
  <si>
    <t>978-1-4744-9772-5</t>
  </si>
  <si>
    <t>Film and Fashion in Japan, 1923-39</t>
  </si>
  <si>
    <t>Consuming the 'West'</t>
  </si>
  <si>
    <t>Film and Fashion in Japan, 1923-39 E-BOOK</t>
  </si>
  <si>
    <t>Barnett, Lois</t>
  </si>
  <si>
    <t>DES013000 DESIGN / Textile &amp; Costume</t>
  </si>
  <si>
    <t>978-1-3995-2401-8</t>
  </si>
  <si>
    <t>Holocaust Representations in Animated Documentaries</t>
  </si>
  <si>
    <t>The Contours of Commemoration</t>
  </si>
  <si>
    <t>Holocaust Representations in Animated Documentaries E-BOOK</t>
  </si>
  <si>
    <t>Steir-Livny, Liat</t>
  </si>
  <si>
    <t>978-1-4744-9800-5</t>
  </si>
  <si>
    <t>Women’s Activism in the Transatlantic Consumers’ Leagues, 1885–1920</t>
  </si>
  <si>
    <t>Women’s Activism in the Transatlantic Consumers’ Leag E-BOOK</t>
  </si>
  <si>
    <t xml:space="preserve">Janssen, Flore </t>
  </si>
  <si>
    <t>978-1-4744-9439-7</t>
  </si>
  <si>
    <t>Queer Gothic</t>
  </si>
  <si>
    <t>Queer Gothic E-BOOK</t>
  </si>
  <si>
    <t>Haefele-Thomas, ArdelHaefele-Thomas, Ardel</t>
  </si>
  <si>
    <t>978-1-4744-5897-9</t>
  </si>
  <si>
    <t>Ricardo Darín and the Construction of Latin American Film Stardom</t>
  </si>
  <si>
    <t>Ricardo Darín and the Construction of Latin American  E-BOOK</t>
  </si>
  <si>
    <t>Garavelli, Clara</t>
  </si>
  <si>
    <t>978-1-3995-0788-2</t>
  </si>
  <si>
    <t>Modernism, Material Culture and the First World War</t>
  </si>
  <si>
    <t>Modernism, Material Culture and the First World War E-BOOK</t>
  </si>
  <si>
    <t>Van Dijck, Cedric</t>
  </si>
  <si>
    <t>978-1-3995-1804-8</t>
  </si>
  <si>
    <t>Late Roman Italy</t>
  </si>
  <si>
    <t>Imperium to Regnum</t>
  </si>
  <si>
    <t>Late Roman Italy E-BOOK</t>
  </si>
  <si>
    <t>Wijnendaele, JeroenWijnendaele, Jeroen</t>
  </si>
  <si>
    <t>978-1-4744-8631-6</t>
  </si>
  <si>
    <t>World Englishes</t>
  </si>
  <si>
    <t>The Local Lives of a Global Language</t>
  </si>
  <si>
    <t>World Englishes E-BOOK</t>
  </si>
  <si>
    <t>van Rooy, Bertus</t>
  </si>
  <si>
    <t>978-1-3995-2288-5</t>
  </si>
  <si>
    <t>Theopolitical Figures</t>
  </si>
  <si>
    <t>Scripture, Prophecy, Oath, Charisma, Hospitality</t>
  </si>
  <si>
    <t>Theopolitical Figures E-BOOK</t>
  </si>
  <si>
    <t>Herrero, Montserrat</t>
  </si>
  <si>
    <t>978-1-3995-2077-5</t>
  </si>
  <si>
    <t>Filming Modernity and Islam in Colonial Egypt</t>
  </si>
  <si>
    <t>Filming Modernity and Islam in Colonial Egypt E-BOOK</t>
  </si>
  <si>
    <t>Abdelfattah, Heba Arafa</t>
  </si>
  <si>
    <t>978-1-3995-1063-9</t>
  </si>
  <si>
    <t>Jesmyn Ward</t>
  </si>
  <si>
    <t>New Critical Essays</t>
  </si>
  <si>
    <t>Jesmyn Ward E-BOOK</t>
  </si>
  <si>
    <t>Torres-Quevedo, Maria Elena  / Harrison, Sheri-Marie / Keeble, Arin</t>
  </si>
  <si>
    <t>978-1-4744-4948-9</t>
  </si>
  <si>
    <t>Bogle Corbet</t>
  </si>
  <si>
    <t>or The Emigrants</t>
  </si>
  <si>
    <t>Bogle Corbet E-BOOK</t>
  </si>
  <si>
    <t>Galt, JohnTrumpener, Katie</t>
  </si>
  <si>
    <t>978-1-3995-0710-3</t>
  </si>
  <si>
    <t>Unemployment and Resistance in Tunisia</t>
  </si>
  <si>
    <t>The Democracy-Security Nexus</t>
  </si>
  <si>
    <t>Unemployment and Resistance in Tunisia E-BOOK</t>
  </si>
  <si>
    <t>Han, Saerom</t>
  </si>
  <si>
    <t>Disruptions</t>
  </si>
  <si>
    <t>POL053000 POLITICAL SCIENCE / World / African</t>
  </si>
  <si>
    <t>978-1-3995-2027-0</t>
  </si>
  <si>
    <t>Shiʿite Legal Theory</t>
  </si>
  <si>
    <t>Sources and Commentaries</t>
  </si>
  <si>
    <t>Shiʿite Legal Theory E-BOOK</t>
  </si>
  <si>
    <t>Effective Open Access 10.07.2023</t>
  </si>
  <si>
    <t>Rajani, Kumail / Gleave, Robert</t>
  </si>
  <si>
    <t>Gibb Memorial Trust</t>
  </si>
  <si>
    <t>978-1-3995-0596-3</t>
  </si>
  <si>
    <t>ReFocus: The Films of Alejandro Jodorowsky</t>
  </si>
  <si>
    <t>ReFocus: The Films of Alejandro Jodorowsky E-BOOK</t>
  </si>
  <si>
    <t>Witte, MichaelWitte, Michael</t>
  </si>
  <si>
    <t>978-1-4744-9447-2</t>
  </si>
  <si>
    <t>Iconoclasm in European Cinema</t>
  </si>
  <si>
    <t>The Ethics and Aesthetics of Image Destruction</t>
  </si>
  <si>
    <t>Iconoclasm in European Cinema E-BOOK</t>
  </si>
  <si>
    <t>Quaranta, Chiara</t>
  </si>
  <si>
    <t>978-1-3995-2381-3</t>
  </si>
  <si>
    <t>Disentangling Jihad, Political Violence and Media</t>
  </si>
  <si>
    <t>Disentangling Jihad, Political Violence and Media E-BOOK</t>
  </si>
  <si>
    <t>Pfeifer, Simone / Günther, Christoph / Dörre, Robert</t>
  </si>
  <si>
    <t>POL042040 POLITICAL SCIENCE / Political Ideologies / Radicalism</t>
  </si>
  <si>
    <t>978-1-4744-5724-8</t>
  </si>
  <si>
    <t>Modernism and Religion</t>
  </si>
  <si>
    <t>Between Mysticism and Orthodoxy</t>
  </si>
  <si>
    <t>Modernism and Religion E-BOOK</t>
  </si>
  <si>
    <t>Callison, Jamie</t>
  </si>
  <si>
    <t>978-0-7486-9816-5</t>
  </si>
  <si>
    <t>European Law Essentials</t>
  </si>
  <si>
    <t>European Law Essentials E-BOOK</t>
  </si>
  <si>
    <t>Switzer, Stephanie</t>
  </si>
  <si>
    <t>978-0-7486-9482-2</t>
  </si>
  <si>
    <t>Materials Evaluation and Design for Language Teaching</t>
  </si>
  <si>
    <t>Materials Evaluation and Design for Language Teaching E-BOOK</t>
  </si>
  <si>
    <t>McGrath, Ian</t>
  </si>
  <si>
    <t>978-1-4744-7791-8</t>
  </si>
  <si>
    <t>An Introduction to English Lexicology</t>
  </si>
  <si>
    <t>An Introduction to English Lexicology E-BOOK</t>
  </si>
  <si>
    <t>978-0-7486-9581-2</t>
  </si>
  <si>
    <t>Scots Criminal Law</t>
  </si>
  <si>
    <t>A Critical Analysis</t>
  </si>
  <si>
    <t>Scots Criminal Law E-BOOK</t>
  </si>
  <si>
    <t>McDiarmid, Claire / Ferguson, Pamela R.</t>
  </si>
  <si>
    <t>978-0-7486-9829-5</t>
  </si>
  <si>
    <t>Legal Method Essentials for Scots Law</t>
  </si>
  <si>
    <t>Legal Method Essentials for Scots Law E-BOOK</t>
  </si>
  <si>
    <t>McFadzean, Dale / Irvine, Lynn Allardyce</t>
  </si>
  <si>
    <t>978-1-4744-7087-2</t>
  </si>
  <si>
    <t>Classical Sociological Theory</t>
  </si>
  <si>
    <t>Classical Sociological Theory E-BOOK</t>
  </si>
  <si>
    <t>McIntosh, Ian</t>
  </si>
  <si>
    <t>History of Sociology</t>
  </si>
  <si>
    <t>978-1-3995-1549-8</t>
  </si>
  <si>
    <t>Art and Technology in Maurice Blanchot</t>
  </si>
  <si>
    <t>Art and Technology in Maurice Blanchot E-BOOK</t>
  </si>
  <si>
    <t>Langstaff, Holly</t>
  </si>
  <si>
    <t>978-1-4744-7570-9</t>
  </si>
  <si>
    <t>On the Threshold</t>
  </si>
  <si>
    <t>Hospitality in Shakespeare's Drama</t>
  </si>
  <si>
    <t>On the Threshold E-BOOK</t>
  </si>
  <si>
    <t>Battell, Sophie E.</t>
  </si>
  <si>
    <t>978-1-4744-5674-6</t>
  </si>
  <si>
    <t>Exoteric Modernisms</t>
  </si>
  <si>
    <t>Progressive Era Realism and the Aesthetics of Everyday Life</t>
  </si>
  <si>
    <t>Exoteric Modernisms E-BOOK</t>
  </si>
  <si>
    <t>Collins, Michael J.</t>
  </si>
  <si>
    <t>978-1-3995-0339-6</t>
  </si>
  <si>
    <t>Spatial Politics in Istanbul</t>
  </si>
  <si>
    <t>Turning Points in Contemporary Turkey</t>
  </si>
  <si>
    <t>Spatial Politics in Istanbul E-BOOK</t>
  </si>
  <si>
    <t xml:space="preserve">Dorroll, Philip / Dorroll, Courtney </t>
  </si>
  <si>
    <t>ARC020000 ARCHITECTURE / Regional</t>
  </si>
  <si>
    <t>978-1-3995-0839-1</t>
  </si>
  <si>
    <t>Danish and German Silent Cinema</t>
  </si>
  <si>
    <t>Towards a Common Film Culture</t>
  </si>
  <si>
    <t>Danish and German Silent Cinema E-BOOK</t>
  </si>
  <si>
    <t>Sørensen, Lars-MartinTybjerg, Casper / Sørensen, Lars-Martin</t>
  </si>
  <si>
    <t>978-1-4744-3059-3</t>
  </si>
  <si>
    <t>Affirmation and Resistance in Spinoza</t>
  </si>
  <si>
    <t>The Strategy of the Conatus</t>
  </si>
  <si>
    <t>Affirmation and Resistance in Spinoza E-BOOK</t>
  </si>
  <si>
    <t>Bove, LaurentSharp, Hasana / Filion-Donato, Émilie / Filion-Donato, Émilie</t>
  </si>
  <si>
    <t>978-1-4744-9265-2</t>
  </si>
  <si>
    <t>Islamic Modernities in World Society</t>
  </si>
  <si>
    <t>The Rise, Spread, and Fragmentation of a Hegemonic Idea</t>
  </si>
  <si>
    <t>Islamic Modernities in World Society E-BOOK</t>
  </si>
  <si>
    <t>Jung, Dietrich</t>
  </si>
  <si>
    <t>978-1-3995-1422-4</t>
  </si>
  <si>
    <t>The Late and Post-Dictatorship Cinephilia Boom and Art Houses in South Korea</t>
  </si>
  <si>
    <t>The Late and Post-Dictatorship Cinephilia Boom and Ar E-BOOK</t>
  </si>
  <si>
    <t>David Jackson, Andrew</t>
  </si>
  <si>
    <t>978-1-3995-2167-3</t>
  </si>
  <si>
    <t>Diseased Cinema</t>
  </si>
  <si>
    <t>Plagues, Pandemics and Zombies in American Movies</t>
  </si>
  <si>
    <t>Diseased Cinema E-BOOK</t>
  </si>
  <si>
    <t>Mordechai, Lee / Alpert, Robert / Eisenberg, Merle</t>
  </si>
  <si>
    <t>978-1-3995-1067-7</t>
  </si>
  <si>
    <t>Allegorising Thought on the Shakespearean Stage</t>
  </si>
  <si>
    <t>The Discovery of the Mind</t>
  </si>
  <si>
    <t>Allegorising Thought on the Shakespearean Stage E-BOOK</t>
  </si>
  <si>
    <t xml:space="preserve">Guéron, Claire </t>
  </si>
  <si>
    <t>978-1-4744-5809-2</t>
  </si>
  <si>
    <t>William Morris on Socialism</t>
  </si>
  <si>
    <t>Uncollected Essays</t>
  </si>
  <si>
    <t>William Morris on Socialism E-BOOK</t>
  </si>
  <si>
    <t>Morris, WilliamBoos, Florence</t>
  </si>
  <si>
    <t>978-1-3995-2544-2</t>
  </si>
  <si>
    <t>Matter and Motion</t>
  </si>
  <si>
    <t>A Brief History of Kinetic Materialism</t>
  </si>
  <si>
    <t>Matter and Motion E-BOOK</t>
  </si>
  <si>
    <t>978-1-3995-2121-5</t>
  </si>
  <si>
    <t>Moderate Liberalism and the Scottish Enlightenment</t>
  </si>
  <si>
    <t>Montesquieu, Hume, Smith and Ferguson</t>
  </si>
  <si>
    <t>Moderate Liberalism and the Scottish Enlightenment E-BOOK</t>
  </si>
  <si>
    <t>Vassiliou, Constantine Christos</t>
  </si>
  <si>
    <t>978-1-3995-1788-1</t>
  </si>
  <si>
    <t>Ordering Imperial Worlds</t>
  </si>
  <si>
    <t>From Late Medieval Spain to the Modern Middle East</t>
  </si>
  <si>
    <t>Ordering Imperial Worlds E-BOOK</t>
  </si>
  <si>
    <t>Slyomovics, SusanSlyomovics, Susan</t>
  </si>
  <si>
    <t>978-1-3995-1755-3</t>
  </si>
  <si>
    <t>The Intensive-Image in Deleuze’s Film-Philosophy</t>
  </si>
  <si>
    <t>The Intensive-Image in Deleuze’s Film-Philosophy E-BOOK</t>
  </si>
  <si>
    <t>Escobar, Cristóbal</t>
  </si>
  <si>
    <t>978-1-4744-7423-8</t>
  </si>
  <si>
    <t>Exotic Cinema</t>
  </si>
  <si>
    <t>Encounters with Cultural Difference in Contemporary Transnational Film</t>
  </si>
  <si>
    <t>Exotic Cinema E-BOOK</t>
  </si>
  <si>
    <t>978-1-4744-9432-8</t>
  </si>
  <si>
    <t>Scottish Highlands and the Atlantic World</t>
  </si>
  <si>
    <t>Social Networks and Identities</t>
  </si>
  <si>
    <t>Scottish Highlands and the Atlantic World E-BOOK</t>
  </si>
  <si>
    <t>Tindley, Annie / Kehoe, S. Karly / Dalglish, Chris</t>
  </si>
  <si>
    <t>978-1-3995-0335-8</t>
  </si>
  <si>
    <t>Town and Country Planning in the Scottish Borders, 1946-1996</t>
  </si>
  <si>
    <t>From Planning Backwater to the Centre of the Maelstrom</t>
  </si>
  <si>
    <t>Town and Country Planning in the Scottish Borders, 19 E-BOOK</t>
  </si>
  <si>
    <t xml:space="preserve">Hope, Douglas </t>
  </si>
  <si>
    <t>978-1-3995-1688-4</t>
  </si>
  <si>
    <t>Lavengro</t>
  </si>
  <si>
    <t>The Scholar, The Gypsy, The Priest</t>
  </si>
  <si>
    <t>Lavengro E-BOOK</t>
  </si>
  <si>
    <t>Radford, AndrewRadford, Andrew</t>
  </si>
  <si>
    <t>978-1-4744-8395-7</t>
  </si>
  <si>
    <t>Transgressive Art Films</t>
  </si>
  <si>
    <t>Extremity, Ethics, and Controversial Images of Sex and Violence</t>
  </si>
  <si>
    <t>Transgressive Art Films E-BOOK</t>
  </si>
  <si>
    <t>Kenny, Oliver</t>
  </si>
  <si>
    <t>978-1-4744-7558-7</t>
  </si>
  <si>
    <t>Socioeconomic Transformation in the Sasanian Empire</t>
  </si>
  <si>
    <t>Late Antique Central Zagros</t>
  </si>
  <si>
    <t>Socioeconomic Transformation in the Sasanian Empire E-BOOK</t>
  </si>
  <si>
    <t>Habibi, Hossein</t>
  </si>
  <si>
    <t>978-1-4744-8093-2</t>
  </si>
  <si>
    <t>ReFocus: The Films of Annemarie Jacir</t>
  </si>
  <si>
    <t>ReFocus: The Films of Annemarie Jacir E-BOOK</t>
  </si>
  <si>
    <t>Cheema, Iqra Shagufta / Van de Peer, Stefanie</t>
  </si>
  <si>
    <t>978-1-3995-2501-5</t>
  </si>
  <si>
    <t>Poetics of the Migrant</t>
  </si>
  <si>
    <t>Migrant Literature and the Politics of Motion</t>
  </si>
  <si>
    <t>Poetics of the Migrant E-BOOK</t>
  </si>
  <si>
    <t>Potter, Kevin</t>
  </si>
  <si>
    <t>978-1-3995-1247-3</t>
  </si>
  <si>
    <t>Forms of Modernist Fiction</t>
  </si>
  <si>
    <t>Reading the Novel from James Joyce to Tom McCarthy</t>
  </si>
  <si>
    <t>Forms of Modernist Fiction E-BOOK</t>
  </si>
  <si>
    <t>978-1-3995-2916-7</t>
  </si>
  <si>
    <t>Reading Fictional Languages</t>
  </si>
  <si>
    <t>Reading Fictional Languages E-BOOK</t>
  </si>
  <si>
    <t>Noletto, Israel / Norledge, Jessica / Stockwell, Peter</t>
  </si>
  <si>
    <t>Fantasy</t>
  </si>
  <si>
    <t>EBOOK PACKAGE COMPLETE 2023 | EBOOK PACKAGE COMPLETE 2023 English | EBOOK PACKAGE Literary Studies 2023 | EBOOK PACKAGE Literary Studies 2023 English | Edinburgh University Press Complete eBook-Package 2024</t>
  </si>
  <si>
    <t>978-1-3995-0133-0</t>
  </si>
  <si>
    <t>Sir Alexander Ogston, 1844-1929</t>
  </si>
  <si>
    <t>A Life at Medical and Military Frontlines</t>
  </si>
  <si>
    <t>Sir Alexander Ogston, 1844-1929 E-BOOK</t>
  </si>
  <si>
    <t>978-1-4744-9254-6</t>
  </si>
  <si>
    <t>A Companion to Modern Turkey's Centennial</t>
  </si>
  <si>
    <t>Political, Sociological, Economic and Institutional Transformations since 1923</t>
  </si>
  <si>
    <t>A Companion to Modern Turkey's Centennial E-BOOK</t>
  </si>
  <si>
    <t>Özerdem, AlpaslanÖzerdem, Alpaslan / Öztürk, Ahmet Erdi</t>
  </si>
  <si>
    <t>978-1-3995-0021-0</t>
  </si>
  <si>
    <t>Cinecepts, Deleuze, and Godard-Miéville</t>
  </si>
  <si>
    <t>Developing Philosophy through Audiovisual Media</t>
  </si>
  <si>
    <t>Cinecepts, Deleuze, and Godard-Miéville E-BOOK</t>
  </si>
  <si>
    <t>Nilsson, Jakob</t>
  </si>
  <si>
    <t>978-1-3995-2174-1</t>
  </si>
  <si>
    <t>Saint Paul and Contemporary European Philosophy</t>
  </si>
  <si>
    <t>The Outcast and the Spirit</t>
  </si>
  <si>
    <t>Saint Paul and Contemporary European Philosophy E-BOOK</t>
  </si>
  <si>
    <t>Heiden, Gert-Jan van der</t>
  </si>
  <si>
    <t>978-1-3995-2023-2</t>
  </si>
  <si>
    <t>Fiction, Philosophy and the Ideal of Conversation</t>
  </si>
  <si>
    <t>Fiction, Philosophy and the Ideal of Conversation E-BOOK</t>
  </si>
  <si>
    <t>Elizabeth Greer, Erin</t>
  </si>
  <si>
    <t>978-1-4744-9816-6</t>
  </si>
  <si>
    <t>Liminal Noir in Classical World Cinema</t>
  </si>
  <si>
    <t>Liminal Noir in Classical World Cinema E-BOOK</t>
  </si>
  <si>
    <t>Helford, ElyceWeedman, Christopher / Helford, Elyce</t>
  </si>
  <si>
    <t>978-1-3995-0307-5</t>
  </si>
  <si>
    <t>ReFocus: The Films of Susan Seidelman</t>
  </si>
  <si>
    <t>ReFocus: The Films of Susan Seidelman E-BOOK</t>
  </si>
  <si>
    <t xml:space="preserve">Kerns, Susan Kerns, Susan </t>
  </si>
  <si>
    <t>978-1-4744-9964-4</t>
  </si>
  <si>
    <t>Blanchot, Ecology and Contemporary Fiction</t>
  </si>
  <si>
    <t>The Thought of the Disaster</t>
  </si>
  <si>
    <t>Blanchot, Ecology and Contemporary Fiction E-BOOK</t>
  </si>
  <si>
    <t>978-1-3995-0299-3</t>
  </si>
  <si>
    <t>ReFocus: The Films of Nuri Bilge Ceylan</t>
  </si>
  <si>
    <t>ReFocus: The Films of Nuri Bilge Ceylan E-BOOK</t>
  </si>
  <si>
    <t>Dönmez-Colin, GönülDönmez-Colin, Gönül</t>
  </si>
  <si>
    <t>978-1-3995-1808-6</t>
  </si>
  <si>
    <t>Animals and Capital</t>
  </si>
  <si>
    <t>Animals and Capital E-BOOK</t>
  </si>
  <si>
    <t>Wadiwel, Dinesh</t>
  </si>
  <si>
    <t>978-1-4744-9667-4</t>
  </si>
  <si>
    <t>Hammer Goes to Hell</t>
  </si>
  <si>
    <t>The House of Horror's Unmade Films</t>
  </si>
  <si>
    <t>Hammer Goes to Hell E-BOOK</t>
  </si>
  <si>
    <t>Foster, Kieran</t>
  </si>
  <si>
    <t>978-1-3995-1606-8</t>
  </si>
  <si>
    <t>Epigraphs in the English Novel 1750–1850</t>
  </si>
  <si>
    <t>Seducing the Reader</t>
  </si>
  <si>
    <t>Epigraphs in the English Novel 1750–1850 E-BOOK</t>
  </si>
  <si>
    <t>Readioff, Corrina</t>
  </si>
  <si>
    <t>978-1-3995-0541-3</t>
  </si>
  <si>
    <t>Global Perspectives on Anti-Feminism</t>
  </si>
  <si>
    <t>Far-Right and Religious Attacks on Equality and Diversity</t>
  </si>
  <si>
    <t>Global Perspectives on Anti-Feminism E-BOOK</t>
  </si>
  <si>
    <t>Goetz, Judith / Mayer, Stefanie</t>
  </si>
  <si>
    <t>978-1-3995-1836-9</t>
  </si>
  <si>
    <t>William Gillies</t>
  </si>
  <si>
    <t>Modernism and Nation in British Art</t>
  </si>
  <si>
    <t>William Gillies E-BOOK</t>
  </si>
  <si>
    <t>McPherson, Andrew</t>
  </si>
  <si>
    <t>978-1-3995-1017-2</t>
  </si>
  <si>
    <t>Industrial Policy in Turkey</t>
  </si>
  <si>
    <t>Rise, Retreat and Return</t>
  </si>
  <si>
    <t>Industrial Policy in Turkey E-BOOK</t>
  </si>
  <si>
    <t>Toksoz, Mina / Kutlay, Mustafa / Hale, William</t>
  </si>
  <si>
    <t>978-1-4744-8422-0</t>
  </si>
  <si>
    <t>Landscape Poetics</t>
  </si>
  <si>
    <t>Scottish Textual Practice 1928–Present</t>
  </si>
  <si>
    <t>Landscape Poetics E-BOOK</t>
  </si>
  <si>
    <t>978-1-3995-1975-5</t>
  </si>
  <si>
    <t>China and the Wireless Undertow</t>
  </si>
  <si>
    <t>Media as Wave Philosophy</t>
  </si>
  <si>
    <t>China and the Wireless Undertow E-BOOK</t>
  </si>
  <si>
    <t>Greenspan, Anna</t>
  </si>
  <si>
    <t>978-1-3995-1095-0</t>
  </si>
  <si>
    <t>ReFocus: The Films of Steve McQueen</t>
  </si>
  <si>
    <t>ReFocus: The Films of Steve McQueen E-BOOK</t>
  </si>
  <si>
    <t>Austin, ThomasAustin, Thomas</t>
  </si>
  <si>
    <t>978-1-4744-0699-4</t>
  </si>
  <si>
    <t>Velvet Curtains and Gilded Frames</t>
  </si>
  <si>
    <t>The Art of Early European Cinema</t>
  </si>
  <si>
    <t>Velvet Curtains and Gilded Frames E-BOOK</t>
  </si>
  <si>
    <t>Adriaensens, Vito</t>
  </si>
  <si>
    <t>978-0-7486-9133-3</t>
  </si>
  <si>
    <t>The Edinburgh Introduction to Studying English Literature</t>
  </si>
  <si>
    <t>The Edinburgh Introduction to Studying English Litera E-BOOK</t>
  </si>
  <si>
    <t>Gillis, Alan / Loxley, James / Stevenson, Randall / Cavanagh, Dermot / Keown, Michelle</t>
  </si>
  <si>
    <t>978-1-4744-0425-9</t>
  </si>
  <si>
    <t>Research Methods for Law</t>
  </si>
  <si>
    <t>Research Methods for Law E-BOOK</t>
  </si>
  <si>
    <t>McConville, Mike / Chui, Wing Hong (Eric)</t>
  </si>
  <si>
    <t>978-1-4744-6409-3</t>
  </si>
  <si>
    <t>The Precarious Writing of Ann Quin</t>
  </si>
  <si>
    <t>The Precarious Writing of Ann Quin E-BOOK</t>
  </si>
  <si>
    <t>Williams, Nonia</t>
  </si>
  <si>
    <t>978-1-3995-2446-9</t>
  </si>
  <si>
    <t>Age, Gender and Status in Macedonian Society, 550-300 BCE</t>
  </si>
  <si>
    <t>Intersectional Approaches to Mortuary Archaeology</t>
  </si>
  <si>
    <t>Age, Gender and Status in Macedonian Society, 550-300 E-BOOK</t>
  </si>
  <si>
    <t>M Salminen, Elina</t>
  </si>
  <si>
    <t>EBOOK PACKAGE COMPLETE 2023 | EBOOK PACKAGE COMPLETE 2023 English | EBOOK PACKAGE Classical Studies 2023 | EBOOK PACKAGE Classical Studies 2023 English | Edinburgh University Press Complete eBook-Package 2024</t>
  </si>
  <si>
    <t>978-1-4744-9675-9</t>
  </si>
  <si>
    <t>Generic Innovation in Shakespeare and His Contemporaries</t>
  </si>
  <si>
    <t>Generic Innovation in Shakespeare and His Contemporar E-BOOK</t>
  </si>
  <si>
    <t>Gieskes, Edward</t>
  </si>
  <si>
    <t>978-1-3995-1255-8</t>
  </si>
  <si>
    <t>Olive Schreiner</t>
  </si>
  <si>
    <t>Writing Networks and Global Contexts</t>
  </si>
  <si>
    <t>Olive Schreiner E-BOOK</t>
  </si>
  <si>
    <t>Munslow Ong, JadeMunslow Ong, Jade / van der Vlies, Andrew</t>
  </si>
  <si>
    <t>978-0-7486-9950-6</t>
  </si>
  <si>
    <t>Scots Law for Students</t>
  </si>
  <si>
    <t>Scots Law for Students E-BOOK</t>
  </si>
  <si>
    <t>McFadzean, Dale</t>
  </si>
  <si>
    <t>978-1-4744-6090-3</t>
  </si>
  <si>
    <t>Social Stratification in Late Byzantium</t>
  </si>
  <si>
    <t>Social Stratification in Late Byzantium E-BOOK</t>
  </si>
  <si>
    <t>Malatras, Christos</t>
  </si>
  <si>
    <t>978-1-4744-6370-6</t>
  </si>
  <si>
    <t>An Introduction to English Phonology</t>
  </si>
  <si>
    <t>2nd edition</t>
  </si>
  <si>
    <t>An Introduction to English Phonology E-BOOK</t>
  </si>
  <si>
    <t>McMahon, April</t>
  </si>
  <si>
    <t>Germanic Languages, other</t>
  </si>
  <si>
    <t>978-1-4744-6428-4</t>
  </si>
  <si>
    <t>Introducing Linguistic Morphology</t>
  </si>
  <si>
    <t>Introducing Linguistic Morphology E-BOOK</t>
  </si>
  <si>
    <t>978-1-4744-5978-5</t>
  </si>
  <si>
    <t>A Historical Morphology of English</t>
  </si>
  <si>
    <t>A Historical Morphology of English E-BOOK</t>
  </si>
  <si>
    <t>Ringe, Don</t>
  </si>
  <si>
    <t>978-1-4744-7035-3</t>
  </si>
  <si>
    <t>Language Assessment and Programme Evaluation</t>
  </si>
  <si>
    <t>Language Assessment and Programme Evaluation E-BOOK</t>
  </si>
  <si>
    <t>Lynch, Brian K.</t>
  </si>
  <si>
    <t>Language Assessment and Testing</t>
  </si>
  <si>
    <t>978-1-4744-2984-9</t>
  </si>
  <si>
    <t>Transatlantic Anglophone Literatures, 1776–1920</t>
  </si>
  <si>
    <t>Transatlantic Anglophone Literatures, 1776–1920 E-BOOK</t>
  </si>
  <si>
    <t>Hughes, Linda K / Robbins, Sarah R. / Taylor, Andrew</t>
  </si>
  <si>
    <t>978-0-7486-7905-8</t>
  </si>
  <si>
    <t>International Commercial Agreements</t>
  </si>
  <si>
    <t>An Edinburgh Law Guide</t>
  </si>
  <si>
    <t>International Commercial Agreements E-BOOK</t>
  </si>
  <si>
    <t>Meiselles, Michala</t>
  </si>
  <si>
    <t>978-1-4744-2898-9</t>
  </si>
  <si>
    <t>An Introduction to English Morphology</t>
  </si>
  <si>
    <t>Words and Their Structure (2nd edition)</t>
  </si>
  <si>
    <t>An Introduction to English Morphology E-BOOK</t>
  </si>
  <si>
    <t>Carstairs-McCarthy, Andrew</t>
  </si>
  <si>
    <t>978-0-7486-9853-0</t>
  </si>
  <si>
    <t>Scots Law Tales</t>
  </si>
  <si>
    <t>Scots Law Tales E-BOOK</t>
  </si>
  <si>
    <t>Grant, John / Sutherland, Elaine E.</t>
  </si>
  <si>
    <t>978-1-4744-2032-7</t>
  </si>
  <si>
    <t>Scottish Criminal Law Essentials</t>
  </si>
  <si>
    <t>Scottish Criminal Law Essentials E-BOOK</t>
  </si>
  <si>
    <t>978-1-4744-9906-4</t>
  </si>
  <si>
    <t>Shakespeare’s Virtuous Theatre</t>
  </si>
  <si>
    <t>Power, Capacity and the Good</t>
  </si>
  <si>
    <t>Shakespeare’s Virtuous Theatre E-BOOK</t>
  </si>
  <si>
    <t>Lehnhof, KentLehnhof, Kent / Sale, Carolyn / Reinhard Lupton, Julia</t>
  </si>
  <si>
    <t>978-0-7486-9843-1</t>
  </si>
  <si>
    <t>Media Law Essentials</t>
  </si>
  <si>
    <t>Media Law Essentials E-BOOK</t>
  </si>
  <si>
    <t>Maule, Douglas / Niu, Zhongdong</t>
  </si>
  <si>
    <t>978-1-3995-1575-7</t>
  </si>
  <si>
    <t>Slavery and Rebellion in Second-Century BC Sicily</t>
  </si>
  <si>
    <t>From Bellum Servile to Sicilia Capta</t>
  </si>
  <si>
    <t>Slavery and Rebellion in Second-Century BC Sicily E-BOOK</t>
  </si>
  <si>
    <t>Morton, Peter</t>
  </si>
  <si>
    <t>978-1-4744-7853-3</t>
  </si>
  <si>
    <t>Grey on Grey</t>
  </si>
  <si>
    <t>On the Threshold of Philosophy and Art</t>
  </si>
  <si>
    <t>Grey on Grey E-BOOK</t>
  </si>
  <si>
    <t>Vellodi, KaminiVinegar, Aron / Vellodi, Kamini</t>
  </si>
  <si>
    <t>ART007000 ART / Color Theory</t>
  </si>
  <si>
    <t>978-1-3995-1398-2</t>
  </si>
  <si>
    <t>Prison Writing in the Twentieth Century</t>
  </si>
  <si>
    <t>A Literary Guide</t>
  </si>
  <si>
    <t>Prison Writing in the Twentieth Century E-BOOK</t>
  </si>
  <si>
    <t>Murphet, Julian</t>
  </si>
  <si>
    <t>978-1-3995-2743-9</t>
  </si>
  <si>
    <t>Katherine Mansfield, Illness and Death</t>
  </si>
  <si>
    <t>Katherine Mansfield, Illness and Death E-BOOK</t>
  </si>
  <si>
    <t>Gasston, AiméeGasston, Aimée / Martin, Todd / Kimber, Gerri</t>
  </si>
  <si>
    <t>978-0-7486-8355-0</t>
  </si>
  <si>
    <t>Literature, Art and Slavery</t>
  </si>
  <si>
    <t>Ekphrastic Visions</t>
  </si>
  <si>
    <t>Literature, Art and Slavery E-BOOK</t>
  </si>
  <si>
    <t>Plasa, Carl</t>
  </si>
  <si>
    <t>978-1-4744-8024-6</t>
  </si>
  <si>
    <t>Adam Ferguson’s Later Writings</t>
  </si>
  <si>
    <t>New Letters and an Essay on the French Revolution</t>
  </si>
  <si>
    <t>Adam Ferguson’s Later Writings E-BOOK</t>
  </si>
  <si>
    <t>Stewart, IanSkjönsberg, Max  / Stewart, Ian</t>
  </si>
  <si>
    <t>978-1-4744-7323-1</t>
  </si>
  <si>
    <t>Media Studies</t>
  </si>
  <si>
    <t>Media Studies E-BOOK</t>
  </si>
  <si>
    <t>Marris, Paul / Thornham, Sue / Bassett, Caroline</t>
  </si>
  <si>
    <t>978-1-3995-1203-9</t>
  </si>
  <si>
    <t>A Language of One’s Own</t>
  </si>
  <si>
    <t>Literary Arabic, the Palestinians and Israel</t>
  </si>
  <si>
    <t>A Language of One’s Own E-BOOK</t>
  </si>
  <si>
    <t>Nashef, Ismail</t>
  </si>
  <si>
    <t>978-1-4744-4394-4</t>
  </si>
  <si>
    <t>Regimented Life</t>
  </si>
  <si>
    <t>An Ethnography of Army Wives</t>
  </si>
  <si>
    <t>Regimented Life E-BOOK</t>
  </si>
  <si>
    <t>Hyde, Alexandra</t>
  </si>
  <si>
    <t>FAM055000 FAMILY &amp; RELATIONSHIPS / Military Families</t>
  </si>
  <si>
    <t>978-1-3995-2560-2</t>
  </si>
  <si>
    <t>The History of Veterinary Education in Edinburgh</t>
  </si>
  <si>
    <t>The History of Veterinary Education in Edinburgh E-BOOK</t>
  </si>
  <si>
    <t>Macdonald, Alastair A. / Warwick, Colin M.</t>
  </si>
  <si>
    <t>978-1-3995-1127-8</t>
  </si>
  <si>
    <t>Romanticism and the Poetics of Orientation</t>
  </si>
  <si>
    <t>Romanticism and the Poetics of Orientation E-BOOK</t>
  </si>
  <si>
    <t xml:space="preserve">Kim, Joey </t>
  </si>
  <si>
    <t>978-1-4744-0523-2</t>
  </si>
  <si>
    <t>Cognitive Linguistics</t>
  </si>
  <si>
    <t>A Complete Guide</t>
  </si>
  <si>
    <t>Cognitive Linguistics E-BOOK</t>
  </si>
  <si>
    <t>978-0-7486-9114-2</t>
  </si>
  <si>
    <t>The Cultural Politics of Emotion</t>
  </si>
  <si>
    <t>The Cultural Politics of Emotion E-BOOK</t>
  </si>
  <si>
    <t>Ahmed, Sara</t>
  </si>
  <si>
    <t>PSY013000 PSYCHOLOGY / Emotions</t>
  </si>
  <si>
    <t>978-0-7486-9269-9</t>
  </si>
  <si>
    <t>Contemporary Morphological Theories</t>
  </si>
  <si>
    <t>A User's Guide</t>
  </si>
  <si>
    <t>Contemporary Morphological Theories E-BOOK</t>
  </si>
  <si>
    <t>Stewart, Thomas W</t>
  </si>
  <si>
    <t>978-1-4744-7280-7</t>
  </si>
  <si>
    <t>Jurisprudence Essentials</t>
  </si>
  <si>
    <t>Jurisprudence Essentials E-BOOK</t>
  </si>
  <si>
    <t>Spiers, Duncan</t>
  </si>
  <si>
    <t>978-1-4744-7718-5</t>
  </si>
  <si>
    <t>Introducing Stylistic Analysis</t>
  </si>
  <si>
    <t>Practising the Basics</t>
  </si>
  <si>
    <t>Introducing Stylistic Analysis E-BOOK</t>
  </si>
  <si>
    <t>Alaghbary, Gibreel Sadeq</t>
  </si>
  <si>
    <t>LAN009030 LANGUAGE ARTS &amp; DISCIPLINES / Linguistics / Pragmatics</t>
  </si>
  <si>
    <t>978-1-4744-2019-8</t>
  </si>
  <si>
    <t>UK Oil and Gas Law: Current Practice and Emerging Trends</t>
  </si>
  <si>
    <t>Volume I: Resource Management and Regulatory Law</t>
  </si>
  <si>
    <t>UK Oil and Gas Law: Current Practice and Emerging Tre E-BOOK</t>
  </si>
  <si>
    <t>Üșenmez, Emre / Gordon, Greg / Paterson, John</t>
  </si>
  <si>
    <t>Energy Industry</t>
  </si>
  <si>
    <t>BUS070040 BUSINESS &amp; ECONOMICS / Industries / Energy</t>
  </si>
  <si>
    <t>978-1-3995-1627-3</t>
  </si>
  <si>
    <t>A Short History of the Gibb Memorial Trust and its Trustees</t>
  </si>
  <si>
    <t>A Century of Oriental Scholarship</t>
  </si>
  <si>
    <t>A Short History of the Gibb Memorial Trust and its Tr E-BOOK</t>
  </si>
  <si>
    <t>Melville, Charles</t>
  </si>
  <si>
    <t>978-0-7486-3565-8</t>
  </si>
  <si>
    <t>An Advanced Guide to Multilingualism</t>
  </si>
  <si>
    <t>An Advanced Guide to Multilingualism E-BOOK</t>
  </si>
  <si>
    <t>Aronin, LarissaÓ Laoire, Muiris</t>
  </si>
  <si>
    <t>Discourse</t>
  </si>
  <si>
    <t>978-0-7486-9845-5</t>
  </si>
  <si>
    <t>Property Law Essentials</t>
  </si>
  <si>
    <t>Property Law Essentials E-BOOK</t>
  </si>
  <si>
    <t>Property Law</t>
  </si>
  <si>
    <t>978-1-4744-6681-3</t>
  </si>
  <si>
    <t>A History of Christian-Muslim Relations</t>
  </si>
  <si>
    <t>A History of Christian-Muslim Relations E-BOOK</t>
  </si>
  <si>
    <t>Goddard, Hugh</t>
  </si>
  <si>
    <t>978-0-7486-9938-4</t>
  </si>
  <si>
    <t>Housing Law in Scotland</t>
  </si>
  <si>
    <t>Housing Law in Scotland E-BOOK</t>
  </si>
  <si>
    <t>Robson, Peter</t>
  </si>
  <si>
    <t>978-1-4744-2171-3</t>
  </si>
  <si>
    <t>Corpus Linguistics and the Description of English</t>
  </si>
  <si>
    <t>Corpus Linguistics and the Description of English E-BOOK</t>
  </si>
  <si>
    <t>Levin, Magnus / Lindquist, Hans</t>
  </si>
  <si>
    <t>978-1-4744-2175-1</t>
  </si>
  <si>
    <t>Volume II: Commercial and Contract Law Issues</t>
  </si>
  <si>
    <t>Gordon, Greg / Üșenmez, Emre / Paterson, John</t>
  </si>
  <si>
    <t>978-0-7486-9847-9</t>
  </si>
  <si>
    <t>Scottish Administrative Law Essentials</t>
  </si>
  <si>
    <t>Scottish Administrative Law Essentials E-BOOK</t>
  </si>
  <si>
    <t>McFadden, Jean / McFadzean, Dale</t>
  </si>
  <si>
    <t>978-1-4744-1974-1</t>
  </si>
  <si>
    <t>Scottish Environmental Law Essentials</t>
  </si>
  <si>
    <t>Scottish Environmental Law Essentials E-BOOK</t>
  </si>
  <si>
    <t>978-0-7486-9811-0</t>
  </si>
  <si>
    <t>Company Law Essentials</t>
  </si>
  <si>
    <t>Company Law Essentials E-BOOK</t>
  </si>
  <si>
    <t>Bisacre, Josephine / McFadzean, Claire</t>
  </si>
  <si>
    <t>978-0-7486-9831-8</t>
  </si>
  <si>
    <t>Public Law Essentials</t>
  </si>
  <si>
    <t>Public Law Essentials E-BOOK</t>
  </si>
  <si>
    <t>Social Law</t>
  </si>
  <si>
    <t>Social Law, other</t>
  </si>
  <si>
    <t>LAW075000 LAW / Public</t>
  </si>
  <si>
    <t>978-1-4744-8680-4</t>
  </si>
  <si>
    <t>A Continental Guide to Philosophy</t>
  </si>
  <si>
    <t>A Continental Guide to Philosophy E-BOOK</t>
  </si>
  <si>
    <t>Macready, John</t>
  </si>
  <si>
    <t>978-0-7486-9825-7</t>
  </si>
  <si>
    <t>Private International Law</t>
  </si>
  <si>
    <t>Private International Law E-BOOK</t>
  </si>
  <si>
    <t>Hill, David</t>
  </si>
  <si>
    <t>978-1-4744-9859-3</t>
  </si>
  <si>
    <t>Avizandum Legislation on the Scots Law of Obligations</t>
  </si>
  <si>
    <t>Avizandum Legislation on the Scots Law of Obligations E-BOOK</t>
  </si>
  <si>
    <t>Macgregor, Laura</t>
  </si>
  <si>
    <t>Avizandum Statutes</t>
  </si>
  <si>
    <t>978-0-7486-9840-0</t>
  </si>
  <si>
    <t>International Law Essentials</t>
  </si>
  <si>
    <t>International Law Essentials E-BOOK</t>
  </si>
  <si>
    <t>Grant, John</t>
  </si>
  <si>
    <t>978-1-4744-3362-4</t>
  </si>
  <si>
    <t>Construction Grammar and its Application to English</t>
  </si>
  <si>
    <t>Construction Grammar and its Application to English E-BOOK</t>
  </si>
  <si>
    <t>Hilpert, Martin</t>
  </si>
  <si>
    <t>978-1-4744-0592-8</t>
  </si>
  <si>
    <t>Scottish Contract Law Essentials</t>
  </si>
  <si>
    <t>Scottish Contract Law Essentials E-BOOK</t>
  </si>
  <si>
    <t>Little, Tikus</t>
  </si>
  <si>
    <t>978-0-7486-9850-9</t>
  </si>
  <si>
    <t>Trusts Law Essentials</t>
  </si>
  <si>
    <t>Trusts Law Essentials E-BOOK</t>
  </si>
  <si>
    <t>978-0-7486-9849-3</t>
  </si>
  <si>
    <t>Succession Law Essentials</t>
  </si>
  <si>
    <t>Succession Law Essentials E-BOOK</t>
  </si>
  <si>
    <t>McCarthy, Frankie</t>
  </si>
  <si>
    <t>978-1-4744-0198-2</t>
  </si>
  <si>
    <t>Scottish Family Law</t>
  </si>
  <si>
    <t>Scottish Family Law E-BOOK</t>
  </si>
  <si>
    <t>LAW038000 LAW / Family Law / General</t>
  </si>
  <si>
    <t>978-0-7486-9844-8</t>
  </si>
  <si>
    <t>Medical Law Essentials</t>
  </si>
  <si>
    <t>Medical Law Essentials E-BOOK</t>
  </si>
  <si>
    <t>Earle, Murray</t>
  </si>
  <si>
    <t>Health Law</t>
  </si>
  <si>
    <t>LAW046000 LAW / Health</t>
  </si>
  <si>
    <t>978-0-7486-9851-6</t>
  </si>
  <si>
    <t>Planning Law Essentials</t>
  </si>
  <si>
    <t>Planning Law Essentials E-BOOK</t>
  </si>
  <si>
    <t>Slater, Anne-Michelle</t>
  </si>
  <si>
    <t>LAW019000 LAW / Construction</t>
  </si>
  <si>
    <t>978-1-4744-6221-1</t>
  </si>
  <si>
    <t>Business Arabic</t>
  </si>
  <si>
    <t>A Comprehensive Vocabulary</t>
  </si>
  <si>
    <t>Business Arabic E-BOOK</t>
  </si>
  <si>
    <t>Zaki, Mai / Mace, John</t>
  </si>
  <si>
    <t>Languages of Asia</t>
  </si>
  <si>
    <t>Arabic</t>
  </si>
  <si>
    <t>978-1-4744-9036-8</t>
  </si>
  <si>
    <t>McGowan on Alcohol Licensing Law in Scotland</t>
  </si>
  <si>
    <t>McGowan on Alcohol Licensing Law in Scotland E-BOOK</t>
  </si>
  <si>
    <t>McGowan, Stephen J.</t>
  </si>
  <si>
    <t>LAW033000 LAW / Entertainment</t>
  </si>
  <si>
    <t>978-1-4744-8871-6</t>
  </si>
  <si>
    <t>Advanced English-Arabic Translation</t>
  </si>
  <si>
    <t>Advanced English-Arabic Translation E-BOOK</t>
  </si>
  <si>
    <t>Hatab, Wafa Abu / Lahlali, El Mustapha</t>
  </si>
  <si>
    <t>978-1-4744-6817-6</t>
  </si>
  <si>
    <t>Political Sociology</t>
  </si>
  <si>
    <t>Political Sociology E-BOOK</t>
  </si>
  <si>
    <t>978-1-4744-6648-6</t>
  </si>
  <si>
    <t>Scottish Legal System Essentials</t>
  </si>
  <si>
    <t>Scottish Legal System Essentials E-BOOK</t>
  </si>
  <si>
    <t>Keegan, Gerard</t>
  </si>
  <si>
    <t>978-1-4744-6245-7</t>
  </si>
  <si>
    <t>Delict</t>
  </si>
  <si>
    <t>A Comprehensive Guide to the Law in Scotland</t>
  </si>
  <si>
    <t>Delict E-BOOK</t>
  </si>
  <si>
    <t>Conway, Ronald E. / McManus, Francis / Russell, Eleanor</t>
  </si>
  <si>
    <t>LAW080000 LAW / Remedies &amp; Damages</t>
  </si>
  <si>
    <t>978-0-7486-9839-4</t>
  </si>
  <si>
    <t>Intellectual Property Law Essentials</t>
  </si>
  <si>
    <t>Intellectual Property Law Essentials E-BOOK</t>
  </si>
  <si>
    <t>Commercial Legal Protection</t>
  </si>
  <si>
    <t>Commercial Legal Protection, other</t>
  </si>
  <si>
    <t>LAW050000 LAW / Intellectual Property / General</t>
  </si>
  <si>
    <t>978-1-4744-8277-6</t>
  </si>
  <si>
    <t>Scottish Arbitration Handbook</t>
  </si>
  <si>
    <t>Scottish Arbitration Handbook E-BOOK</t>
  </si>
  <si>
    <t>Foreman, Peter / Parratt, David R. / Grahame, Angela</t>
  </si>
  <si>
    <t>978-1-4744-8663-7</t>
  </si>
  <si>
    <t>Arabic-English-Arabic Literary Translation</t>
  </si>
  <si>
    <t>Issues and Strategies</t>
  </si>
  <si>
    <t>Arabic-English-Arabic Literary Translation E-BOOK</t>
  </si>
  <si>
    <t>Elimam, Ahmed</t>
  </si>
  <si>
    <t>978-0-7486-3249-7</t>
  </si>
  <si>
    <t>Introducing Sociolinguistics</t>
  </si>
  <si>
    <t>Introducing Sociolinguistics E-BOOK</t>
  </si>
  <si>
    <t>Swann, Joan / Mesthrie, Rajend / Deumert, Ana</t>
  </si>
  <si>
    <t>978-1-4744-3785-1</t>
  </si>
  <si>
    <t>Scottish Education</t>
  </si>
  <si>
    <t>Scottish Education E-BOOK</t>
  </si>
  <si>
    <t>Humes, W. M. / Kennedy, A. / Bryce, T. G. K. / Gillies, D.</t>
  </si>
  <si>
    <t>978-1-4744-7028-5</t>
  </si>
  <si>
    <t>Contract Law Essential Cases</t>
  </si>
  <si>
    <t>Contract Law Essential Cases E-BOOK</t>
  </si>
  <si>
    <t>978-1-4744-1292-6</t>
  </si>
  <si>
    <t>Intercultural Communication</t>
  </si>
  <si>
    <t>Intercultural Communication E-BOOK</t>
  </si>
  <si>
    <t>Piller, Ingrid</t>
  </si>
  <si>
    <t>978-1-4744-7410-8</t>
  </si>
  <si>
    <t>The Linguistics Student's Handbook</t>
  </si>
  <si>
    <t>The Linguistics Student's Handbook E-BOOK</t>
  </si>
  <si>
    <t>978-0-7486-9613-0</t>
  </si>
  <si>
    <t>Blaug, Ricardo / Schwarzmantel, John</t>
  </si>
  <si>
    <t>978-0-7486-9854-7</t>
  </si>
  <si>
    <t>The Student Guide to Mooting</t>
  </si>
  <si>
    <t>The Student Guide to Mooting E-BOOK</t>
  </si>
  <si>
    <t>Hammond, MichaelRoss, Margaret</t>
  </si>
  <si>
    <t>LAW061000 LAW / Legal Profession</t>
  </si>
  <si>
    <t>978-1-4744-6313-3</t>
  </si>
  <si>
    <t>Historical Linguistics</t>
  </si>
  <si>
    <t>Historical Linguistics E-BOOK</t>
  </si>
  <si>
    <t>978-1-4744-9467-0</t>
  </si>
  <si>
    <t>Criminal Evidence and Procedure: An Introduction</t>
  </si>
  <si>
    <t>Criminal Evidence and Procedure: An Introduction E-BOOK</t>
  </si>
  <si>
    <t>Brown, Alastair</t>
  </si>
  <si>
    <t>978-1-4744-9420-5</t>
  </si>
  <si>
    <t>Scots Commercial Law</t>
  </si>
  <si>
    <t>Scots Commercial Law E-BOOK</t>
  </si>
  <si>
    <t>Anderson, Ross G.</t>
  </si>
  <si>
    <t>978-1-4744-7145-9</t>
  </si>
  <si>
    <t>Computer Corpus Lexicography</t>
  </si>
  <si>
    <t>Computer Corpus Lexicography E-BOOK</t>
  </si>
  <si>
    <t>Ooi, Vincent B. Y.</t>
  </si>
  <si>
    <t>978-0-7486-9943-8</t>
  </si>
  <si>
    <t>Introduction to Law and Legal Obligations</t>
  </si>
  <si>
    <t>Introduction to Law and Legal Obligations E-BOOK</t>
  </si>
  <si>
    <t>978-0-7486-9815-8</t>
  </si>
  <si>
    <t>Employment Law Essentials</t>
  </si>
  <si>
    <t>Employment Law Essentials E-BOOK</t>
  </si>
  <si>
    <t>Ross, Jenifer</t>
  </si>
  <si>
    <t>978-0-7486-9784-7</t>
  </si>
  <si>
    <t>Revenue Law Essentials</t>
  </si>
  <si>
    <t>Revenue Law Essentials E-BOOK</t>
  </si>
  <si>
    <t>Craig, William</t>
  </si>
  <si>
    <t>978-0-7486-9810-3</t>
  </si>
  <si>
    <t>Commercial Law Essentials</t>
  </si>
  <si>
    <t>Commercial Law Essentials E-BOOK</t>
  </si>
  <si>
    <t>Combe, Malcolm</t>
  </si>
  <si>
    <t>978-1-4744-2026-6</t>
  </si>
  <si>
    <t>Mediation: A Practical Guide for Lawyers</t>
  </si>
  <si>
    <t>Mediation: A Practical Guide for Lawyers E-BOOK</t>
  </si>
  <si>
    <t>Mantle, Marjorie</t>
  </si>
  <si>
    <t>978-0-7486-9838-7</t>
  </si>
  <si>
    <t>Human Rights Law Essentials</t>
  </si>
  <si>
    <t>Human Rights Law Essentials E-BOOK</t>
  </si>
  <si>
    <t>Finch, Valerie / McGroarty, John</t>
  </si>
  <si>
    <t>978-1-3995-1434-7</t>
  </si>
  <si>
    <t>A Dictionary of Arabic Idioms and Expressions</t>
  </si>
  <si>
    <t>Arabic-English Translation</t>
  </si>
  <si>
    <t>A Dictionary of Arabic Idioms and Expressions E-BOOK</t>
  </si>
  <si>
    <t>Islam, Tajul / Lahlali, El Mustapha</t>
  </si>
  <si>
    <t>978-1-3995-0520-8</t>
  </si>
  <si>
    <t>The Edinburgh Companion to the New European Humanities</t>
  </si>
  <si>
    <t>The Edinburgh Companion to the New European Humanitie E-BOOK</t>
  </si>
  <si>
    <t>Effective Open Access 11.10.2023</t>
  </si>
  <si>
    <t>Braidotti, Rosi / Casper-Hehne, Hiltraud / Oostveen, Daan F. / Ivković, Marjan</t>
  </si>
  <si>
    <t>EBOOK PACKAGE Philosophy 2024 | EBOOK PACKAGE Philosophy 2024 ENG | Edinburgh University Press Complete eBook-Package 2024</t>
  </si>
  <si>
    <t>978-1-3995-2347-9</t>
  </si>
  <si>
    <t>The Selected Letters of Jane Welsh Carlyle</t>
  </si>
  <si>
    <t>A Victorian and a Contemporary</t>
  </si>
  <si>
    <t>The Selected Letters of Jane Welsh Carlyle E-BOOK</t>
  </si>
  <si>
    <t>Welsh Carlyle, JaneLansdown, Richard</t>
  </si>
  <si>
    <t>EBOOK PACKAGE Literary Studies 2024 | EBOOK PACKAGE Literary Studies 2024 ENG | Edinburgh University Press Complete eBook-Package 2024</t>
  </si>
  <si>
    <t>978-1-3995-2039-3</t>
  </si>
  <si>
    <t>French Westerns</t>
  </si>
  <si>
    <t>On the Frontier of Film Genre and French Cinema</t>
  </si>
  <si>
    <t>French Westerns E-BOOK</t>
  </si>
  <si>
    <t>Scheie, Timothy</t>
  </si>
  <si>
    <t>978-1-3995-2263-2</t>
  </si>
  <si>
    <t>Writing Europe in Renaissance France</t>
  </si>
  <si>
    <t>Travels in Reality and Imagination</t>
  </si>
  <si>
    <t>Writing Europe in Renaissance France E-BOOK</t>
  </si>
  <si>
    <t>Oddy, Niall</t>
  </si>
  <si>
    <t>French Literature, general</t>
  </si>
  <si>
    <t>978-1-3995-2700-2</t>
  </si>
  <si>
    <t>Reading Portrait Photographs in Proust, Kafka and Woolf</t>
  </si>
  <si>
    <t>Modernism, Media and Emotion</t>
  </si>
  <si>
    <t>Reading Portrait Photographs in Proust, Kafka and Woo E-BOOK</t>
  </si>
  <si>
    <t>Grøtta, Marit</t>
  </si>
  <si>
    <t>978-1-3995-1288-6</t>
  </si>
  <si>
    <t>Cinema, Culture, Scotland</t>
  </si>
  <si>
    <t>Cinema, Culture, Scotland E-BOOK</t>
  </si>
  <si>
    <t>McArthur, ColinMurray, Jonathan</t>
  </si>
  <si>
    <t>978-1-3995-1735-5</t>
  </si>
  <si>
    <t>Historical Media Memories of the Rwandan Genocide</t>
  </si>
  <si>
    <t>Documentaries, Films, and Television News</t>
  </si>
  <si>
    <t>Historical Media Memories of the Rwandan Genocide E-BOOK</t>
  </si>
  <si>
    <t>Gustafsson, Tommy</t>
  </si>
  <si>
    <t>978-1-3995-2489-6</t>
  </si>
  <si>
    <t>The Alhambra at the Crossroads of History</t>
  </si>
  <si>
    <t>Eastern and Western Visions in the Long Nineteenth Century</t>
  </si>
  <si>
    <t>The Alhambra at the Crossroads of History E-BOOK</t>
  </si>
  <si>
    <t>Eldem, Edhem</t>
  </si>
  <si>
    <t>978-1-3995-2739-2</t>
  </si>
  <si>
    <t>The Umayyad Empire</t>
  </si>
  <si>
    <t>The Umayyad Empire E-BOOK</t>
  </si>
  <si>
    <t>978-1-3995-2320-2</t>
  </si>
  <si>
    <t>Political Discourse Analysis</t>
  </si>
  <si>
    <t>Legitimisation Strategies in Crisis and Conflict</t>
  </si>
  <si>
    <t>Political Discourse Analysis E-BOOK</t>
  </si>
  <si>
    <t>Butler, Robert</t>
  </si>
  <si>
    <t>Rhetoric</t>
  </si>
  <si>
    <t>978-1-4744-3547-5</t>
  </si>
  <si>
    <t>Nietzsche's Beyond Good and Evil</t>
  </si>
  <si>
    <t>Nietzsche's Beyond Good and Evil E-BOOK</t>
  </si>
  <si>
    <t>Conway, Daniel</t>
  </si>
  <si>
    <t>PHI008000 PHILOSOPHY / Good &amp; Evil</t>
  </si>
  <si>
    <t>978-1-3995-1828-4</t>
  </si>
  <si>
    <t>Affective Spaces</t>
  </si>
  <si>
    <t>The Cultural Politics of Emotion in China</t>
  </si>
  <si>
    <t>Affective Spaces E-BOOK</t>
  </si>
  <si>
    <t>Diing Liu, Shih / Shi, Wei</t>
  </si>
  <si>
    <t>POL054000 POLITICAL SCIENCE / World / Asian</t>
  </si>
  <si>
    <t>EBOOK PACKAGE Political Science 2024 | EBOOK PACKAGE Political Science 2024 ENG | Edinburgh University Press Complete eBook-Package 2024</t>
  </si>
  <si>
    <t>978-1-3995-2409-4</t>
  </si>
  <si>
    <t>ReFocus: The Films of Lawrence Kasdan</t>
  </si>
  <si>
    <t>ReFocus: The Films of Lawrence Kasdan E-BOOK</t>
  </si>
  <si>
    <t>Davies, Brett</t>
  </si>
  <si>
    <t>EBOOK PACKAGE Arts 2024 | EBOOK PACKAGE Arts 2024 ENG | Edinburgh University Press Complete eBook-Package 2024</t>
  </si>
  <si>
    <t>978-1-3995-1796-6</t>
  </si>
  <si>
    <t>Mashya and Mashyana Unearthed</t>
  </si>
  <si>
    <t>Myth, Metonymy and the Unknowing Subject</t>
  </si>
  <si>
    <t>Mashya and Mashyana Unearthed E-BOOK</t>
  </si>
  <si>
    <t>EBOOK PACKAGE Theology and Religious St, Jewish St 2024 | EBOOK PACKAGE Theology and Religious St, Jewish St 2024 ENG | Edinburgh University Press Complete eBook-Package 2024</t>
  </si>
  <si>
    <t>978-1-3995-1513-9</t>
  </si>
  <si>
    <t>Delict Essentials</t>
  </si>
  <si>
    <t>5th edition</t>
  </si>
  <si>
    <t>Delict Essentials E-BOOK</t>
  </si>
  <si>
    <t>Edinburgh University Press Complete eBook-Package 2023 | UC Berkeley Law P&amp;C 2024 | UC Irvine 2024 Law P&amp;C</t>
  </si>
  <si>
    <t>978-1-3995-2716-3</t>
  </si>
  <si>
    <t>The Ecology of British and American Empire Writing, 1704–1894</t>
  </si>
  <si>
    <t>The Ecology of British and American Empire Writing, 1 E-BOOK</t>
  </si>
  <si>
    <t>McAuley, Louis</t>
  </si>
  <si>
    <t>978-1-3995-2576-3</t>
  </si>
  <si>
    <t>Vampires in Silent Cinema</t>
  </si>
  <si>
    <t>Vampires in Silent Cinema E-BOOK</t>
  </si>
  <si>
    <t>978-1-4744-8447-3</t>
  </si>
  <si>
    <t>Contemporary Thai Horror Film</t>
  </si>
  <si>
    <t>A Monstrous Hybrid</t>
  </si>
  <si>
    <t>Contemporary Thai Horror Film E-BOOK</t>
  </si>
  <si>
    <t>Ainslie, Mary</t>
  </si>
  <si>
    <t>978-1-3995-0600-7</t>
  </si>
  <si>
    <t>Turkish Paramilitarism in Northern Kurdistan</t>
  </si>
  <si>
    <t>State Violence in the 1990s</t>
  </si>
  <si>
    <t>Turkish Paramilitarism in Northern Kurdistan E-BOOK</t>
  </si>
  <si>
    <t>Işık, Ayhan</t>
  </si>
  <si>
    <t>978-1-3995-0780-6</t>
  </si>
  <si>
    <t>J. M. Coetzee's Politics of Life and Late Modernism in the Contemporary Novel</t>
  </si>
  <si>
    <t>J. M. Coetzee's Politics of Life and Late Modernism i E-BOOK</t>
  </si>
  <si>
    <t>Farrant, Marc</t>
  </si>
  <si>
    <t>978-1-4744-9236-2</t>
  </si>
  <si>
    <t>Electoral Integrity in Turkey</t>
  </si>
  <si>
    <t>Electoral Integrity in Turkey E-BOOK</t>
  </si>
  <si>
    <t>Toros, Emre</t>
  </si>
  <si>
    <t>978-1-3995-2413-1</t>
  </si>
  <si>
    <t>Art's Realism in the Post-Truth Era</t>
  </si>
  <si>
    <t>Art's Realism in the Post-Truth Era E-BOOK</t>
  </si>
  <si>
    <t>Ouellet, Maryse / Boetzkes, Amanda</t>
  </si>
  <si>
    <t>978-1-4744-7728-4</t>
  </si>
  <si>
    <t>Warren, Charles / Glass, Jayne</t>
  </si>
  <si>
    <t>NAT038000 NATURE / Natural Resources</t>
  </si>
  <si>
    <t>EBOOK PACKAGE Medicine and Life Sciences 2024 | EBOOK PACKAGE Medicine and Life Sciences 2024 ENG | Edinburgh University Press Complete eBook-Package 2024</t>
  </si>
  <si>
    <t>978-1-3995-2248-9</t>
  </si>
  <si>
    <t>Judging Complicity</t>
  </si>
  <si>
    <t>How to Respond to Injustice and Violence</t>
  </si>
  <si>
    <t>Judging Complicity E-BOOK</t>
  </si>
  <si>
    <t>Effective Open Access 14.02.2024</t>
  </si>
  <si>
    <t>Vogler, Gisli</t>
  </si>
  <si>
    <t>EBOOK PACKAGE Cultural and Area Studies 2024 | EBOOK PACKAGE Cultural and Area Studies 2024 ENG | Edinburgh University Press Complete eBook-Package 2024</t>
  </si>
  <si>
    <t>978-1-3995-2344-8</t>
  </si>
  <si>
    <t>Robotic Vision and Virtual Interfacing</t>
  </si>
  <si>
    <t>Seeing, Sensing, Shaping</t>
  </si>
  <si>
    <t>Robotic Vision and Virtual Interfacing E-BOOK</t>
  </si>
  <si>
    <t>Eldridge, Luci / Trivedi, Nina</t>
  </si>
  <si>
    <t>978-1-3995-3007-1</t>
  </si>
  <si>
    <t>Methods and Genealogies of New Materialisms</t>
  </si>
  <si>
    <t>Methods and Genealogies of New Materialisms E-BOOK</t>
  </si>
  <si>
    <t>Colman, Felicity / van der Tuin, Iris</t>
  </si>
  <si>
    <t>PHI014000 PHILOSOPHY / Methodology</t>
  </si>
  <si>
    <t>978-1-4744-8703-0</t>
  </si>
  <si>
    <t>Word Formation as a Naming Device</t>
  </si>
  <si>
    <t>Word Formation as a Naming Device E-BOOK</t>
  </si>
  <si>
    <t>EBOOK PACKAGE Linguistics 2024 | EBOOK PACKAGE Linguistics 2024 ENG | Edinburgh University Press Complete eBook-Package 2024</t>
  </si>
  <si>
    <t>978-1-3995-1963-2</t>
  </si>
  <si>
    <t>Italy and the Islamic World</t>
  </si>
  <si>
    <t>From Caesar to Mussolini</t>
  </si>
  <si>
    <t>Italy and the Islamic World E-BOOK</t>
  </si>
  <si>
    <t>Humayun Akhtar, Ali</t>
  </si>
  <si>
    <t>EBOOK PACKAGE History 2024 | EBOOK PACKAGE History 2024 ENG | Edinburgh University Press Complete eBook-Package 2024</t>
  </si>
  <si>
    <t>978-1-4744-6102-3</t>
  </si>
  <si>
    <t>Hagia Sophia in the Long Nineteenth Century</t>
  </si>
  <si>
    <t>Hagia Sophia in the Long Nineteenth Century E-BOOK</t>
  </si>
  <si>
    <t>Neumeier, Emily / Anderson, Benjamin</t>
  </si>
  <si>
    <t>EBOOK PACKAGE History 2024 | EBOOK PACKAGE History 2024 ENG | Edinburgh University Press Complete eBook-Package 2024 | UKansas DG Architecture and Design Frontlist 2024</t>
  </si>
  <si>
    <t>978-1-3995-0698-4</t>
  </si>
  <si>
    <t>The Prose of Allan Ramsay</t>
  </si>
  <si>
    <t>The Prose of Allan Ramsay E-BOOK</t>
  </si>
  <si>
    <t>Brown, Rhona / Lamont, Craig</t>
  </si>
  <si>
    <t>978-1-4744-8899-0</t>
  </si>
  <si>
    <t>Probabilistic Aesthetics of the Avant-Gardes</t>
  </si>
  <si>
    <t>Predictive Arts</t>
  </si>
  <si>
    <t>Probabilistic Aesthetics of the Avant-Gardes E-BOOK</t>
  </si>
  <si>
    <t>Wojnowski, Konrad</t>
  </si>
  <si>
    <t>978-1-3995-1935-9</t>
  </si>
  <si>
    <t>Public Health and the American State</t>
  </si>
  <si>
    <t>Public Health and the American State E-BOOK</t>
  </si>
  <si>
    <t>Di Tommaso, Gaetano / Fazzi, Dario / Scott-Smith, Giles</t>
  </si>
  <si>
    <t>978-1-4744-4159-9</t>
  </si>
  <si>
    <t>A Deleuzian Critique of Queer Thought</t>
  </si>
  <si>
    <t>Overcoming Sexuality</t>
  </si>
  <si>
    <t>A Deleuzian Critique of Queer Thought E-BOOK</t>
  </si>
  <si>
    <t>Kedem, Nir</t>
  </si>
  <si>
    <t>978-1-3995-0035-7</t>
  </si>
  <si>
    <t>The Edinburgh Companion to Women in Publishing, 1900–2020</t>
  </si>
  <si>
    <t>The Edinburgh Companion to Women in Publishing, 1900– E-BOOK</t>
  </si>
  <si>
    <t>Wilson, Nicola / Battershill, Claire / Heywood, Sophie / Joseph, Marrisa / La Penna, Daniela / Southworth, Helen / Staveley, Alice / Willson Gordon, Elizabeth</t>
  </si>
  <si>
    <t>978-1-3995-1056-1</t>
  </si>
  <si>
    <t>Organism-Oriented Ontology</t>
  </si>
  <si>
    <t>Organism-Oriented Ontology E-BOOK</t>
  </si>
  <si>
    <t>Žukauskaitė, Audronė</t>
  </si>
  <si>
    <t>978-1-4744-8643-9</t>
  </si>
  <si>
    <t>Demons of the Mind</t>
  </si>
  <si>
    <t>Psychiatry and Cinema in the Long 1960s</t>
  </si>
  <si>
    <t>Demons of the Mind E-BOOK</t>
  </si>
  <si>
    <t>Snelson, Tim / Macauley, William / Allen Kirby, David</t>
  </si>
  <si>
    <t>978-1-3995-2450-6</t>
  </si>
  <si>
    <t>Psychic Connection and the Twentieth-Century British Novel</t>
  </si>
  <si>
    <t>From Telepathy to the Network Novel</t>
  </si>
  <si>
    <t>Psychic Connection and the Twentieth-Century British  E-BOOK</t>
  </si>
  <si>
    <t>978-1-4744-1074-8</t>
  </si>
  <si>
    <t>Thinking What Comes, Volume 2</t>
  </si>
  <si>
    <t>Institutions, Inventions, and Inscriptions</t>
  </si>
  <si>
    <t>Thinking What Comes, Volume 2 E-BOOK</t>
  </si>
  <si>
    <t>Derrida, JacquesBennington, Geoffrey / Saghafi, Kas</t>
  </si>
  <si>
    <t>978-1-3995-2782-8</t>
  </si>
  <si>
    <t>Space and Political Universalism in Early Modern Physics and Philosophy</t>
  </si>
  <si>
    <t>Space and Political Universalism in Early Modern Phys E-BOOK</t>
  </si>
  <si>
    <t>Bustinduy, Pablo</t>
  </si>
  <si>
    <t>978-1-3995-0764-6</t>
  </si>
  <si>
    <t>Romantic Women’s Writing and Sexual Transgression</t>
  </si>
  <si>
    <t>Romantic Women’s Writing and Sexual Transgression E-BOOK</t>
  </si>
  <si>
    <t>Ready, Kathryn / Sigler, David</t>
  </si>
  <si>
    <t>978-1-4744-7837-3</t>
  </si>
  <si>
    <t>Language in the Indian Diaspora</t>
  </si>
  <si>
    <t>Sociolinguistic Perspectives</t>
  </si>
  <si>
    <t>Language in the Indian Diaspora E-BOOK</t>
  </si>
  <si>
    <t>Mesthrie, Rajend / Kulkarni-Joshi, Sonal</t>
  </si>
  <si>
    <t>978-1-3995-1450-7</t>
  </si>
  <si>
    <t>Memory, Patriarchy and Economy in Turkey</t>
  </si>
  <si>
    <t>Narratives of Political Power</t>
  </si>
  <si>
    <t>Memory, Patriarchy and Economy in Turkey E-BOOK</t>
  </si>
  <si>
    <t>Uğur-Çınar, Meral</t>
  </si>
  <si>
    <t>978-1-4744-1071-7</t>
  </si>
  <si>
    <t>Thinking What Comes, Volume 1</t>
  </si>
  <si>
    <t>Essays, Interviews, and Interventions</t>
  </si>
  <si>
    <t>Thinking What Comes, Volume 1 E-BOOK</t>
  </si>
  <si>
    <t>978-1-3995-0850-6</t>
  </si>
  <si>
    <t>Invisible Architecture in Nineteenth-Century Literature</t>
  </si>
  <si>
    <t>Rethinking Urban Modernity</t>
  </si>
  <si>
    <t>Invisible Architecture in Nineteenth-Century Literatu E-BOOK</t>
  </si>
  <si>
    <t>Moore, Ben</t>
  </si>
  <si>
    <t>978-1-3995-2941-9</t>
  </si>
  <si>
    <t>The Ever Green</t>
  </si>
  <si>
    <t>The Ever Green E-BOOK</t>
  </si>
  <si>
    <t>Ramsay, AllanPittock, Murray / Caudle, James J.</t>
  </si>
  <si>
    <t>978-1-3995-0776-9</t>
  </si>
  <si>
    <t>An Introduction to English Phonetics</t>
  </si>
  <si>
    <t>An Introduction to English Phonetics E-BOOK</t>
  </si>
  <si>
    <t>Ogden, Richard</t>
  </si>
  <si>
    <t>978-1-3995-1983-0</t>
  </si>
  <si>
    <t>Scottish Evidence Law Essentials</t>
  </si>
  <si>
    <t>Scottish Evidence Law Essentials E-BOOK</t>
  </si>
  <si>
    <t>Chalmers, James</t>
  </si>
  <si>
    <t>978-1-3995-2369-1</t>
  </si>
  <si>
    <t>Reimagining Israel and Palestine in Contemporary British and German Culture</t>
  </si>
  <si>
    <t>Reimagining Israel and Palestine in Contemporary Brit E-BOOK</t>
  </si>
  <si>
    <t>Hesse, Isabelle</t>
  </si>
  <si>
    <t>978-1-4744-5537-4</t>
  </si>
  <si>
    <t>Thomas Reid and the Defence of Duty</t>
  </si>
  <si>
    <t>Thomas Reid and the Defence of Duty E-BOOK</t>
  </si>
  <si>
    <t>Foster, James</t>
  </si>
  <si>
    <t>978-1-3995-0231-3</t>
  </si>
  <si>
    <t>The Edinburgh Companion to Literature and Sound Studies</t>
  </si>
  <si>
    <t>The Edinburgh Companion to Literature and Sound Studi E-BOOK</t>
  </si>
  <si>
    <t>Groth, Helen / Murphet, Julian</t>
  </si>
  <si>
    <t>978-1-3995-2294-6</t>
  </si>
  <si>
    <t>The View from Above in American Literature</t>
  </si>
  <si>
    <t>Aerial Description, the Imaginary and the Form of Environment</t>
  </si>
  <si>
    <t>The View from Above in American Literature E-BOOK</t>
  </si>
  <si>
    <t xml:space="preserve">Rodriguez, David </t>
  </si>
  <si>
    <t>978-1-3995-2097-3</t>
  </si>
  <si>
    <t>The Metamodern Slasher Film</t>
  </si>
  <si>
    <t>The Metamodern Slasher Film E-BOOK</t>
  </si>
  <si>
    <t>Jones, Steve</t>
  </si>
  <si>
    <t>21st Century Horror</t>
  </si>
  <si>
    <t>978-1-3995-2584-8</t>
  </si>
  <si>
    <t>The Ottoman Canon and the Construction of Arabic and Turkish Literatures</t>
  </si>
  <si>
    <t>The Ottoman Canon and the Construction of Arabic and  E-BOOK</t>
  </si>
  <si>
    <t>Effective Open Access 13.06.2024</t>
  </si>
  <si>
    <t>Arslan, C. Ceyhun. Ceyhun</t>
  </si>
  <si>
    <t>978-1-4744-5798-9</t>
  </si>
  <si>
    <t>Nineteenth-Century African American Narratives in Britain and Ireland</t>
  </si>
  <si>
    <t>Nineteenth-Century African American Narratives in Bri E-BOOK</t>
  </si>
  <si>
    <t>Bernier, Celeste-Marie / Murray, Hannah-Rose</t>
  </si>
  <si>
    <t>Nineteenth-Century African American Narratives and Speeches in Britain and Ireland</t>
  </si>
  <si>
    <t>978-1-3995-2218-2</t>
  </si>
  <si>
    <t>Redirecting Radical Democracy</t>
  </si>
  <si>
    <t>From Antagonism to Alienation</t>
  </si>
  <si>
    <t>Redirecting Radical Democracy E-BOOK</t>
  </si>
  <si>
    <t>Anceau Helander, Sofia</t>
  </si>
  <si>
    <t>978-1-3995-1320-3</t>
  </si>
  <si>
    <t>The Anarchist before the Law</t>
  </si>
  <si>
    <t>Law without Authority</t>
  </si>
  <si>
    <t>The Anarchist before the Law E-BOOK</t>
  </si>
  <si>
    <t>Newman, Saul / Torre, Massimo La</t>
  </si>
  <si>
    <t>EBOOK PACKAGE Law 2024 | EBOOK PACKAGE Law 2024 ENG | Edinburgh University Press Complete eBook-Package 2024</t>
  </si>
  <si>
    <t>978-1-4744-3579-6</t>
  </si>
  <si>
    <t>Arab World Cinemas</t>
  </si>
  <si>
    <t>Arab World Cinemas E-BOOK</t>
  </si>
  <si>
    <t>Hammond, Marlé</t>
  </si>
  <si>
    <t>978-1-3995-0121-7</t>
  </si>
  <si>
    <t>Derick Thomson and the Gaelic Revival</t>
  </si>
  <si>
    <t>Derick Thomson and the Gaelic Revival E-BOOK</t>
  </si>
  <si>
    <t>Poncarová, Petra Johana</t>
  </si>
  <si>
    <t>978-1-3995-1013-4</t>
  </si>
  <si>
    <t>The Ottoman Empire and Safavid Iran, 1639–1683</t>
  </si>
  <si>
    <t>Diplomacy and Borderlands in the Early Modern Middle East</t>
  </si>
  <si>
    <t>The Ottoman Empire and Safavid Iran, 1639–1683 E-BOOK</t>
  </si>
  <si>
    <t>Güngörürler, Selim</t>
  </si>
  <si>
    <t>978-1-4744-7850-2</t>
  </si>
  <si>
    <t>Hysteresis</t>
  </si>
  <si>
    <t>The External World</t>
  </si>
  <si>
    <t>Hysteresis E-BOOK</t>
  </si>
  <si>
    <t>Ferraris, MaurizioDe Sanctis, Sarah</t>
  </si>
  <si>
    <t>Philosophy of Science</t>
  </si>
  <si>
    <t>Philosophy of the Social Sciences</t>
  </si>
  <si>
    <t>PHI034000 PHILOSOPHY / Social</t>
  </si>
  <si>
    <t>978-1-3995-0291-7</t>
  </si>
  <si>
    <t>Rethinking the Concept of World</t>
  </si>
  <si>
    <t>Towards Transcendental Multiplicity</t>
  </si>
  <si>
    <t>Rethinking the Concept of World E-BOOK</t>
  </si>
  <si>
    <t>Benčin, Rok</t>
  </si>
  <si>
    <t>978-1-3995-2854-2</t>
  </si>
  <si>
    <t>Fantastic Fauna from China to Crimea</t>
  </si>
  <si>
    <t>Image-Making in Eurasian Nomadic Societies, 700 BCE-500 CE</t>
  </si>
  <si>
    <t>Fantastic Fauna from China to Crimea E-BOOK</t>
  </si>
  <si>
    <t>Andreeva, Petya</t>
  </si>
  <si>
    <t>978-1-3995-2961-7</t>
  </si>
  <si>
    <t>Gilles Deleuze and the Atheist Machine</t>
  </si>
  <si>
    <t>The Achievement of Philosophy</t>
  </si>
  <si>
    <t>Gilles Deleuze and the Atheist Machine E-BOOK</t>
  </si>
  <si>
    <t>978-1-4744-7829-8</t>
  </si>
  <si>
    <t>Mapping Taiwanese Cinema, 2008-20</t>
  </si>
  <si>
    <t>Environments, Poetics, Practice</t>
  </si>
  <si>
    <t>Mapping Taiwanese Cinema, 2008-20 E-BOOK</t>
  </si>
  <si>
    <t>Brown, Christopher</t>
  </si>
  <si>
    <t>978-1-4744-5330-1</t>
  </si>
  <si>
    <t>The Canada–US Border</t>
  </si>
  <si>
    <t>Culture and Theory</t>
  </si>
  <si>
    <t>The Canada–US Border E-BOOK</t>
  </si>
  <si>
    <t>Stirrup, David / Orr, Jeffrey</t>
  </si>
  <si>
    <t>Urban and Spatial Sociology</t>
  </si>
  <si>
    <t>SOC053000 SOCIAL SCIENCE / Regional Studies</t>
  </si>
  <si>
    <t>978-1-3995-0801-8</t>
  </si>
  <si>
    <t>The Artifice of Affect</t>
  </si>
  <si>
    <t>American Realist Literature and Emotional Truth</t>
  </si>
  <si>
    <t>The Artifice of Affect E-BOOK</t>
  </si>
  <si>
    <t>Manning, Nicholas</t>
  </si>
  <si>
    <t>978-1-4744-7003-2</t>
  </si>
  <si>
    <t>A History of Modern Linguistics</t>
  </si>
  <si>
    <t>From the Beginnings to World War II</t>
  </si>
  <si>
    <t>A History of Modern Linguistics E-BOOK</t>
  </si>
  <si>
    <t>EBOOK PACKAGE COMPLETE 2023 | EBOOK PACKAGE COMPLETE 2023 English | EBOOK PACKAGE Linguistics 2023 | EBOOK PACKAGE Linguistics 2023 English | Edinburgh University Press Complete eBook-Package 2024</t>
  </si>
  <si>
    <t>978-1-3995-1009-7</t>
  </si>
  <si>
    <t>Christian Beginnings</t>
  </si>
  <si>
    <t>A Study in Ancient Mediterranean Religion</t>
  </si>
  <si>
    <t>Christian Beginnings E-BOOK</t>
  </si>
  <si>
    <t>Stowers, Stanley</t>
  </si>
  <si>
    <t>978-1-3995-0620-5</t>
  </si>
  <si>
    <t>Islamist Movements during the Tunisian Transition and Syrian Crisis</t>
  </si>
  <si>
    <t>The Power of Practices</t>
  </si>
  <si>
    <t>Islamist Movements during the Tunisian Transition and E-BOOK</t>
  </si>
  <si>
    <t>Donker, Teije H.</t>
  </si>
  <si>
    <t>978-1-3995-1666-2</t>
  </si>
  <si>
    <t>Situating Shakespeare Pedagogy in US Higher Education</t>
  </si>
  <si>
    <t>Social Justice and Institutional Contexts</t>
  </si>
  <si>
    <t>Situating Shakespeare Pedagogy in US Higher Education E-BOOK</t>
  </si>
  <si>
    <t>Greenberg, Marissa / Williamson, Elizabeth</t>
  </si>
  <si>
    <t>978-1-3995-2234-2</t>
  </si>
  <si>
    <t>Traces of the Prophets</t>
  </si>
  <si>
    <t>Relics and Sacred Spaces in Early Islam</t>
  </si>
  <si>
    <t>Traces of the Prophets E-BOOK</t>
  </si>
  <si>
    <t>Bursi, Adam</t>
  </si>
  <si>
    <t>978-1-4744-5794-1</t>
  </si>
  <si>
    <t>Nineteenth-Century African American Speeches in Britain and Ireland</t>
  </si>
  <si>
    <t>Nineteenth-Century African American Speeches in Brita E-BOOK</t>
  </si>
  <si>
    <t>978-1-3995-2324-0</t>
  </si>
  <si>
    <t>Cross-Cultural Pragmatics and Foreign Language Learning</t>
  </si>
  <si>
    <t>Cross-Cultural Pragmatics and Foreign Language Learni E-BOOK</t>
  </si>
  <si>
    <t xml:space="preserve">House, Juliane / Kádár, Daniel Z. </t>
  </si>
  <si>
    <t>Edinburgh Studies in Pragmatics</t>
  </si>
  <si>
    <t>978-1-4744-8750-4</t>
  </si>
  <si>
    <t>Lady Justice</t>
  </si>
  <si>
    <t>An Anatomy of Allegory</t>
  </si>
  <si>
    <t>Lady Justice E-BOOK</t>
  </si>
  <si>
    <t>Hayaert, Valérie</t>
  </si>
  <si>
    <t>Edinburgh Studies in Law, Justice and the Visual</t>
  </si>
  <si>
    <t>978-1-3995-2684-5</t>
  </si>
  <si>
    <t>Literary History and Avant-Garde Poetics in the Antipodes</t>
  </si>
  <si>
    <t>Languages of Invention</t>
  </si>
  <si>
    <t>Literary History and Avant-Garde Poetics in the Antip E-BOOK</t>
  </si>
  <si>
    <t>Carruthers, A. J.</t>
  </si>
  <si>
    <t>Edinburgh Critical Studies in Avant-Garde Writing</t>
  </si>
  <si>
    <t>978-1-3995-2069-0</t>
  </si>
  <si>
    <t>Thami al-Glaoui</t>
  </si>
  <si>
    <t>Morocco’s Greatest Pasha</t>
  </si>
  <si>
    <t>Thami al-Glaoui E-BOOK</t>
  </si>
  <si>
    <t>Ouaknine-Yekutieli, Orit</t>
  </si>
  <si>
    <t>978-1-3995-2355-4</t>
  </si>
  <si>
    <t>The Afterlife of Mary, Queen of Scots</t>
  </si>
  <si>
    <t>The Afterlife of Mary, Queen of Scots E-BOOK</t>
  </si>
  <si>
    <t>J. Reid, Steven</t>
  </si>
  <si>
    <t>978-1-4744-6000-2</t>
  </si>
  <si>
    <t>Visual Power, Representation and Migration Law</t>
  </si>
  <si>
    <t>Framing Migrants</t>
  </si>
  <si>
    <t>Visual Power, Representation and Migration Law E-BOOK</t>
  </si>
  <si>
    <t>Gozdecka, Dorota</t>
  </si>
  <si>
    <t>978-1-3995-0608-3</t>
  </si>
  <si>
    <t>Transnational Repression in the Age of Globalisation</t>
  </si>
  <si>
    <t>Transnational Repression in the Age of Globalisation E-BOOK</t>
  </si>
  <si>
    <t>Moss, Dana / Furstenberg, Saipira</t>
  </si>
  <si>
    <t>POL035010 POLITICAL SCIENCE / Human Rights</t>
  </si>
  <si>
    <t>978-1-3995-1955-7</t>
  </si>
  <si>
    <t>The Art of Peace Formation</t>
  </si>
  <si>
    <t>Arts-based Social Movements, Opportunities and Blockages</t>
  </si>
  <si>
    <t>The Art of Peace Formation E-BOOK</t>
  </si>
  <si>
    <t>Vogel, Birte / Kappler, Stefanie / Richmond, Oliver P.</t>
  </si>
  <si>
    <t>978-1-3995-1951-9</t>
  </si>
  <si>
    <t>The President’s Kill List</t>
  </si>
  <si>
    <t>Assassination and US Foreign Policy since 1945</t>
  </si>
  <si>
    <t>The President’s Kill List E-BOOK</t>
  </si>
  <si>
    <t>Trenta, Luca</t>
  </si>
  <si>
    <t>978-1-3995-2186-4</t>
  </si>
  <si>
    <t>Governing Migration in the Late Ottoman Empire</t>
  </si>
  <si>
    <t>Governing Migration in the Late Ottoman Empire E-BOOK</t>
  </si>
  <si>
    <t>Fratantuono, Ella</t>
  </si>
  <si>
    <t>978-1-4744-9898-2</t>
  </si>
  <si>
    <t>Kafkaesque Cinema</t>
  </si>
  <si>
    <t>Kafkaesque Cinema E-BOOK</t>
  </si>
  <si>
    <t>978-1-3995-2596-1</t>
  </si>
  <si>
    <t>Queer Books of Late Victorian Print Culture</t>
  </si>
  <si>
    <t>Queer Books of Late Victorian Print Culture E-BOOK</t>
  </si>
  <si>
    <t>King, Frederick D.</t>
  </si>
  <si>
    <t>978-1-3995-2846-7</t>
  </si>
  <si>
    <t>Christian-Muslim Relations in the Aftermath of the Arab Spring</t>
  </si>
  <si>
    <t>Beyond the Polemics over 'The Innocence of Muslims'</t>
  </si>
  <si>
    <t>Christian-Muslim Relations in the Aftermath of the Ar E-BOOK</t>
  </si>
  <si>
    <t>Hager, Anna</t>
  </si>
  <si>
    <t>978-1-4744-3729-5</t>
  </si>
  <si>
    <t>Channel 4 and the British Film Industry, 1982-1998</t>
  </si>
  <si>
    <t>Channel 4 and the British Film Industry, 1982-1998 E-BOOK</t>
  </si>
  <si>
    <t>Mayne, Laura</t>
  </si>
  <si>
    <t>978-1-3995-2266-3</t>
  </si>
  <si>
    <t>Poetry from the Waverley Novels and Other Works</t>
  </si>
  <si>
    <t>Poetry from the Waverley Novels and Other Works E-BOOK</t>
  </si>
  <si>
    <t>978-1-4744-7869-4</t>
  </si>
  <si>
    <t>Twenty-First Century Fictions of Terrorism</t>
  </si>
  <si>
    <t>Twenty-First Century Fictions of Terrorism E-BOOK</t>
  </si>
  <si>
    <t>Keeble, Arin</t>
  </si>
  <si>
    <t>978-1-4744-5174-1</t>
  </si>
  <si>
    <t>Television/Death</t>
  </si>
  <si>
    <t>Television/Death E-BOOK</t>
  </si>
  <si>
    <t>Wheatley, Helen</t>
  </si>
  <si>
    <t>Edinburgh Television Studies</t>
  </si>
  <si>
    <t>978-1-3995-2604-3</t>
  </si>
  <si>
    <t>Feminism, Violence and Nonviolence</t>
  </si>
  <si>
    <t>Feminism, Violence and Nonviolence E-BOOK</t>
  </si>
  <si>
    <t>Gallo-Cruz, Selina</t>
  </si>
  <si>
    <t>EBOOK PACKAGE Sociology 2024 | EBOOK PACKAGE Sociology 2024 ENG | Edinburgh University Press Complete eBook-Package 2024</t>
  </si>
  <si>
    <t>978-1-4744-6225-9</t>
  </si>
  <si>
    <t>The Integrity of the Qur'an</t>
  </si>
  <si>
    <t>Sunni and Shi‘i Historical Narratives</t>
  </si>
  <si>
    <t>The Integrity of the Qur'an E-BOOK</t>
  </si>
  <si>
    <t>Effective Open Access 15.03.2024</t>
  </si>
  <si>
    <t>Kara, Seyfeddin</t>
  </si>
  <si>
    <t>978-1-3995-0039-5</t>
  </si>
  <si>
    <t>Law, Equity and Romantic Writing</t>
  </si>
  <si>
    <t>Seeking Justice in the Age of Revolutions</t>
  </si>
  <si>
    <t>Law, Equity and Romantic Writing E-BOOK</t>
  </si>
  <si>
    <t>978-1-4744-6150-4</t>
  </si>
  <si>
    <t>The New Modernist Novel</t>
  </si>
  <si>
    <t>Criticism and the Task of Reading</t>
  </si>
  <si>
    <t>The New Modernist Novel E-BOOK</t>
  </si>
  <si>
    <t>Pender, Elizabeth</t>
  </si>
  <si>
    <t>978-1-3995-2737-8</t>
  </si>
  <si>
    <t>Order and the Virtual</t>
  </si>
  <si>
    <t>The Philosophy and Science of Deleuzian Cosmology</t>
  </si>
  <si>
    <t>Order and the Virtual E-BOOK</t>
  </si>
  <si>
    <t>Ross, Bill</t>
  </si>
  <si>
    <t>978-1-3995-3151-1</t>
  </si>
  <si>
    <t>Predication and Genesis</t>
  </si>
  <si>
    <t>Metaphysics as Fundamental Heuristic after Schelling's The Ages of the World</t>
  </si>
  <si>
    <t>Predication and Genesis E-BOOK</t>
  </si>
  <si>
    <t>Hogrebe, WolframWirth, Jason / Hamilton Grant, Iain</t>
  </si>
  <si>
    <t>978-1-3995-1618-1</t>
  </si>
  <si>
    <t>African Literature and US Empire</t>
  </si>
  <si>
    <t>Postcolonial Optimism in Nigerian and South African Writing</t>
  </si>
  <si>
    <t>African Literature and US Empire E-BOOK</t>
  </si>
  <si>
    <t>Hallemeier, Katherine</t>
  </si>
  <si>
    <t>978-1-4744-2635-0</t>
  </si>
  <si>
    <t>Beyond Realism</t>
  </si>
  <si>
    <t>Naturalist Film in Theory and Practice</t>
  </si>
  <si>
    <t>Beyond Realism E-BOOK</t>
  </si>
  <si>
    <t>Singer, Robert</t>
  </si>
  <si>
    <t>978-1-3995-3338-6</t>
  </si>
  <si>
    <t>Reading Spinoza in the Anthropocene</t>
  </si>
  <si>
    <t>Reading Spinoza in the Anthropocene E-BOOK</t>
  </si>
  <si>
    <t>978-1-4744-4165-0</t>
  </si>
  <si>
    <t>The Edinburgh Companion to Charles Dickens and the Arts</t>
  </si>
  <si>
    <t>The Edinburgh Companion to Charles Dickens and the Ar E-BOOK</t>
  </si>
  <si>
    <t>John, Juliet / Wood, Claire</t>
  </si>
  <si>
    <t>978-1-3995-2351-6</t>
  </si>
  <si>
    <t>Paratextuality in Anglophone and Hispanophone Poems in the US Press, 1855–1901</t>
  </si>
  <si>
    <t>Paratextuality in Anglophone and Hispanophone Poems i E-BOOK</t>
  </si>
  <si>
    <t>Bonifacio, Ayendy</t>
  </si>
  <si>
    <t>978-1-4744-5568-8</t>
  </si>
  <si>
    <t>The Faustian Pact in International Law</t>
  </si>
  <si>
    <t>The Faustian Pact in International Law E-BOOK</t>
  </si>
  <si>
    <t>Bikundo, Edwin</t>
  </si>
  <si>
    <t>978-1-3995-1473-6</t>
  </si>
  <si>
    <t>Cinema and Machine Vision</t>
  </si>
  <si>
    <t>Artificial Intelligence, Aesthetics and Spectatorship</t>
  </si>
  <si>
    <t>Cinema and Machine Vision E-BOOK</t>
  </si>
  <si>
    <t>Chávez Heras, Daniel</t>
  </si>
  <si>
    <t>978-1-4744-9313-0</t>
  </si>
  <si>
    <t>Protestantism, Revolution and Scottish Political Thought</t>
  </si>
  <si>
    <t>The European Context, 1637-1651</t>
  </si>
  <si>
    <t>Protestantism, Revolution and Scottish Political Thou E-BOOK</t>
  </si>
  <si>
    <t>Schultz, Karie</t>
  </si>
  <si>
    <t>978-1-3995-2493-3</t>
  </si>
  <si>
    <t>The Ethical Implications of Shakespeare in Performance and Appropriation</t>
  </si>
  <si>
    <t>The Ethical Implications of Shakespeare in Performanc E-BOOK</t>
  </si>
  <si>
    <t>Geddes, Louise / Vomero Santos, Kathryn / Way, Geoffrey</t>
  </si>
  <si>
    <t>978-1-3995-2385-1</t>
  </si>
  <si>
    <t>Greek Captives and Mediterranean Slavery, 1260–1460</t>
  </si>
  <si>
    <t>Greek Captives and Mediterranean Slavery, 1260–1460 E-BOOK</t>
  </si>
  <si>
    <t>Grant, Alasdair C.</t>
  </si>
  <si>
    <t>978-1-3995-2688-3</t>
  </si>
  <si>
    <t>The Midcentury Minor Novel</t>
  </si>
  <si>
    <t>American Fiction, 1945–1965</t>
  </si>
  <si>
    <t>The Midcentury Minor Novel E-BOOK</t>
  </si>
  <si>
    <t>Kalisch, Michael</t>
  </si>
  <si>
    <t>978-1-3995-0730-1</t>
  </si>
  <si>
    <t>Subjectivity and Decolonisation in the Post-Independence Novel and Film</t>
  </si>
  <si>
    <t>Subjectivity and Decolonisation in the Post-Independe E-BOOK</t>
  </si>
  <si>
    <t>Jilani, Sarah</t>
  </si>
  <si>
    <t>978-1-3995-2995-2</t>
  </si>
  <si>
    <t>Contemporary Capitalism and Mental Health</t>
  </si>
  <si>
    <t>Rhythms of Everyday Life</t>
  </si>
  <si>
    <t>Contemporary Capitalism and Mental Health E-BOOK</t>
  </si>
  <si>
    <t>Heaney, Conor</t>
  </si>
  <si>
    <t>978-1-3995-1987-8</t>
  </si>
  <si>
    <t>Living in History</t>
  </si>
  <si>
    <t>Poetry in Britain, 1945–1979</t>
  </si>
  <si>
    <t>Living in History E-BOOK</t>
  </si>
  <si>
    <t>Roberts, Luke</t>
  </si>
  <si>
    <t>978-1-3995-1923-6</t>
  </si>
  <si>
    <t>The Humour of Vladimir Nabokov</t>
  </si>
  <si>
    <t>Mind and Matter</t>
  </si>
  <si>
    <t>The Humour of Vladimir Nabokov E-BOOK</t>
  </si>
  <si>
    <t>Grant, Paul Benedict</t>
  </si>
  <si>
    <t>978-1-3995-2523-7</t>
  </si>
  <si>
    <t>Gerhard Richter and the Technological Condition of Painting</t>
  </si>
  <si>
    <t>Gerhard Richter and the Technological Condition of Pa E-BOOK</t>
  </si>
  <si>
    <t>Guillermet, Aline</t>
  </si>
  <si>
    <t>978-1-3995-2211-3</t>
  </si>
  <si>
    <t>Reading Modernism's Readers</t>
  </si>
  <si>
    <t>Virginia Woolf, Psychoanalysis and the Bestseller</t>
  </si>
  <si>
    <t>Reading Modernism's Readers E-BOOK</t>
  </si>
  <si>
    <t>Tyson, Helen</t>
  </si>
  <si>
    <t>978-1-4744-9967-5</t>
  </si>
  <si>
    <t>The Edinburgh Companion to W. B. Yeats and the Arts</t>
  </si>
  <si>
    <t>The Edinburgh Companion to W. B. Yeats and the Arts E-BOOK</t>
  </si>
  <si>
    <t>Armstrong, Charles I. / Walker, Tom / Paterson, Adrian</t>
  </si>
  <si>
    <t>978-1-3995-2417-9</t>
  </si>
  <si>
    <t>Categories</t>
  </si>
  <si>
    <t>A Study of a Concept in Western Philosophy and Political Thought</t>
  </si>
  <si>
    <t>Categories E-BOOK</t>
  </si>
  <si>
    <t>O'Sullivan, Luke</t>
  </si>
  <si>
    <t>978-1-3995-2298-4</t>
  </si>
  <si>
    <t>Writing Doubt in Montaigne's Essais</t>
  </si>
  <si>
    <t>Thinking Relationally with Seneca and Plutarch</t>
  </si>
  <si>
    <t>Writing Doubt in Montaigne's Essais E-BOOK</t>
  </si>
  <si>
    <t>978-1-3995-1005-9</t>
  </si>
  <si>
    <t>Visual Arts and the Auld Alliance</t>
  </si>
  <si>
    <t>Scotland, France and National Identity c.1420-1550</t>
  </si>
  <si>
    <t>Visual Arts and the Auld Alliance E-BOOK</t>
  </si>
  <si>
    <t>Coombs, Bryony</t>
  </si>
  <si>
    <t>978-1-3995-2568-8</t>
  </si>
  <si>
    <t>Resistance in Indian Documentary Film</t>
  </si>
  <si>
    <t>Aesthetics, Culture and Practice</t>
  </si>
  <si>
    <t>Resistance in Indian Documentary Film E-BOOK</t>
  </si>
  <si>
    <t>Kishore, Shweta / Ray, Kunal</t>
  </si>
  <si>
    <t>978-1-3995-2842-9</t>
  </si>
  <si>
    <t>Rachel Bowlby – Unexpected Items</t>
  </si>
  <si>
    <t>Shopping, Parenthood, Changing Feminist Stories</t>
  </si>
  <si>
    <t>Rachel Bowlby – Unexpected Items E-BOOK</t>
  </si>
  <si>
    <t xml:space="preserve">LIT025050 LITERARY CRITICISM / Subjects &amp; Themes / Women </t>
  </si>
  <si>
    <t>978-1-3995-3727-8</t>
  </si>
  <si>
    <t>The Resilience of Multiculturalism</t>
  </si>
  <si>
    <t>Ideas, Politics, Practice</t>
  </si>
  <si>
    <t>The Resilience of Multiculturalism E-BOOK</t>
  </si>
  <si>
    <t>Meer, Nasar / Sealy, Thomas / Uberoi, Varun</t>
  </si>
  <si>
    <t>978-1-3995-0576-5</t>
  </si>
  <si>
    <t>Comic Gothic</t>
  </si>
  <si>
    <t>Comic Gothic E-BOOK</t>
  </si>
  <si>
    <t>Horner, Avril / Zlosnik, Sue</t>
  </si>
  <si>
    <t>978-1-3995-2101-7</t>
  </si>
  <si>
    <t>Stardom, Film Couples and Love Teams in 1970s Philippine Cinema</t>
  </si>
  <si>
    <t>Stardom, Film Couples and Love Teams in 1970s Philipp E-BOOK</t>
  </si>
  <si>
    <t>Sebastiampillai, Chrishandra</t>
  </si>
  <si>
    <t>978-1-3995-0331-0</t>
  </si>
  <si>
    <t>Arab Philosophical Trends</t>
  </si>
  <si>
    <t>Responses to Modernity</t>
  </si>
  <si>
    <t>Arab Philosophical Trends E-BOOK</t>
  </si>
  <si>
    <t>al-Salimi, Abdulrahman</t>
  </si>
  <si>
    <t>978-1-3995-1623-5</t>
  </si>
  <si>
    <t>Shakespeare Against War</t>
  </si>
  <si>
    <t>Pacifist Readings</t>
  </si>
  <si>
    <t>Shakespeare Against War E-BOOK</t>
  </si>
  <si>
    <t>978-1-3995-2259-5</t>
  </si>
  <si>
    <t>Narratives of Disability and Illness in the Fiction of J. M. Coetzee</t>
  </si>
  <si>
    <t>Narratives of Disability and Illness in the Fiction o E-BOOK</t>
  </si>
  <si>
    <t>Wojtas, Paweł</t>
  </si>
  <si>
    <t>978-1-4744-9863-0</t>
  </si>
  <si>
    <t>Sanctity, Gender and Authority in Medieval Caucasia</t>
  </si>
  <si>
    <t>Sanctity, Gender and Authority in Medieval Caucasia E-BOOK</t>
  </si>
  <si>
    <t>Aleksidze, Nikoloz</t>
  </si>
  <si>
    <t>978-1-3995-0666-3</t>
  </si>
  <si>
    <t>The Edinburgh History of Children's Periodicals</t>
  </si>
  <si>
    <t>The Edinburgh History of Children's Periodicals E-BOOK</t>
  </si>
  <si>
    <t>Moruzi, Kristine / Rodgers, Beth / Smith, Michelle J.</t>
  </si>
  <si>
    <t>978-1-3995-2430-8</t>
  </si>
  <si>
    <t>Nethered Regions – An Anatomy of Mina Loy</t>
  </si>
  <si>
    <t>Nethered Regions – An Anatomy of Mina Loy E-BOOK</t>
  </si>
  <si>
    <t>978-1-3995-0604-5</t>
  </si>
  <si>
    <t>Iranian Art from the Sasanians to the Islamic Republic</t>
  </si>
  <si>
    <t>Essays in Honour of Linda Komaroff</t>
  </si>
  <si>
    <t>Iranian Art from the Sasanians to the Islamic Republi E-BOOK</t>
  </si>
  <si>
    <t>Sheila S. Blair, Jonathan M. / Bloom, Sandra Williams</t>
  </si>
  <si>
    <t>978-1-3995-2814-6</t>
  </si>
  <si>
    <t>Film Phenomenologies</t>
  </si>
  <si>
    <t>Temporality, Embodiment, Transformation</t>
  </si>
  <si>
    <t>Film Phenomenologies E-BOOK</t>
  </si>
  <si>
    <t>978-1-4744-4791-1</t>
  </si>
  <si>
    <t>British Fantasy Cinema</t>
  </si>
  <si>
    <t>British Fantasy Cinema E-BOOK</t>
  </si>
  <si>
    <t>Rickards, Carolyn</t>
  </si>
  <si>
    <t>978-1-3995-2664-7</t>
  </si>
  <si>
    <t>Lyn Hejinian, The Proposition</t>
  </si>
  <si>
    <t>Uncollected Early Poems 1963–1983</t>
  </si>
  <si>
    <t>Lyn Hejinian, The Proposition E-BOOK</t>
  </si>
  <si>
    <t>Hejinian, LynColby, Georgina</t>
  </si>
  <si>
    <t>Edinburgh Foundations in Avant-Garde Writing</t>
  </si>
  <si>
    <t>978-1-3995-3167-2</t>
  </si>
  <si>
    <t>The Roman Law of Inheritance</t>
  </si>
  <si>
    <t>The Evolution of the Roman Law of Inheritance during the Principate</t>
  </si>
  <si>
    <t>The Roman Law of Inheritance E-BOOK</t>
  </si>
  <si>
    <t>Babusiaux, Ulrike</t>
  </si>
  <si>
    <t>978-1-3995-0612-0</t>
  </si>
  <si>
    <t>Guardianship and Democracy in Iran and Turkey</t>
  </si>
  <si>
    <t>Tutelary Consolidation, Popular Contestation</t>
  </si>
  <si>
    <t>Guardianship and Democracy in Iran and Turkey E-BOOK</t>
  </si>
  <si>
    <t>Akkoyunlu, Karabekir</t>
  </si>
  <si>
    <t>978-1-3995-1454-5</t>
  </si>
  <si>
    <t>Chrystal Macmillan, 1872-1937</t>
  </si>
  <si>
    <t>Campaigner for Equality, Justice and Peace</t>
  </si>
  <si>
    <t>Chrystal Macmillan, 1872-1937 E-BOOK</t>
  </si>
  <si>
    <t>Kay, Helen / Pipes, Rose</t>
  </si>
  <si>
    <t>Scottish Women Making History</t>
  </si>
  <si>
    <t>978-1-3995-3675-2</t>
  </si>
  <si>
    <t>Aesthetics and the Art of Living in the Zagros Mountains of Iran</t>
  </si>
  <si>
    <t>Aesthetics and the Art of Living in the Zagros Mounta E-BOOK</t>
  </si>
  <si>
    <t>Friedl, Erika</t>
  </si>
  <si>
    <t>SOC026020 SOCIAL SCIENCE / Sociology / Rural</t>
  </si>
  <si>
    <t>978-1-3995-1638-9</t>
  </si>
  <si>
    <t>Shakespeare’s Theater of Judgment</t>
  </si>
  <si>
    <t>Six Keywords</t>
  </si>
  <si>
    <t>Shakespeare’s Theater of Judgment E-BOOK</t>
  </si>
  <si>
    <t>978-1-3995-2117-8</t>
  </si>
  <si>
    <t>Rousseau’s Politics of Taste</t>
  </si>
  <si>
    <t>Rousseau’s Politics of Taste E-BOOK</t>
  </si>
  <si>
    <t>Effective Open Access 14.10.2024</t>
  </si>
  <si>
    <t>Holley, Jared</t>
  </si>
  <si>
    <t>978-1-3995-1587-0</t>
  </si>
  <si>
    <t>Islamists and the Global Order</t>
  </si>
  <si>
    <t>Between Resistance and Recognition</t>
  </si>
  <si>
    <t>Islamists and the Global Order E-BOOK</t>
  </si>
  <si>
    <t>Pfeifer, Hanna</t>
  </si>
  <si>
    <t>REL078000 RELIGION / Fundamentalism</t>
  </si>
  <si>
    <t>978-1-3995-0303-7</t>
  </si>
  <si>
    <t>Reclaiming Female Authorship in Contemporary UK Television Comedy</t>
  </si>
  <si>
    <t>Reclaiming Female Authorship in Contemporary UK Telev E-BOOK</t>
  </si>
  <si>
    <t>Minor, Laura</t>
  </si>
  <si>
    <t>Edinburgh Studies in Television</t>
  </si>
  <si>
    <t>978-1-3995-0064-7</t>
  </si>
  <si>
    <t>The Edinburgh Companion to British Colonial Periodicals</t>
  </si>
  <si>
    <t>The Edinburgh Companion to British Colonial Periodica E-BOOK</t>
  </si>
  <si>
    <t>Davis, Caroline / Finkelstein, David / Johnson, David</t>
  </si>
  <si>
    <t>978-1-3995-3631-8</t>
  </si>
  <si>
    <t>The Origins of the Corinthian Christ Group</t>
  </si>
  <si>
    <t>Paul’s Chord of Gods</t>
  </si>
  <si>
    <t>The Origins of the Corinthian Christ Group E-BOOK</t>
  </si>
  <si>
    <t>Ahearne-Kroll, Stephen</t>
  </si>
  <si>
    <t>Old Testament / Ancient Near East</t>
  </si>
  <si>
    <t>Ancient Near East</t>
  </si>
  <si>
    <t>REL114000 RELIGION / Ancient</t>
  </si>
  <si>
    <t>978-1-3995-2434-6</t>
  </si>
  <si>
    <t>Elevated Realms – An Anatomy of Mina Loy</t>
  </si>
  <si>
    <t>Elevated Realms – An Anatomy of Mina Loy E-BOOK</t>
  </si>
  <si>
    <t>978-1-4744-8339-1</t>
  </si>
  <si>
    <t>Epistolary Courtiership and Dramatic Letters</t>
  </si>
  <si>
    <t>Thomas Overbury and the Jacobean Playhouse</t>
  </si>
  <si>
    <t>Epistolary Courtiership and Dramatic Letters E-BOOK</t>
  </si>
  <si>
    <t>Watson, Jackie</t>
  </si>
  <si>
    <t>978-1-3995-3211-2</t>
  </si>
  <si>
    <t>The Female Avenger, Women’s Anger and Rape-Revenge Film and Television</t>
  </si>
  <si>
    <t>Rape-Revenge and Women’s Anger</t>
  </si>
  <si>
    <t>The Female Avenger, Women’s Anger and Rape-Revenge Fi E-BOOK</t>
  </si>
  <si>
    <t>Bruun Vaage, Margrethe</t>
  </si>
  <si>
    <t>978-1-3995-1591-7</t>
  </si>
  <si>
    <t>Social Christianity in Scotland and Beyond, 1800-2000</t>
  </si>
  <si>
    <t>Essays in Honour of Stewart J. Brown</t>
  </si>
  <si>
    <t>Social Christianity in Scotland and Beyond, 1800-2000 E-BOOK</t>
  </si>
  <si>
    <t>Kloes, Andrew / Mair, Laura M</t>
  </si>
  <si>
    <t>Denominational Studies, Ecumenism, World Christianity</t>
  </si>
  <si>
    <t>REL108020 RELIGION / Christian Church / History</t>
  </si>
  <si>
    <t>978-1-3995-3326-3</t>
  </si>
  <si>
    <t>Ethnic Cleansing in Western Anatolia, 1912–1923</t>
  </si>
  <si>
    <t>Ottoman Officials and the Local Christian Population</t>
  </si>
  <si>
    <t>Ethnic Cleansing in Western Anatolia, 1912–1923 E-BOOK</t>
  </si>
  <si>
    <t>Eser, Umit</t>
  </si>
  <si>
    <t>978-1-3995-3683-7</t>
  </si>
  <si>
    <t>Muslim Sicily</t>
  </si>
  <si>
    <t>Encounters and Legacy</t>
  </si>
  <si>
    <t>Muslim Sicily E-BOOK</t>
  </si>
  <si>
    <t>Alshaar, Nuha</t>
  </si>
  <si>
    <t>978-1-3995-2548-0</t>
  </si>
  <si>
    <t>Settler Military Politics</t>
  </si>
  <si>
    <t>Militarisation and the Aesthetics of War Commemoration</t>
  </si>
  <si>
    <t>Settler Military Politics E-BOOK</t>
  </si>
  <si>
    <t>Caso, Federica</t>
  </si>
  <si>
    <t>POL069000 POLITICAL SCIENCE / Public Policy / Military Policy</t>
  </si>
  <si>
    <t>978-1-3995-0718-9</t>
  </si>
  <si>
    <t>Mina’i Ware</t>
  </si>
  <si>
    <t>A Reassessment and Comprehensive Study of Iranian Polychrome Overglaze Wares through Sherds</t>
  </si>
  <si>
    <t>Mina’i Ware E-BOOK</t>
  </si>
  <si>
    <t>978-1-4744-8343-8</t>
  </si>
  <si>
    <t>Kirkyard Romanticism</t>
  </si>
  <si>
    <t>Death, Modernity and Scottish Literature in the Nineteenth Century</t>
  </si>
  <si>
    <t>Kirkyard Romanticism E-BOOK</t>
  </si>
  <si>
    <t>Sharp, Sarah</t>
  </si>
  <si>
    <t>978-1-3995-0652-6</t>
  </si>
  <si>
    <t>Romanticism, Realism and the Lines of Mimesis</t>
  </si>
  <si>
    <t>Romanticism, Realism and the Lines of Mimesis E-BOOK</t>
  </si>
  <si>
    <t>Dickson, Polly</t>
  </si>
  <si>
    <t>978-1-3995-1714-0</t>
  </si>
  <si>
    <t>ReFocus: The Films of Joachim Trier</t>
  </si>
  <si>
    <t>Moments and Movements</t>
  </si>
  <si>
    <t>ReFocus: The Films of Joachim Trier E-BOOK</t>
  </si>
  <si>
    <t>Gjelsvik, Anne</t>
  </si>
  <si>
    <t>978-1-3995-3611-0</t>
  </si>
  <si>
    <t>Sufism in Europe</t>
  </si>
  <si>
    <t>Islam, Esotericism and the New Age</t>
  </si>
  <si>
    <t>Sufism in Europe E-BOOK</t>
  </si>
  <si>
    <t>Piraino, Francesco</t>
  </si>
  <si>
    <t>978-1-3995-2065-2</t>
  </si>
  <si>
    <t>The Greek Revolution of 1821</t>
  </si>
  <si>
    <t>European Contexts, Scottish Connections</t>
  </si>
  <si>
    <t>The Greek Revolution of 1821 E-BOOK</t>
  </si>
  <si>
    <t>Beaton, Roderick / Gaul, Niels</t>
  </si>
  <si>
    <t>978-1-3995-2991-4</t>
  </si>
  <si>
    <t>Merleau-Ponty and the Essence of Nature</t>
  </si>
  <si>
    <t>A Return to Elemental Symbolism</t>
  </si>
  <si>
    <t>Merleau-Ponty and the Essence of Nature E-BOOK</t>
  </si>
  <si>
    <t>Knight, Taylor</t>
  </si>
  <si>
    <t>978-1-3995-2945-7</t>
  </si>
  <si>
    <t>Finnegans Wake – Human and Nonhuman Histories</t>
  </si>
  <si>
    <t>Finnegans Wake – Human and Nonhuman Histories E-BOOK</t>
  </si>
  <si>
    <t>Barlow, Richard / Fagan, Paul</t>
  </si>
  <si>
    <t>978-1-3995-3294-5</t>
  </si>
  <si>
    <t>Dissident Gut</t>
  </si>
  <si>
    <t>Technologies of Regularity, Politics of Revolt</t>
  </si>
  <si>
    <t>Dissident Gut E-BOOK</t>
  </si>
  <si>
    <t>Walton, Jean</t>
  </si>
  <si>
    <t>978-1-3995-1533-7</t>
  </si>
  <si>
    <t>The Rise and Fall of Critical Legal Studies</t>
  </si>
  <si>
    <t>Law, Politics, Culture</t>
  </si>
  <si>
    <t>The Rise and Fall of Critical Legal Studies E-BOOK</t>
  </si>
  <si>
    <t>Gilchrist Stewart, James</t>
  </si>
  <si>
    <t>978-1-3995-2361-5</t>
  </si>
  <si>
    <t>Harryette Mullen, Her Silver-Tongued Companion</t>
  </si>
  <si>
    <t>Reading Poems by Harryette Mullen</t>
  </si>
  <si>
    <t>Harryette Mullen, Her Silver-Tongued Companion E-BOOK</t>
  </si>
  <si>
    <t>Mullen, HarryetteColby, Georgina</t>
  </si>
  <si>
    <t>LCO002010 LITERARY COLLECTIONS / American / African-American</t>
  </si>
  <si>
    <t>978-1-3995-3310-2</t>
  </si>
  <si>
    <t>The Complete Scottish Sketches of R.B. Cunninghame Graham</t>
  </si>
  <si>
    <t>A Careless Enchantment'</t>
  </si>
  <si>
    <t>The Complete Scottish Sketches of R.B. Cunninghame Gr E-BOOK</t>
  </si>
  <si>
    <t>Cunninghame Graham, W.R.B. / Munro, Lachlan</t>
  </si>
  <si>
    <t>978-1-3995-2987-7</t>
  </si>
  <si>
    <t>Hope in the Anthropocene</t>
  </si>
  <si>
    <t>Agency, Governance and Negation</t>
  </si>
  <si>
    <t>Hope in the Anthropocene E-BOOK</t>
  </si>
  <si>
    <t>Chandler, David / Waldow, Valerie / Bargués, Pol</t>
  </si>
  <si>
    <t>978-1-3995-1235-0</t>
  </si>
  <si>
    <t>The Sociological Heritage of the Scottish Enlightenment</t>
  </si>
  <si>
    <t>The Sociological Heritage of the Scottish Enlightenme E-BOOK</t>
  </si>
  <si>
    <t>Demeter, Tamás</t>
  </si>
  <si>
    <t>978-1-3995-2019-5</t>
  </si>
  <si>
    <t>North East Vernacular English Online</t>
  </si>
  <si>
    <t>North East Vernacular English Online E-BOOK</t>
  </si>
  <si>
    <t>Pearce, Michael</t>
  </si>
  <si>
    <t>978-1-4744-4351-7</t>
  </si>
  <si>
    <t>Sir Andrew Wylie of that Ilk</t>
  </si>
  <si>
    <t>Sir Andrew Wylie of that Ilk E-BOOK</t>
  </si>
  <si>
    <t>Galt, JohnAlker, Sharon Ruth</t>
  </si>
  <si>
    <t>978-1-3995-0663-2</t>
  </si>
  <si>
    <t>The Edinburgh Companion to the Eighteenth-Century British Novel and the Arts</t>
  </si>
  <si>
    <t>The Edinburgh Companion to the Eighteenth-Century Bri E-BOOK</t>
  </si>
  <si>
    <t>Lipski, Jakub / Newbould, M-C.</t>
  </si>
  <si>
    <t>978-1-3995-1831-4</t>
  </si>
  <si>
    <t>The Life, Times and Work of William Gillies, 1898-1973</t>
  </si>
  <si>
    <t>The Life, Times and Work of William Gillies, 1898-197 E-BOOK</t>
  </si>
  <si>
    <t>978-1-3995-3386-7</t>
  </si>
  <si>
    <t>One Hundred Years of Greek-Turkish Relations</t>
  </si>
  <si>
    <t>The Human Dimension of an Ongoing Conflict</t>
  </si>
  <si>
    <t>One Hundred Years of Greek-Turkish Relations E-BOOK</t>
  </si>
  <si>
    <t>Akgönül, Samim</t>
  </si>
  <si>
    <t>POL058000 POLITICAL SCIENCE / World / European</t>
  </si>
  <si>
    <t>978-1-4744-9683-4</t>
  </si>
  <si>
    <t>Transnational TV Crime</t>
  </si>
  <si>
    <t>From the Nordic to the Outback</t>
  </si>
  <si>
    <t>Transnational TV Crime E-BOOK</t>
  </si>
  <si>
    <t>Turnbull, Sue / McCutcheon, Marion</t>
  </si>
  <si>
    <t>978-1-3995-1772-0</t>
  </si>
  <si>
    <t>Risk Allocation and Distributive Justice in the Energy Industry</t>
  </si>
  <si>
    <t>Law, Policy and Practice</t>
  </si>
  <si>
    <t>Risk Allocation and Distributive Justice in the Energ E-BOOK</t>
  </si>
  <si>
    <t>Azubuike, Smith I</t>
  </si>
  <si>
    <t>978-1-3995-0042-5</t>
  </si>
  <si>
    <t>The Edinburgh Companion to Jane Austen and the Arts</t>
  </si>
  <si>
    <t>The Edinburgh Companion to Jane Austen and the Arts E-BOOK</t>
  </si>
  <si>
    <t>Bray, Joe / Moss, Hannah</t>
  </si>
  <si>
    <t>978-1-4744-4554-2</t>
  </si>
  <si>
    <t>The Edinburgh Edition of the Collected Letters of Katherine Mansfield, Volume 3</t>
  </si>
  <si>
    <t>Letters to John Middleton Murry 1912–1918</t>
  </si>
  <si>
    <t>The Edinburgh Edition of the Collected Letters of Kat E-BOOK</t>
  </si>
  <si>
    <t xml:space="preserve">Davison, Claire / Kimber, Gerri </t>
  </si>
  <si>
    <t>The Edinburgh Edition of the Collected Letters of Katherine Mansfield</t>
  </si>
  <si>
    <t>978-1-4744-4860-4</t>
  </si>
  <si>
    <t>AI in the Movies</t>
  </si>
  <si>
    <t>AI in the Movies E-BOOK</t>
  </si>
  <si>
    <t>Murphy, Paula</t>
  </si>
  <si>
    <t>978-1-3995-1025-7</t>
  </si>
  <si>
    <t>Civic Reformation and Religious Change in Sixteenth-Century Scottish Towns</t>
  </si>
  <si>
    <t>Civic Reformation and Religious Change in Sixteenth-C E-BOOK</t>
  </si>
  <si>
    <t>Slonosky, Timothy</t>
  </si>
  <si>
    <t>REL053000 RELIGION / Christianity / Protestant</t>
  </si>
  <si>
    <t>978-1-3995-2328-8</t>
  </si>
  <si>
    <t>Filming Death</t>
  </si>
  <si>
    <t>End-of-Life Documentary Cinema</t>
  </si>
  <si>
    <t>Filming Death E-BOOK</t>
  </si>
  <si>
    <t>Hakola, Outi</t>
  </si>
  <si>
    <t>978-1-4744-8299-8</t>
  </si>
  <si>
    <t>Governance and Islam in East Africa</t>
  </si>
  <si>
    <t>Muslims and the State</t>
  </si>
  <si>
    <t>Governance and Islam in East Africa E-BOOK</t>
  </si>
  <si>
    <t>Topan, Farouk / Mwakimako, Hassan / Kresse, Kai / Stiles, Erin E.</t>
  </si>
  <si>
    <t>978-1-4744-7724-6</t>
  </si>
  <si>
    <t>Democracy and Defiance</t>
  </si>
  <si>
    <t>Rancière, Lefort, Abensour and the Antinomies of Politics</t>
  </si>
  <si>
    <t>Democracy and Defiance E-BOOK</t>
  </si>
  <si>
    <t>Nelson, Bryan</t>
  </si>
  <si>
    <t>978-1-3995-1167-4</t>
  </si>
  <si>
    <t>Theatricality and the Arts</t>
  </si>
  <si>
    <t>Film, Theatre, Art</t>
  </si>
  <si>
    <t>Theatricality and the Arts E-BOOK</t>
  </si>
  <si>
    <t>Quick, Andrew / Rushton, Richard</t>
  </si>
  <si>
    <t>978-1-3995-2081-2</t>
  </si>
  <si>
    <t>Reading Espionage Fiction</t>
  </si>
  <si>
    <t>Narrative, Conflict and Commitment from World War I to the Contemporary Era</t>
  </si>
  <si>
    <t>Reading Espionage Fiction E-BOOK</t>
  </si>
  <si>
    <t>Griffin, Martin</t>
  </si>
  <si>
    <t>978-1-3995-2818-4</t>
  </si>
  <si>
    <t>Christianity in Western and Northern Europe</t>
  </si>
  <si>
    <t>Christianity in Western and Northern Europe E-BOOK</t>
  </si>
  <si>
    <t>R. Ross, Kenneth / Mayer, Annemarie C / Johnson, Todd M.</t>
  </si>
  <si>
    <t>REL108000 RELIGION / Christian Church / General</t>
  </si>
  <si>
    <t>978-1-3995-3040-8</t>
  </si>
  <si>
    <t>The Materiality of Diplomacy in the Hellenistic-Roman Mediterranean</t>
  </si>
  <si>
    <t>Gifts, Bribes, Offerings</t>
  </si>
  <si>
    <t>The Materiality of Diplomacy in the Hellenistic-Roman E-BOOK</t>
  </si>
  <si>
    <t>Sánchez Moreno, Eduardo / García Riaza, Enrique</t>
  </si>
  <si>
    <t>Edinburgh Studies in Hellenistic History and Culture</t>
  </si>
  <si>
    <t>EBOOK PACKAGE Classical Studies 2024 | EBOOK PACKAGE Classical Studies 2024 ENG | Edinburgh University Press Complete eBook-Package 2024</t>
  </si>
  <si>
    <t>978-1-3995-3052-1</t>
  </si>
  <si>
    <t>Democratic Thought from Machiavelli to Spinoza</t>
  </si>
  <si>
    <t>Freedom, Equality, Multitude</t>
  </si>
  <si>
    <t>Democratic Thought from Machiavelli to Spinoza E-BOOK</t>
  </si>
  <si>
    <t>Lavaert, Sonja</t>
  </si>
  <si>
    <t>978-1-3995-4384-2</t>
  </si>
  <si>
    <t>The Private Memoirs and Confessions of a Justified Sinner</t>
  </si>
  <si>
    <t>The Private Memoirs and Confessions of a Justified Si E-BOOK</t>
  </si>
  <si>
    <t>Hogg, JamesGarside, P. D.</t>
  </si>
  <si>
    <t>978-1-3995-3587-8</t>
  </si>
  <si>
    <t>Joseph Conrad and the Narration of Silence</t>
  </si>
  <si>
    <t>Joseph Conrad and the Narration of Silence E-BOOK</t>
  </si>
  <si>
    <t>Peters, John</t>
  </si>
  <si>
    <t>978-1-3995-2636-4</t>
  </si>
  <si>
    <t>Traveller Storytelling in Scotland</t>
  </si>
  <si>
    <t>Folklore, Ideology, Cultural Identity</t>
  </si>
  <si>
    <t>Traveller Storytelling in Scotland E-BOOK</t>
  </si>
  <si>
    <t>Fell, Robert</t>
  </si>
  <si>
    <t>978-1-3995-3691-2</t>
  </si>
  <si>
    <t>Migration and the Rise of the United States</t>
  </si>
  <si>
    <t>The Role of Old and New Diasporas</t>
  </si>
  <si>
    <t>Migration and the Rise of the United States E-BOOK</t>
  </si>
  <si>
    <t>Tigau, Camelia / Pande, Amba</t>
  </si>
  <si>
    <t>Sociology of Migration</t>
  </si>
  <si>
    <t>EBOOK PACKAGE Sociology 2024 | EBOOK PACKAGE Sociology 2024 ENG | Edinburgh University Press Complete eBook-Package 2025</t>
  </si>
  <si>
    <t>978-1-3995-3519-9</t>
  </si>
  <si>
    <t>Alfred Hitchcock and Film Noir</t>
  </si>
  <si>
    <t>The Darker Side</t>
  </si>
  <si>
    <t>Alfred Hitchcock and Film Noir E-BOOK</t>
  </si>
  <si>
    <t>Pettey, Homer B. / Barton Palmer, R.</t>
  </si>
  <si>
    <t>978-1-3995-2011-9</t>
  </si>
  <si>
    <t>ReFocus: The Films of Abel Ferrara</t>
  </si>
  <si>
    <t>ReFocus: The Films of Abel Ferrara E-BOOK</t>
  </si>
  <si>
    <t>Zappe, Florian</t>
  </si>
  <si>
    <t>EBOOK PACKAGE Arts 2024 | EBOOK PACKAGE Arts 2024 ENG | Edinburgh University Press Complete eBook-Package 2025</t>
  </si>
  <si>
    <t>978-1-3995-3918-0</t>
  </si>
  <si>
    <t>Katherine Mansfield and London</t>
  </si>
  <si>
    <t>Katherine Mansfield and London E-BOOK</t>
  </si>
  <si>
    <t>Kimber, Gerri / Gasston, Aimée</t>
  </si>
  <si>
    <t>978-1-3995-3807-7</t>
  </si>
  <si>
    <t>On Fiction and Being a Good Animal</t>
  </si>
  <si>
    <t>On Fiction and Being a Good Animal E-BOOK</t>
  </si>
  <si>
    <t>Rando, David</t>
  </si>
  <si>
    <t>978-1-4744-9792-3</t>
  </si>
  <si>
    <t>Pop Cinema</t>
  </si>
  <si>
    <t>Pop Cinema E-BOOK</t>
  </si>
  <si>
    <t>David, Glyn / Day, Tom</t>
  </si>
  <si>
    <t>978-1-4744-8903-4</t>
  </si>
  <si>
    <t>Spinoza and Contemporary Biology</t>
  </si>
  <si>
    <t>Lectures on the Philosophy of Biology and Cognitivism</t>
  </si>
  <si>
    <t>Spinoza and Contemporary Biology E-BOOK</t>
  </si>
  <si>
    <t>Atlan, HenriBoncardo, Robert</t>
  </si>
  <si>
    <t>978-1-3995-2137-6</t>
  </si>
  <si>
    <t>Philanthropy in Children’s Periodicals, 1840–1930</t>
  </si>
  <si>
    <t>The Charitable Child</t>
  </si>
  <si>
    <t>Philanthropy in Children’s Periodicals, 1840–1930 E-BOOK</t>
  </si>
  <si>
    <t>Moruzi, Kristine</t>
  </si>
  <si>
    <t>978-1-3995-3635-6</t>
  </si>
  <si>
    <t>Deleuze, Mathematics, Metaphysics</t>
  </si>
  <si>
    <t>Difference and Necessity</t>
  </si>
  <si>
    <t>Deleuze, Mathematics, Metaphysics E-BOOK</t>
  </si>
  <si>
    <t>Ardoline, Michael J.</t>
  </si>
  <si>
    <t>978-1-3995-3454-3</t>
  </si>
  <si>
    <t>Reading Alice Munro’s Breakthrough Books</t>
  </si>
  <si>
    <t>A Suite in Four Voices</t>
  </si>
  <si>
    <t>Reading Alice Munro’s Breakthrough Books E-BOOK</t>
  </si>
  <si>
    <t>Struthers, J.R. (Tim) / Cox, Ailsa / Bigot, Corinne</t>
  </si>
  <si>
    <t>978-1-3995-1658-7</t>
  </si>
  <si>
    <t>Shakespeare and Wisdom</t>
  </si>
  <si>
    <t>Ecumenical, Ecological and Ethical Horizons</t>
  </si>
  <si>
    <t>Shakespeare and Wisdom E-BOOK</t>
  </si>
  <si>
    <t>Reinhard Lupton, Julia / Park Langis, Unhae</t>
  </si>
  <si>
    <t>978-1-4744-8734-4</t>
  </si>
  <si>
    <t>The Adventures of Sherlock Holmes</t>
  </si>
  <si>
    <t>The Adventures of Sherlock Holmes E-BOOK</t>
  </si>
  <si>
    <t>Conan Doyle, ArthurGlazzard, Andrew</t>
  </si>
  <si>
    <t>978-1-4744-8206-6</t>
  </si>
  <si>
    <t>Brevity and the Short Form in Serial Television</t>
  </si>
  <si>
    <t>Brevity and the Short Form in Serial Television E-BOOK</t>
  </si>
  <si>
    <t>Bataille, Florence Cabaret / Shannon Wells-Lassagne, Sylvaine</t>
  </si>
  <si>
    <t>978-1-3995-2774-3</t>
  </si>
  <si>
    <t>Populism and Time</t>
  </si>
  <si>
    <t>Temporalities of a Disruptive Politics</t>
  </si>
  <si>
    <t>Populism and Time E-BOOK</t>
  </si>
  <si>
    <t>Knott, Andy</t>
  </si>
  <si>
    <t>978-1-3995-2427-8</t>
  </si>
  <si>
    <t>Palace Gardens in Lower Mesopotamia</t>
  </si>
  <si>
    <t>8th to 11th Centuries</t>
  </si>
  <si>
    <t>Palace Gardens in Lower Mesopotamia E-BOOK</t>
  </si>
  <si>
    <t>Mahmoudian, Safa</t>
  </si>
  <si>
    <t>EBOOK PACKAGE Architecture and Design 2024 | EBOOK PACKAGE Architecture and Design 2024 ENG | Edinburgh University Press Complete eBook-Package 2025</t>
  </si>
  <si>
    <t>978-1-3995-2332-5</t>
  </si>
  <si>
    <t>Hybrid Images and the Vanishing Point of Digital Visual Effects</t>
  </si>
  <si>
    <t>Hybrid Images and the Vanishing Point of Digital Visu E-BOOK</t>
  </si>
  <si>
    <t>Livingstone, Tom</t>
  </si>
  <si>
    <t>978-1-3995-2648-7</t>
  </si>
  <si>
    <t>Women, Wealth and the State in Early Colonial India</t>
  </si>
  <si>
    <t>The Begams of Awadh</t>
  </si>
  <si>
    <t>Women, Wealth and the State in Early Colonial India E-BOOK</t>
  </si>
  <si>
    <t>Abbott, Nicholas J.</t>
  </si>
  <si>
    <t>States Before Modernity</t>
  </si>
  <si>
    <t>EBOOK PACKAGE History 2024 | EBOOK PACKAGE History 2024 ENG | Edinburgh University Press Complete eBook-Package 2025</t>
  </si>
  <si>
    <t>978-1-3995-2838-2</t>
  </si>
  <si>
    <t>The Reader in Modernist Fiction</t>
  </si>
  <si>
    <t>The Reader in Modernist Fiction E-BOOK</t>
  </si>
  <si>
    <t>Richardson, Brian</t>
  </si>
  <si>
    <t>978-1-3995-0470-6</t>
  </si>
  <si>
    <t>Gibran Khalil Gibran as Arab World Literature</t>
  </si>
  <si>
    <t>Gibran Khalil Gibran as Arab World Literature E-BOOK</t>
  </si>
  <si>
    <t>Arslane, Ghazouane</t>
  </si>
  <si>
    <t>978-1-3995-2592-3</t>
  </si>
  <si>
    <t>Gezi</t>
  </si>
  <si>
    <t>The Making of a New Political Community in Turkey</t>
  </si>
  <si>
    <t>Gezi E-BOOK</t>
  </si>
  <si>
    <t>Ağartan, Kaan</t>
  </si>
  <si>
    <t>978-1-4744-8266-0</t>
  </si>
  <si>
    <t>The Talent Management of Indie Authorship</t>
  </si>
  <si>
    <t>From American independent cinema and short “films” to pay-TV and streaming</t>
  </si>
  <si>
    <t>The Talent Management of Indie Authorship E-BOOK</t>
  </si>
  <si>
    <t>Stubbs-Lacy, Andrew</t>
  </si>
  <si>
    <t>978-1-3995-1300-5</t>
  </si>
  <si>
    <t>Gender in Scotland, 1200-1800</t>
  </si>
  <si>
    <t>Place, Faith and Politics</t>
  </si>
  <si>
    <t>Gender in Scotland, 1200-1800 E-BOOK</t>
  </si>
  <si>
    <t>Cowan, Mairi / Nugent, Janay / Spence, Cathryn</t>
  </si>
  <si>
    <t>978-1-3995-1727-0</t>
  </si>
  <si>
    <t>Deleuze, Digital Media and Thought</t>
  </si>
  <si>
    <t>Deleuze, Digital Media and Thought E-BOOK</t>
  </si>
  <si>
    <t>Deane-Freeman, Timothy</t>
  </si>
  <si>
    <t>978-1-3995-3651-6</t>
  </si>
  <si>
    <t>Coalfield Justice</t>
  </si>
  <si>
    <t>The 1984-85 Miners' Strike in Scotland</t>
  </si>
  <si>
    <t>Coalfield Justice E-BOOK</t>
  </si>
  <si>
    <t>978-1-3995-2073-7</t>
  </si>
  <si>
    <t>Mecca in Morocco</t>
  </si>
  <si>
    <t>Articulations of Muslim Pilgrimage in Moroccan Everyday Life</t>
  </si>
  <si>
    <t>Mecca in Morocco E-BOOK</t>
  </si>
  <si>
    <t>Al-Ajarma, Kholoud</t>
  </si>
  <si>
    <t>978-1-3995-2015-7</t>
  </si>
  <si>
    <t>Armchair Cinema</t>
  </si>
  <si>
    <t>A History of Feature Films on British Television, 1929-1981</t>
  </si>
  <si>
    <t>Armchair Cinema E-BOOK</t>
  </si>
  <si>
    <t>Hall, Sheldon</t>
  </si>
  <si>
    <t>978-1-3995-2668-5</t>
  </si>
  <si>
    <t>Religion, Politics and Society in Modern Turkey</t>
  </si>
  <si>
    <t>1808-2023</t>
  </si>
  <si>
    <t>Religion, Politics and Society in Modern Turkey E-BOOK</t>
  </si>
  <si>
    <t>Gözaydin, Istar</t>
  </si>
  <si>
    <t>978-1-3995-1469-9</t>
  </si>
  <si>
    <t>ReFocus: The Films of Agnieszka Holland</t>
  </si>
  <si>
    <t>Transnational Nomadism</t>
  </si>
  <si>
    <t>ReFocus: The Films of Agnieszka Holland E-BOOK</t>
  </si>
  <si>
    <t>Ostrowska, Elzbieta</t>
  </si>
  <si>
    <t>978-1-3995-2478-0</t>
  </si>
  <si>
    <t>Reimagining Constancy in the English Civil Wars</t>
  </si>
  <si>
    <t>Reimagining Constancy in the English Civil Wars E-BOOK</t>
  </si>
  <si>
    <t>Zhang, Rachel</t>
  </si>
  <si>
    <t>LIT019000 LITERARY CRITICISM / Renaissance</t>
  </si>
  <si>
    <t>978-1-3995-2405-6</t>
  </si>
  <si>
    <t>ReFocus: The Films of Larisa Shepitko</t>
  </si>
  <si>
    <t>ReFocus: The Films of Larisa Shepitko E-BOOK</t>
  </si>
  <si>
    <t>Oukaderova, Lida</t>
  </si>
  <si>
    <t>978-1-3995-1199-5</t>
  </si>
  <si>
    <t>The Spirit of Aristophanes</t>
  </si>
  <si>
    <t>The Spirit of Aristophanes E-BOOK</t>
  </si>
  <si>
    <t>Dixon, Dustin W / English, Mary C</t>
  </si>
  <si>
    <t>DRA006000 DRAMA / Ancient &amp; Classical</t>
  </si>
  <si>
    <t>978-1-3995-3511-3</t>
  </si>
  <si>
    <t>Questioning Sexuality</t>
  </si>
  <si>
    <t>From Psychoanalysis to Gender Theory and Beyond</t>
  </si>
  <si>
    <t>Questioning Sexuality E-BOOK</t>
  </si>
  <si>
    <t>978-1-3995-2442-1</t>
  </si>
  <si>
    <t>The Double Life of Books</t>
  </si>
  <si>
    <t>Making and Re-Making the Reader</t>
  </si>
  <si>
    <t>The Double Life of Books E-BOOK</t>
  </si>
  <si>
    <t>McDonald, Peter D</t>
  </si>
  <si>
    <t>978-1-3995-1943-4</t>
  </si>
  <si>
    <t>Mobilising China's One-Child Generation</t>
  </si>
  <si>
    <t>Education, Nationalism and Youth Militarisation in the PRC</t>
  </si>
  <si>
    <t>Mobilising China's One-Child Generation E-BOOK</t>
  </si>
  <si>
    <t>Naftali, Orna</t>
  </si>
  <si>
    <t>978-1-3995-3450-5</t>
  </si>
  <si>
    <t>Reading the River in Shakespeare’s Britain</t>
  </si>
  <si>
    <t>Reading the River in Shakespeare’s Britain E-BOOK</t>
  </si>
  <si>
    <t>Angus, Bill / Hopkins, Lisa</t>
  </si>
  <si>
    <t>978-1-4744-9281-2</t>
  </si>
  <si>
    <t>The Cultural Politics of Veterans’ Narratives</t>
  </si>
  <si>
    <t>Beyond the Wire</t>
  </si>
  <si>
    <t>The Cultural Politics of Veterans’ Narratives E-BOOK</t>
  </si>
  <si>
    <t>Caddick, Nick</t>
  </si>
  <si>
    <t>978-1-3995-2270-0</t>
  </si>
  <si>
    <t>Human Spoken Interaction as a Complex Adaptive System</t>
  </si>
  <si>
    <t>A Longitudinal Study of L2 Interaction</t>
  </si>
  <si>
    <t>Human Spoken Interaction as a Complex Adaptive System E-BOOK</t>
  </si>
  <si>
    <t>Siegel, Aki / Seedhouse, Paul</t>
  </si>
  <si>
    <t>978-1-3995-1402-6</t>
  </si>
  <si>
    <t>British Writers, Popular Literature and New Media Innovation, 1820–45</t>
  </si>
  <si>
    <t>British Writers, Popular Literature and New Media Inn E-BOOK</t>
  </si>
  <si>
    <t>978-1-3995-3286-0</t>
  </si>
  <si>
    <t>Temporality and Progress in Victorian Literature</t>
  </si>
  <si>
    <t>Temporality and Progress in Victorian Literature E-BOOK</t>
  </si>
  <si>
    <t>McAdams, Ruth M.</t>
  </si>
  <si>
    <t>EBOOK PACKAGE Literary Studies 2024 | EBOOK PACKAGE Literary Studies 2024 ENG | Edinburgh University Press Complete eBook-Package 2025</t>
  </si>
  <si>
    <t>978-1-3995-3971-5</t>
  </si>
  <si>
    <t>Post-Exceptionalism</t>
  </si>
  <si>
    <t>Art After Political Theology</t>
  </si>
  <si>
    <t>Post-Exceptionalism E-BOOK</t>
  </si>
  <si>
    <t>978-1-3995-0695-3</t>
  </si>
  <si>
    <t>Girls' Hairstories</t>
  </si>
  <si>
    <t>Resilience and Sparkle in Contemporary Screen Cultures</t>
  </si>
  <si>
    <t>Girls' Hairstories E-BOOK</t>
  </si>
  <si>
    <t>Handyside, Fiona</t>
  </si>
  <si>
    <t>978-1-3995-3503-8</t>
  </si>
  <si>
    <t>Catastrophic Technology in Cold War Political Thought</t>
  </si>
  <si>
    <t>Catastrophic Technology in Cold War Political Thought E-BOOK</t>
  </si>
  <si>
    <t>Ashcroft, Caroline</t>
  </si>
  <si>
    <t>978-1-3995-4115-2</t>
  </si>
  <si>
    <t>Sublime Reciprocity in Milton, Kant and Wordsworth</t>
  </si>
  <si>
    <t>Light Out of Darkness</t>
  </si>
  <si>
    <t>Sublime Reciprocity in Milton, Kant and Wordsworth E-BOOK</t>
  </si>
  <si>
    <t>978-1-3995-2786-6</t>
  </si>
  <si>
    <t>World Englishes in the 21st Century</t>
  </si>
  <si>
    <t>New Perspectives and Challenges to the Dynamic Model</t>
  </si>
  <si>
    <t>World Englishes in the 21st Century E-BOOK</t>
  </si>
  <si>
    <t>Buschfeld, Sarah / Leuckert, Sven / Neumaier, Theresa / Rüdiger, Sofia</t>
  </si>
  <si>
    <t>New Directions in World Englishes Research</t>
  </si>
  <si>
    <t>978-1-3995-0533-8</t>
  </si>
  <si>
    <t>Contemporary Encounters with Ancient Practice</t>
  </si>
  <si>
    <t>Contemporary Encounters with Ancient Practice E-BOOK</t>
  </si>
  <si>
    <t>Effective Open Access 30.07.2024</t>
  </si>
  <si>
    <t>Mesing, Dave / Greenstone, Abraham Jacob / Johnson, Ryan J.</t>
  </si>
  <si>
    <t>EBOOK PACKAGE Classical Studies 2024 | EBOOK PACKAGE Classical Studies 2024 ENG | Edinburgh University Press Complete eBook-Package 2025</t>
  </si>
  <si>
    <t>978-1-3995-3527-4</t>
  </si>
  <si>
    <t>Informality and Courts</t>
  </si>
  <si>
    <t>Comparative Perspectives</t>
  </si>
  <si>
    <t>Informality and Courts E-BOOK</t>
  </si>
  <si>
    <t>Stroh-Steckelberg, Alexander / Dressel, Björn / Sanchez-Urribarri, Raul</t>
  </si>
  <si>
    <t>EBOOK PACKAGE Law 2024 | EBOOK PACKAGE Law 2024 ENG | Edinburgh University Press Complete eBook-Package 2025</t>
  </si>
  <si>
    <t>978-1-3995-0145-3</t>
  </si>
  <si>
    <t>Shirley Clarke</t>
  </si>
  <si>
    <t>Thinking Through Movement</t>
  </si>
  <si>
    <t>Shirley Clarke E-BOOK</t>
  </si>
  <si>
    <t>Effective Open Access 29.07.2024</t>
  </si>
  <si>
    <t>Pearlman, Karen</t>
  </si>
  <si>
    <t>Women Filmmakers</t>
  </si>
  <si>
    <t>978-1-3995-1670-9</t>
  </si>
  <si>
    <t>Virginia Woolf and the Anthropocene</t>
  </si>
  <si>
    <t>Virginia Woolf and the Anthropocene E-BOOK</t>
  </si>
  <si>
    <t>Virginia Woolf – Variations</t>
  </si>
  <si>
    <t>978-1-3995-1410-1</t>
  </si>
  <si>
    <t>Virginia Woolf and Capitalism</t>
  </si>
  <si>
    <t>Virginia Woolf and Capitalism E-BOOK</t>
  </si>
  <si>
    <t>978-1-3995-2454-4</t>
  </si>
  <si>
    <t>The Korean War Novel</t>
  </si>
  <si>
    <t>Rewriting History from the Civil War to the Post-Cold War</t>
  </si>
  <si>
    <t>The Korean War Novel E-BOOK</t>
  </si>
  <si>
    <t>Koo Rhee, Suk</t>
  </si>
  <si>
    <t>978-1-3995-4447-4</t>
  </si>
  <si>
    <t>Avizandum Statutes on Scots Family Law</t>
  </si>
  <si>
    <t>2024-2025, 22nd edition</t>
  </si>
  <si>
    <t>Avizandum Statutes on Scots Family Law E-BOOK</t>
  </si>
  <si>
    <t>Mair, Jane</t>
  </si>
  <si>
    <t>978-1-3995-4367-5</t>
  </si>
  <si>
    <t>Beyond States and Spies</t>
  </si>
  <si>
    <t>The Security Intelligence Services of the Private Sector</t>
  </si>
  <si>
    <t>Beyond States and Spies E-BOOK</t>
  </si>
  <si>
    <t>Sage-Passant, Lewis</t>
  </si>
  <si>
    <t>978-1-3995-3743-8</t>
  </si>
  <si>
    <t>The Populist Style</t>
  </si>
  <si>
    <t>Trump, Le Pen and Performances of the Far Right</t>
  </si>
  <si>
    <t>The Populist Style E-BOOK</t>
  </si>
  <si>
    <t>Aiolfi, Théo</t>
  </si>
  <si>
    <t>978-1-3995-0683-0</t>
  </si>
  <si>
    <t>Life Writing and the Nineteenth-Century Literary Market</t>
  </si>
  <si>
    <t>Life Writing and the Nineteenth-Century Literary Mark E-BOOK</t>
  </si>
  <si>
    <t>Grass, Sean</t>
  </si>
  <si>
    <t>978-1-3995-3430-7</t>
  </si>
  <si>
    <t>The Semi-Future Democracy</t>
  </si>
  <si>
    <t>A Liberal Theory of the Long-Term View</t>
  </si>
  <si>
    <t>The Semi-Future Democracy E-BOOK</t>
  </si>
  <si>
    <t>Santos Campos, Andre</t>
  </si>
  <si>
    <t>978-1-3995-3902-9</t>
  </si>
  <si>
    <t>Political Legitimacy and Traditional Values in Putin's Russia</t>
  </si>
  <si>
    <t>Political Legitimacy and Traditional Values in Putin' E-BOOK</t>
  </si>
  <si>
    <t>Blakkisrud, Helge / Kolstø, Pål</t>
  </si>
  <si>
    <t>978-1-3995-4371-2</t>
  </si>
  <si>
    <t>Shakespeare High and Low</t>
  </si>
  <si>
    <t>Character, Audience, Career</t>
  </si>
  <si>
    <t>Shakespeare High and Low E-BOOK</t>
  </si>
  <si>
    <t>Knapp, Jeffrey</t>
  </si>
  <si>
    <t>978-1-3995-3889-3</t>
  </si>
  <si>
    <t>Chinese Literature in English Sinology</t>
  </si>
  <si>
    <t>Cultural Translation of Literary Knowledge, 1807–1901</t>
  </si>
  <si>
    <t>Chinese Literature in English Sinology E-BOOK</t>
  </si>
  <si>
    <t>Ji, Lingjie</t>
  </si>
  <si>
    <t>LIT008010 LITERARY CRITICISM / Asian / Chinese</t>
  </si>
  <si>
    <t>978-1-3995-3663-9</t>
  </si>
  <si>
    <t>Deformations of Democracy</t>
  </si>
  <si>
    <t>David Beetham in Contemporary Politics</t>
  </si>
  <si>
    <t>Deformations of Democracy E-BOOK</t>
  </si>
  <si>
    <t>Schwarzmantel, John / Beetham, Helen</t>
  </si>
  <si>
    <t>978-1-3995-1509-2</t>
  </si>
  <si>
    <t>Mike McConville, Wing Hong (Eric) Chui</t>
  </si>
  <si>
    <t>978-1-3995-2862-7</t>
  </si>
  <si>
    <t>Armenians and Land Disputes in the Ottoman Empire, 1850–1914</t>
  </si>
  <si>
    <t>Armenians and Land Disputes in the Ottoman Empire, 18 E-BOOK</t>
  </si>
  <si>
    <t>Polatel, Mehmet</t>
  </si>
  <si>
    <t>978-1-3995-1481-1</t>
  </si>
  <si>
    <t>Legal Temporalities of Sexual Consent</t>
  </si>
  <si>
    <t>Legal Temporalities of Sexual Consent E-BOOK</t>
  </si>
  <si>
    <t>Derry, Caroline</t>
  </si>
  <si>
    <t>978-1-3995-3983-8</t>
  </si>
  <si>
    <t>French Technological Thought and the Nonhuman Turn</t>
  </si>
  <si>
    <t>French Technological Thought and the Nonhuman Turn E-BOOK</t>
  </si>
  <si>
    <t>Chalmers, Madeleine</t>
  </si>
  <si>
    <t>978-1-3995-1107-0</t>
  </si>
  <si>
    <t>The New Russian Documentary</t>
  </si>
  <si>
    <t>Reclaiming Reality in the Age of Authoritarianism</t>
  </si>
  <si>
    <t>The New Russian Documentary E-BOOK</t>
  </si>
  <si>
    <t>Shpolberg, Masha / Kostina, Anastasia</t>
  </si>
  <si>
    <t>978-1-3995-3418-5</t>
  </si>
  <si>
    <t>US-China Rivalry</t>
  </si>
  <si>
    <t>Great Power Competition in the Indo-Pacific</t>
  </si>
  <si>
    <t>US-China Rivalry E-BOOK</t>
  </si>
  <si>
    <t>Fong, Brian C. H.</t>
  </si>
  <si>
    <t>978-1-3995-2316-5</t>
  </si>
  <si>
    <t>The Ecology of Dress in Shakespeare and His Contemporaries</t>
  </si>
  <si>
    <t>The Ecology of Dress in Shakespeare and His Contempor E-BOOK</t>
  </si>
  <si>
    <t>Sophie Chiari, Anne-Marie Miller-Blaise</t>
  </si>
  <si>
    <t>978-1-3995-2035-5</t>
  </si>
  <si>
    <t>The Housing Film</t>
  </si>
  <si>
    <t>The Housing Film E-BOOK</t>
  </si>
  <si>
    <t>Rodger, Johnny</t>
  </si>
  <si>
    <t>978-1-3995-1739-3</t>
  </si>
  <si>
    <t>Irish and Scottish Art, c. 900-1900</t>
  </si>
  <si>
    <t>Survivals and Revivals</t>
  </si>
  <si>
    <t>Irish and Scottish Art, c. 900-1900 E-BOOK</t>
  </si>
  <si>
    <t>Moss, Rachel / Pulliam, Heather</t>
  </si>
  <si>
    <t>978-1-3995-3470-3</t>
  </si>
  <si>
    <t>Legitimacy in Liberal Democracies</t>
  </si>
  <si>
    <t>Legitimacy in Liberal Democracies E-BOOK</t>
  </si>
  <si>
    <t>Studebaker, Benjamin M.</t>
  </si>
  <si>
    <t>978-1-3995-1139-1</t>
  </si>
  <si>
    <t>Television and the Moving Body</t>
  </si>
  <si>
    <t>Television and the Moving Body E-BOOK</t>
  </si>
  <si>
    <t>Shacklock, Zoë</t>
  </si>
  <si>
    <t>978-1-3995-1083-7</t>
  </si>
  <si>
    <t>Tawātur in Islamic Thought</t>
  </si>
  <si>
    <t>Transmission, Certitude and Orthodoxy</t>
  </si>
  <si>
    <t>Tawātur in Islamic Thought E-BOOK</t>
  </si>
  <si>
    <t>Laher, Suheil</t>
  </si>
  <si>
    <t>EBOOK PACKAGE Theology and Religious St, Jewish St 2024 | EBOOK PACKAGE Theology and Religious St, Jewish St 2024 ENG | Edinburgh University Press Complete eBook-Package 2025</t>
  </si>
  <si>
    <t>978-1-3995-2047-8</t>
  </si>
  <si>
    <t>Machiavellian Ontology</t>
  </si>
  <si>
    <t>Political Conflict and Philosophy</t>
  </si>
  <si>
    <t>Machiavellian Ontology E-BOOK</t>
  </si>
  <si>
    <t>Marchesi, Francesco</t>
  </si>
  <si>
    <t>978-1-3995-4462-7</t>
  </si>
  <si>
    <t>Avizandum Statutes on Scots Property, Trusts and Succession Law</t>
  </si>
  <si>
    <t>2024-2025, 21st edition</t>
  </si>
  <si>
    <t>Avizandum Statutes on Scots Property, Trusts and Succ E-BOOK</t>
  </si>
  <si>
    <t>Wortley, Scott / Steven, Andrew J. M.</t>
  </si>
  <si>
    <t>978-1-3995-2195-6</t>
  </si>
  <si>
    <t>The History of Architectural Education in the Middle East and North Africa</t>
  </si>
  <si>
    <t>The History of Architectural Education in the Middle  E-BOOK</t>
  </si>
  <si>
    <t>Karim, Farhan / Gharipour, Mohammad</t>
  </si>
  <si>
    <t>978-1-3995-4493-1</t>
  </si>
  <si>
    <t>A Practitioner’s Handbook, 2024-2025</t>
  </si>
  <si>
    <t>LAW010000 LAW / Child Advocacy</t>
  </si>
  <si>
    <t>978-1-4744-8915-7</t>
  </si>
  <si>
    <t>Deleuze, Philosophy and the Creation of Concepts</t>
  </si>
  <si>
    <t>Deleuze, Philosophy and the Creation of Concepts E-BOOK</t>
  </si>
  <si>
    <t>Cherniavsky, Axel</t>
  </si>
  <si>
    <t>978-1-4744-8762-7</t>
  </si>
  <si>
    <t>The Edinburgh Companion to the Brontës and the Arts</t>
  </si>
  <si>
    <t>The Edinburgh Companion to the Brontës and the Arts E-BOOK</t>
  </si>
  <si>
    <t>Regis, Amber K. / Wynne, Deborah</t>
  </si>
  <si>
    <t>978-1-4744-7918-9</t>
  </si>
  <si>
    <t>Spatial Agency and Occupation</t>
  </si>
  <si>
    <t>Migrant Domestic Workers in Hong Kong</t>
  </si>
  <si>
    <t>Spatial Agency and Occupation E-BOOK</t>
  </si>
  <si>
    <t>Kwok, Evelyn</t>
  </si>
  <si>
    <t>978-1-3995-2973-0</t>
  </si>
  <si>
    <t>From Data to Theories, 2nd Edition</t>
  </si>
  <si>
    <t>Scalise, Sergio / Fábregas, Antonio</t>
  </si>
  <si>
    <t>978-1-3995-2389-9</t>
  </si>
  <si>
    <t>Keeping to the Point in Athenian Forensic Oratory</t>
  </si>
  <si>
    <t>Law, Character and Rhetoric</t>
  </si>
  <si>
    <t>Keeping to the Point in Athenian Forensic Oratory E-BOOK</t>
  </si>
  <si>
    <t>Esu, Alberto / Harris, Edward M</t>
  </si>
  <si>
    <t>978-1-3995-3731-5</t>
  </si>
  <si>
    <t>Ancient Greek Democracy and American Republicanism</t>
  </si>
  <si>
    <t>Prometheus in Political Theory</t>
  </si>
  <si>
    <t>Ancient Greek Democracy and American Republicanism E-BOOK</t>
  </si>
  <si>
    <t>Theodosiadis, Michail</t>
  </si>
  <si>
    <t>978-1-4744-9436-6</t>
  </si>
  <si>
    <t>Whiteness, Feminism and the Absurd in Contemporary British and US Poetry</t>
  </si>
  <si>
    <t>Whiteness, Feminism and the Absurd in Contemporary Br E-BOOK</t>
  </si>
  <si>
    <t>Clake, Jenna</t>
  </si>
  <si>
    <t>978-1-3995-2093-5</t>
  </si>
  <si>
    <t>Virginia Woolf and Motherhood</t>
  </si>
  <si>
    <t>Virginia Woolf and Motherhood E-BOOK</t>
  </si>
  <si>
    <t>Suppé, Charlotte Taylor</t>
  </si>
  <si>
    <t>978-1-3995-4382-8</t>
  </si>
  <si>
    <t>Moderns – Chaucer to Contemporary Fiction</t>
  </si>
  <si>
    <t>Moderns – Chaucer to Contemporary Fiction E-BOOK</t>
  </si>
  <si>
    <t>Lee, Robert A.</t>
  </si>
  <si>
    <t xml:space="preserve">LIT024000 LITERARY CRITICISM / Modern / General </t>
  </si>
  <si>
    <t>978-1-3995-2858-0</t>
  </si>
  <si>
    <t>David Brewster and the Culture of Science in Scotland, 1793–1843</t>
  </si>
  <si>
    <t>David Brewster and the Culture of Science in Scotland E-BOOK</t>
  </si>
  <si>
    <t>978-1-3995-2203-8</t>
  </si>
  <si>
    <t>The Birth and Evolution of Islamic Political Theory</t>
  </si>
  <si>
    <t>Political Rationalism from Ibn al-Muqaffa to Ibn Khaldun</t>
  </si>
  <si>
    <t>The Birth and Evolution of Islamic Political Theory E-BOOK</t>
  </si>
  <si>
    <t>Bacık, Gökhan</t>
  </si>
  <si>
    <t>978-1-3995-2830-6</t>
  </si>
  <si>
    <t>Narrating Irish Female Development, 1916–2018</t>
  </si>
  <si>
    <t>Narrating Irish Female Development, 1916–2018 E-BOOK</t>
  </si>
  <si>
    <t>Dougherty, Jane Elizabeth</t>
  </si>
  <si>
    <t>978-1-3995-1816-1</t>
  </si>
  <si>
    <t>The Orange Order</t>
  </si>
  <si>
    <t>A Global History</t>
  </si>
  <si>
    <t>The Orange Order E-BOOK</t>
  </si>
  <si>
    <t>Coleman, Patrick</t>
  </si>
  <si>
    <t>978-1-3995-1959-5</t>
  </si>
  <si>
    <t>Nancy Fraser and Politics</t>
  </si>
  <si>
    <t>Nancy Fraser and Politics E-BOOK</t>
  </si>
  <si>
    <t>Zarić, Zona /  Ivković, Marjan</t>
  </si>
  <si>
    <t>9</t>
  </si>
  <si>
    <t>EBOOK PACKAGE Cultural and Area Studies 2024 | EBOOK PACKAGE Cultural and Area Studies 2024 ENG | Edinburgh University Press Complete eBook-Package 2025</t>
  </si>
  <si>
    <t>978-1-3995-4424-5</t>
  </si>
  <si>
    <t>Avizandum Statutes on Scots Commercial and Consumer Law</t>
  </si>
  <si>
    <t>2024-2025</t>
  </si>
  <si>
    <t>Avizandum Statutes on Scots Commercial and Consumer L E-BOOK</t>
  </si>
  <si>
    <t>MacPherson, Alisdair D. J.</t>
  </si>
  <si>
    <t>978-1-3995-3523-6</t>
  </si>
  <si>
    <t>Jamaican Creole in Global Reggae and Dancehall Performances</t>
  </si>
  <si>
    <t>Language Use, Perceptions, Attitudes</t>
  </si>
  <si>
    <t>Jamaican Creole in Global Reggae and Dancehall Perfor E-BOOK</t>
  </si>
  <si>
    <t>Gerfer, Anika</t>
  </si>
  <si>
    <t>978-1-3995-1041-7</t>
  </si>
  <si>
    <t>Ilkhanid Capital Cities</t>
  </si>
  <si>
    <t>Transcultural Interactions</t>
  </si>
  <si>
    <t>Ilkhanid Capital Cities E-BOOK</t>
  </si>
  <si>
    <t>Jatef Naiemi, Atri</t>
  </si>
  <si>
    <t>978-1-3995-3136-8</t>
  </si>
  <si>
    <t>The Collected Works of Kenneth White, Volume 3</t>
  </si>
  <si>
    <t>Between Two Worlds: Autobiography</t>
  </si>
  <si>
    <t>The Collected Works of Kenneth White, Volume 3 E-BOOK</t>
  </si>
  <si>
    <t>White, KennethCraig, Cairns</t>
  </si>
  <si>
    <t>The Collected Works of Kenneth White</t>
  </si>
  <si>
    <t>978-1-3995-4155-8</t>
  </si>
  <si>
    <t>Political Change across Britain and Ireland</t>
  </si>
  <si>
    <t>Identities, Institutions and Futures</t>
  </si>
  <si>
    <t>Political Change across Britain and Ireland E-BOOK</t>
  </si>
  <si>
    <t>Gillespie, Paul / Keating, Michael / McEwen, Nicola</t>
  </si>
  <si>
    <t>978-1-3995-3975-3</t>
  </si>
  <si>
    <t>Erotics of Deconstruction</t>
  </si>
  <si>
    <t>Auto-Affection After Derrida</t>
  </si>
  <si>
    <t>Erotics of Deconstruction E-BOOK</t>
  </si>
  <si>
    <t>978-1-3995-2724-8</t>
  </si>
  <si>
    <t>David Foster Wallace and the Question of Scepticism</t>
  </si>
  <si>
    <t>David Foster Wallace and the Question of Scepticism E-BOOK</t>
  </si>
  <si>
    <t>Prout, Matt</t>
  </si>
  <si>
    <t>978-1-3995-2652-4</t>
  </si>
  <si>
    <t>Resisting Far-Right Politics in the Middle East and Europe</t>
  </si>
  <si>
    <t>Queer Feminist Critiques</t>
  </si>
  <si>
    <t>Resisting Far-Right Politics in the Middle East and E E-BOOK</t>
  </si>
  <si>
    <t>Altay, Tunay / Galor, Katharina / Al-Ali, Nadje</t>
  </si>
  <si>
    <t>Critiquing Gender &amp; Islam</t>
  </si>
  <si>
    <t>EBOOK PACKAGE Political Science 2024 | EBOOK PACKAGE Political Science 2024 ENG | Edinburgh University Press Complete eBook-Package 2025</t>
  </si>
  <si>
    <t>978-1-3995-0228-3</t>
  </si>
  <si>
    <t>Canonical Misogyny</t>
  </si>
  <si>
    <t>Shakespeare and Dramaturgies of Sexual Violence</t>
  </si>
  <si>
    <t>Canonical Misogyny E-BOOK</t>
  </si>
  <si>
    <t>Williams, Nora J.</t>
  </si>
  <si>
    <t>978-1-4744-2911-5</t>
  </si>
  <si>
    <t>Spanish as a Contact Language</t>
  </si>
  <si>
    <t>An Ecological History</t>
  </si>
  <si>
    <t>Spanish as a Contact Language E-BOOK</t>
  </si>
  <si>
    <t>Sanz-Sánchez, Israel</t>
  </si>
  <si>
    <t>Romance Languages</t>
  </si>
  <si>
    <t>Spanish</t>
  </si>
  <si>
    <t>FOR026000 FOREIGN LANGUAGE STUDY / Spanish</t>
  </si>
  <si>
    <t>978-1-4744-2541-4</t>
  </si>
  <si>
    <t>Anthropocene Religion</t>
  </si>
  <si>
    <t>Rethinking Nature, Humanity and Divinity Amid Climate Catastrophe</t>
  </si>
  <si>
    <t>Anthropocene Religion E-BOOK</t>
  </si>
  <si>
    <t>Barnes Norton, Michael</t>
  </si>
  <si>
    <t>978-1-3995-1394-4</t>
  </si>
  <si>
    <t>The Stark Munro Letters</t>
  </si>
  <si>
    <t>The Stark Munro Letters E-BOOK</t>
  </si>
  <si>
    <t>Machin, James</t>
  </si>
  <si>
    <t>978-1-3995-1292-3</t>
  </si>
  <si>
    <t>Action TV Reboots and Visibility Politics</t>
  </si>
  <si>
    <t>Recycling Middlebrow Culture</t>
  </si>
  <si>
    <t>Action TV Reboots and Visibility Politics E-BOOK</t>
  </si>
  <si>
    <t>978-1-3995-3655-4</t>
  </si>
  <si>
    <t>Screens and Illusionism</t>
  </si>
  <si>
    <t>Alternative Teleologies of Mediation</t>
  </si>
  <si>
    <t>Screens and Illusionism E-BOOK</t>
  </si>
  <si>
    <t>Bloom, Peter / Jullien, Dominique</t>
  </si>
  <si>
    <t>978-1-3995-3446-8</t>
  </si>
  <si>
    <t>The English Baroque in Early Modern Literature</t>
  </si>
  <si>
    <t>The English Baroque in Early Modern Literature E-BOOK</t>
  </si>
  <si>
    <t>Hudson Vincent, Robert</t>
  </si>
  <si>
    <t>978-1-3995-2822-1</t>
  </si>
  <si>
    <t>Charities and Politics in Bashar al-Asad’s Syria</t>
  </si>
  <si>
    <t>The Unravelling of the Old Social Contract</t>
  </si>
  <si>
    <t>Charities and Politics in Bashar al-Asad’s Syria E-BOOK</t>
  </si>
  <si>
    <t>Ruiz de Elvira, Laura</t>
  </si>
  <si>
    <t>978-1-3995-3318-8</t>
  </si>
  <si>
    <t>Serious Crime in Late Seventeenth-Century Scotland</t>
  </si>
  <si>
    <t>Serious Crime in Late Seventeenth-Century Scotland E-BOOK</t>
  </si>
  <si>
    <t>Kennedy, Allan</t>
  </si>
  <si>
    <t>978-1-3995-3929-6</t>
  </si>
  <si>
    <t>New Perspectives on Spinoza's Theologico-Political Treatise</t>
  </si>
  <si>
    <t>Politics, Power and the Imagination</t>
  </si>
  <si>
    <t>New Perspectives on Spinoza's Theologico-Political Tr E-BOOK</t>
  </si>
  <si>
    <t>Wuth, Marie / Taylor, Dan</t>
  </si>
  <si>
    <t>978-1-3995-3623-3</t>
  </si>
  <si>
    <t>The Werner Sollors Reader</t>
  </si>
  <si>
    <t>Ethnicity, Cosmopolitanism and Particularism</t>
  </si>
  <si>
    <t>The Werner Sollors Reader E-BOOK</t>
  </si>
  <si>
    <t>Sollors, WernerWilliams, Daniel G.</t>
  </si>
  <si>
    <t>978-1-4744-4558-0</t>
  </si>
  <si>
    <t>The Edinburgh Edition of the Collected Letters of Katherine Mansfield, Volume 4</t>
  </si>
  <si>
    <t>Letters to John Middleton Murry 1919–1922</t>
  </si>
  <si>
    <t>Kimber, Gerri / Davison, Claire</t>
  </si>
  <si>
    <t>978-1-3995-3839-8</t>
  </si>
  <si>
    <t>Reading with Peter Brooks</t>
  </si>
  <si>
    <t>Reading with Peter Brooks E-BOOK</t>
  </si>
  <si>
    <t>978-1-3995-3599-1</t>
  </si>
  <si>
    <t>Adam, Duncan / McCarthy, Frankie</t>
  </si>
  <si>
    <t>Inheritance Law</t>
  </si>
  <si>
    <t>978-1-4744-9459-5</t>
  </si>
  <si>
    <t>A Place in the Homeland?</t>
  </si>
  <si>
    <t>Turkish-German Return Migration</t>
  </si>
  <si>
    <t>A Place in the Homeland? E-BOOK</t>
  </si>
  <si>
    <t>King, Russell / Kılınç, Nilay</t>
  </si>
  <si>
    <t>978-1-3995-3155-9</t>
  </si>
  <si>
    <t>Kantian Ethics and Environmental Philosophy</t>
  </si>
  <si>
    <t>Pursuing the Good in an Age of Crisis</t>
  </si>
  <si>
    <t>Kantian Ethics and Environmental Philosophy E-BOOK</t>
  </si>
  <si>
    <t>Heneghan, Fiacha D.</t>
  </si>
  <si>
    <t>978-1-4744-8963-8</t>
  </si>
  <si>
    <t>Nationalising Oil and Knowledge in Iran</t>
  </si>
  <si>
    <t>Labour, Decolonisation and Colonial Modernity, 1933–51</t>
  </si>
  <si>
    <t>Nationalising Oil and Knowledge in Iran E-BOOK</t>
  </si>
  <si>
    <t>Biglari, Mattin</t>
  </si>
  <si>
    <t>978-1-3995-2481-0</t>
  </si>
  <si>
    <t>The Edinburgh Companion to Queer Reading</t>
  </si>
  <si>
    <t>The Edinburgh Companion to Queer Reading E-BOOK</t>
  </si>
  <si>
    <t>Kavanagh, Declan / Chow, Jeremy</t>
  </si>
  <si>
    <t>978-1-3995-3322-5</t>
  </si>
  <si>
    <t>Mystical Landscapes in Medieval Persian Literature</t>
  </si>
  <si>
    <t>Mystical Landscapes in Medieval Persian Literature E-BOOK</t>
  </si>
  <si>
    <t>Keshavarz, Fatemeh / Karamustafa, Ahmet T.</t>
  </si>
  <si>
    <t>978-1-3995-3783-4</t>
  </si>
  <si>
    <t>The Triumph of Textiles</t>
  </si>
  <si>
    <t>Industrial Dundee, c. 1700–1918</t>
  </si>
  <si>
    <t>The Triumph of Textiles E-BOOK</t>
  </si>
  <si>
    <t>Whatley, Christopher A / Tomlinson, Jim</t>
  </si>
  <si>
    <t>978-1-4744-7574-7</t>
  </si>
  <si>
    <t>Nuclear Fictions</t>
  </si>
  <si>
    <t>Violence and the Narration of the Anglosphere</t>
  </si>
  <si>
    <t>Nuclear Fictions E-BOOK</t>
  </si>
  <si>
    <t>978-1-3995-3108-5</t>
  </si>
  <si>
    <t>Cicely Saunders and Total Pain</t>
  </si>
  <si>
    <t>Holism, Narrative and Silence at the End of Life</t>
  </si>
  <si>
    <t>Cicely Saunders and Total Pain E-BOOK</t>
  </si>
  <si>
    <t>Wood, Joe</t>
  </si>
  <si>
    <t>978-1-4744-9164-8</t>
  </si>
  <si>
    <t>New Gaelic Speakers in Nova Scotia and Scotland</t>
  </si>
  <si>
    <t>Heritage, Motivation and Identity</t>
  </si>
  <si>
    <t>New Gaelic Speakers in Nova Scotia and Scotland E-BOOK</t>
  </si>
  <si>
    <t xml:space="preserve">Dunmore, Stuart S. </t>
  </si>
  <si>
    <t>EBOOK PACKAGE Linguistics 2024 | EBOOK PACKAGE Linguistics 2024 ENG | Edinburgh University Press Complete eBook-Package 2025</t>
  </si>
  <si>
    <t>978-1-4744-6035-4</t>
  </si>
  <si>
    <t>Literary Illusions</t>
  </si>
  <si>
    <t>Performance Magic and Victorian Literature</t>
  </si>
  <si>
    <t>Literary Illusions E-BOOK</t>
  </si>
  <si>
    <t>Pittard, Christopher</t>
  </si>
  <si>
    <t>978-1-3995-0216-0</t>
  </si>
  <si>
    <t>Critical Theory and the Authoritarian Personality</t>
  </si>
  <si>
    <t>Critical Theory and the Authoritarian Personality E-BOOK</t>
  </si>
  <si>
    <t>Boucher, Geoff M.</t>
  </si>
  <si>
    <t>978-1-3995-3591-5</t>
  </si>
  <si>
    <t>Micromodernism</t>
  </si>
  <si>
    <t>Rethinking Literary Renewal in the Long 1930s</t>
  </si>
  <si>
    <t>Micromodernism E-BOOK</t>
  </si>
  <si>
    <t>Armstrong, Tim</t>
  </si>
  <si>
    <t>978-1-3995-2474-2</t>
  </si>
  <si>
    <t>Return of the Western</t>
  </si>
  <si>
    <t>Refracting Genre, Representing Gender in the Twenty-First Century</t>
  </si>
  <si>
    <t>Return of the Western E-BOOK</t>
  </si>
  <si>
    <t>978-1-3995-3648-6</t>
  </si>
  <si>
    <t>Aristotle and Tragic Temporality</t>
  </si>
  <si>
    <t>Aristotle and Tragic Temporality E-BOOK</t>
  </si>
  <si>
    <t>Kirkland, Sean D.</t>
  </si>
  <si>
    <t>978-1-3995-3191-7</t>
  </si>
  <si>
    <t>Contemporary Intelligence Warning Cases</t>
  </si>
  <si>
    <t>Learning from Successes and Failures</t>
  </si>
  <si>
    <t>Contemporary Intelligence Warning Cases E-BOOK</t>
  </si>
  <si>
    <t>Mikalsen Grønning, Bjørn Elias / Stenslie, Stig</t>
  </si>
  <si>
    <t>POL036000 POLITICAL SCIENCE / Intelligence &amp; Espionage</t>
  </si>
  <si>
    <t>978-1-3995-2790-3</t>
  </si>
  <si>
    <t>Taiwanese-Language Cinema</t>
  </si>
  <si>
    <t>Rediscovered and Reconsidered</t>
  </si>
  <si>
    <t>Taiwanese-Language Cinema E-BOOK</t>
  </si>
  <si>
    <t>Neri, Corrado / Rawnsley, Ming-yeh / Berry, Chris / Ghermani, Wafa</t>
  </si>
  <si>
    <t>978-1-4744-4362-3</t>
  </si>
  <si>
    <t>The Provost</t>
  </si>
  <si>
    <t>The Provost E-BOOK</t>
  </si>
  <si>
    <t>Galt, JohnMcCracken-Flesher, Caroline</t>
  </si>
  <si>
    <t>978-1-3995-3567-0</t>
  </si>
  <si>
    <t>Dickens and Switzerland</t>
  </si>
  <si>
    <t>Dickens and Switzerland E-BOOK</t>
  </si>
  <si>
    <t>Gmür, Christine</t>
  </si>
  <si>
    <t>978-1-3995-3179-5</t>
  </si>
  <si>
    <t>Irony in International Politics</t>
  </si>
  <si>
    <t>Irony in International Politics E-BOOK</t>
  </si>
  <si>
    <t>Vuorelma, Johanna</t>
  </si>
  <si>
    <t>Theories, Methods, and Auxiliary Sciences</t>
  </si>
  <si>
    <t>Diplomatic</t>
  </si>
  <si>
    <t>978-1-3995-2600-5</t>
  </si>
  <si>
    <t>The Biopolitical Animal</t>
  </si>
  <si>
    <t>The Biopolitical Animal E-BOOK</t>
  </si>
  <si>
    <t>Salzani, Carlo / Cimatti, Felice</t>
  </si>
  <si>
    <t>978-1-4744-8798-6</t>
  </si>
  <si>
    <t>Regimes of Mobility</t>
  </si>
  <si>
    <t>Borders and State Formation in the Middle East, 1918-1946</t>
  </si>
  <si>
    <t>Regimes of Mobility E-BOOK</t>
  </si>
  <si>
    <t>Hakkı Öztan, Ramazan / Tejel, Jordi</t>
  </si>
  <si>
    <t>978-1-3995-3020-0</t>
  </si>
  <si>
    <t>Between Rebels and Rulers in the Early Islamicate World</t>
  </si>
  <si>
    <t>Power, Contention and Identity</t>
  </si>
  <si>
    <t>Between Rebels and Rulers in the Early Islamicate Wor E-BOOK</t>
  </si>
  <si>
    <t>Hagemann, Hannah-Lena / Grant, Alasdair C.</t>
  </si>
  <si>
    <t>978-1-3995-2747-7</t>
  </si>
  <si>
    <t>Periodicals, Fiction and the Novel, 1700–1760</t>
  </si>
  <si>
    <t>Ecologies of Print</t>
  </si>
  <si>
    <t>Periodicals, Fiction and the Novel, 1700–1760 E-BOOK</t>
  </si>
  <si>
    <t>Buckley, Jennifer</t>
  </si>
  <si>
    <t>978-1-3995-2676-0</t>
  </si>
  <si>
    <t>Diverse Slaveries</t>
  </si>
  <si>
    <t>Slaving Strategies and Experiences of Slavery in Classical Athens</t>
  </si>
  <si>
    <t>Diverse Slaveries E-BOOK</t>
  </si>
  <si>
    <t>Porter, Jason Douglas</t>
  </si>
  <si>
    <t>978-1-3995-3056-9</t>
  </si>
  <si>
    <t>Citizen of the World</t>
  </si>
  <si>
    <t>Al-Fārābī’s Cosmopolitanism</t>
  </si>
  <si>
    <t>Citizen of the World E-BOOK</t>
  </si>
  <si>
    <t>Hayes, Josh</t>
  </si>
  <si>
    <t>978-1-3995-4355-2</t>
  </si>
  <si>
    <t>Stucco in the Islamic World</t>
  </si>
  <si>
    <t>Studies of Architectural Ornament from Spain to India</t>
  </si>
  <si>
    <t>Stucco in the Islamic World E-BOOK</t>
  </si>
  <si>
    <t>978-1-3995-0025-8</t>
  </si>
  <si>
    <t>A History of English Spelling</t>
  </si>
  <si>
    <t>A History of English Spelling E-BOOK</t>
  </si>
  <si>
    <t>Horobin, Simon</t>
  </si>
  <si>
    <t>978-1-3995-4545-7</t>
  </si>
  <si>
    <t>Genetic Criticism and its Logics</t>
  </si>
  <si>
    <t>The Draft and the Text</t>
  </si>
  <si>
    <t>Genetic Criticism and its Logics E-BOOK</t>
  </si>
  <si>
    <t>Ferrer, Daniel</t>
  </si>
  <si>
    <t>978-1-3995-2755-2</t>
  </si>
  <si>
    <t>Romanticism and Subversive Suicide</t>
  </si>
  <si>
    <t>Human Rights, Existential Freedom and Biopower</t>
  </si>
  <si>
    <t>Romanticism and Subversive Suicide E-BOOK</t>
  </si>
  <si>
    <t>Faubert, Michelle</t>
  </si>
  <si>
    <t xml:space="preserve">LIT024030 LITERARY CRITICISM / Modern / 18th Century </t>
  </si>
  <si>
    <t>978-1-3995-4022-3</t>
  </si>
  <si>
    <t>Financing the British Film Industry</t>
  </si>
  <si>
    <t>Capital, Cash and Quota, 1896-1945</t>
  </si>
  <si>
    <t>Financing the British Film Industry E-BOOK</t>
  </si>
  <si>
    <t>978-1-3995-3815-2</t>
  </si>
  <si>
    <t>Early Modern Women’s Life-Writing and English Law</t>
  </si>
  <si>
    <t>Early Modern Women’s Life-Writing and English Law E-BOOK</t>
  </si>
  <si>
    <t>Fikkers, Lotte</t>
  </si>
  <si>
    <t>978-1-3995-4453-5</t>
  </si>
  <si>
    <t>Logomotives</t>
  </si>
  <si>
    <t>Words That Change the World, 1400–1700</t>
  </si>
  <si>
    <t>Logomotives E-BOOK</t>
  </si>
  <si>
    <t>Rubright, Marjorie / Spiess, Stephen</t>
  </si>
  <si>
    <t>978-1-3995-3871-8</t>
  </si>
  <si>
    <t>Princes, Dervishes and Dragons</t>
  </si>
  <si>
    <t>The Tile Arcade from Safavid Isfahan (c. 1685–95)</t>
  </si>
  <si>
    <t>Princes, Dervishes and Dragons E-BOOK</t>
  </si>
  <si>
    <t>Golombek, Lisa / Mason, Robert B.</t>
  </si>
  <si>
    <t>978-1-3995-3933-3</t>
  </si>
  <si>
    <t>Envisioning the Good Life</t>
  </si>
  <si>
    <t>The Limits of Contemporary Vitalism</t>
  </si>
  <si>
    <t>Envisioning the Good Life E-BOOK</t>
  </si>
  <si>
    <t>978-1-3995-3583-0</t>
  </si>
  <si>
    <t>Walter Scott on Monarchy</t>
  </si>
  <si>
    <t>Royal Bodies and the Body Politic</t>
  </si>
  <si>
    <t>Walter Scott on Monarchy E-BOOK</t>
  </si>
  <si>
    <t>Ghoshal Wallace, Tara</t>
  </si>
  <si>
    <t xml:space="preserve">LIT025010 LITERARY CRITICISM / Subjects &amp; Themes / Historical Events </t>
  </si>
  <si>
    <t>978-1-4744-9835-7</t>
  </si>
  <si>
    <t>The Plays of Charles Dickens</t>
  </si>
  <si>
    <t>The Plays of Charles Dickens E-BOOK</t>
  </si>
  <si>
    <t>Hofer-Robinson, Joana / Orford, Pete</t>
  </si>
  <si>
    <t>978-1-3995-2556-5</t>
  </si>
  <si>
    <t>The Political Theology of Hannah Arendt</t>
  </si>
  <si>
    <t>Augustine and the Invention of Modernity</t>
  </si>
  <si>
    <t>The Political Theology of Hannah Arendt E-BOOK</t>
  </si>
  <si>
    <t>Weinman, Michael</t>
  </si>
  <si>
    <t>978-1-3995-1780-5</t>
  </si>
  <si>
    <t>Scottish Medical Law Essentials, 2nd edition</t>
  </si>
  <si>
    <t>Scottish Medical Law Essentials, 2nd edition E-BOOK</t>
  </si>
  <si>
    <t>LAW093000 LAW / Medical Law &amp; Legislation</t>
  </si>
  <si>
    <t>978-1-3995-3759-9</t>
  </si>
  <si>
    <t>Persianate Prose and the Making of Malay Muslim Literature</t>
  </si>
  <si>
    <t>Text, Translation and Commentary of the Durr al-Majalis</t>
  </si>
  <si>
    <t>Persianate Prose and the Making of Malay Muslim Liter E-BOOK</t>
  </si>
  <si>
    <t>Daneshgar, Majid</t>
  </si>
  <si>
    <t>978-1-3995-0826-1</t>
  </si>
  <si>
    <t>The Sex Slave in Cinema</t>
  </si>
  <si>
    <t>An Inegalitarian Spectacle</t>
  </si>
  <si>
    <t>The Sex Slave in Cinema E-BOOK</t>
  </si>
  <si>
    <t>978-1-3995-3775-9</t>
  </si>
  <si>
    <t>Utopianism in the Middle East and North Africa</t>
  </si>
  <si>
    <t>Utopianism in the Middle East and North Africa E-BOOK</t>
  </si>
  <si>
    <t>Pierret, Thomas / Fuchs, Simon Wolfgang</t>
  </si>
  <si>
    <t>978-1-4744-7562-4</t>
  </si>
  <si>
    <t>Rethinking Hellenistic Historiography</t>
  </si>
  <si>
    <t>The Immersive Histories of Duris, Phylarchus and Agatharchides</t>
  </si>
  <si>
    <t>Rethinking Hellenistic Historiography E-BOOK</t>
  </si>
  <si>
    <t>978-1-3995-2129-1</t>
  </si>
  <si>
    <t>Mind and Embodiment in Late Victorian Literature</t>
  </si>
  <si>
    <t>Mind and Embodiment in Late Victorian Literature E-BOOK</t>
  </si>
  <si>
    <t>Viragh, Atti / Thain, Marion</t>
  </si>
  <si>
    <t>978-1-3995-1927-4</t>
  </si>
  <si>
    <t>Intelligence, Security and the State</t>
  </si>
  <si>
    <t>Reviewing the British Intelligence Community</t>
  </si>
  <si>
    <t>Intelligence, Security and the State E-BOOK</t>
  </si>
  <si>
    <t>Murphy, Christopher J. / Lomas Christopher, Daniel W.B.</t>
  </si>
  <si>
    <t>978-1-3995-2497-1</t>
  </si>
  <si>
    <t>Contesting Cosmopolitan Moments in the Long Eighteenth Century</t>
  </si>
  <si>
    <t>Contesting Cosmopolitan Moments in the Long Eighteent E-BOOK</t>
  </si>
  <si>
    <t>Steiner, Enit Karafili</t>
  </si>
  <si>
    <t>978-1-3995-3353-9</t>
  </si>
  <si>
    <t>Migrant Epistemologies in Indian Nonfiction of the Long Twentieth Century</t>
  </si>
  <si>
    <t>Migrant Epistemologies in Indian Nonfiction of the Lo E-BOOK</t>
  </si>
  <si>
    <t>Basu, Manisha</t>
  </si>
  <si>
    <t>978-1-3995-0733-2</t>
  </si>
  <si>
    <t>The Uncollected Letters of Virginia Woolf</t>
  </si>
  <si>
    <t>The Uncollected Letters of Virginia Woolf E-BOOK</t>
  </si>
  <si>
    <t>Clarke, Stuart N. / Barkway, Stephen</t>
  </si>
  <si>
    <t>978-1-4744-0316-0</t>
  </si>
  <si>
    <t>Social Interaction and Professional Identity in Allied Healthcare Education</t>
  </si>
  <si>
    <t>Social Interaction and Professional Identity in Allie E-BOOK</t>
  </si>
  <si>
    <t>Jagoe, Caroline / Reynolds, Niamh / Walsh, Irene</t>
  </si>
  <si>
    <t>978-1-3995-3951-7</t>
  </si>
  <si>
    <t>Shakespeare, the Sea and the Stage</t>
  </si>
  <si>
    <t>Shakespeare, the Sea and the Stage E-BOOK</t>
  </si>
  <si>
    <t>Womack, Peter</t>
  </si>
  <si>
    <t>978-1-3995-1280-0</t>
  </si>
  <si>
    <t>Romanian and Chinese Cinemas</t>
  </si>
  <si>
    <t>Socialist Affect and Cultural Politics from Maoism to the New Waves</t>
  </si>
  <si>
    <t>Romanian and Chinese Cinemas E-BOOK</t>
  </si>
  <si>
    <t>Țion, Lucian</t>
  </si>
  <si>
    <t>978-1-3995-2572-5</t>
  </si>
  <si>
    <t>Women and Documentary Film in Contemporary Iran</t>
  </si>
  <si>
    <t>Reframing Reality</t>
  </si>
  <si>
    <t>Women and Documentary Film in Contemporary Iran E-BOOK</t>
  </si>
  <si>
    <t>Moradiyan-Rizi, Najmeh</t>
  </si>
  <si>
    <t>978-1-4744-8508-1</t>
  </si>
  <si>
    <t>The Edinburgh Companion to Science Fiction and the Medical Humanities</t>
  </si>
  <si>
    <t>The Edinburgh Companion to Science Fiction and the Me E-BOOK</t>
  </si>
  <si>
    <t>Miller, Gavin / McFarlane, Anna / McCormack, Donna</t>
  </si>
  <si>
    <t>978-1-3995-2207-6</t>
  </si>
  <si>
    <t>The Karbala Story and Early Shi'ite Identity</t>
  </si>
  <si>
    <t>The Karbala Story and Early Shi'ite Identity E-BOOK</t>
  </si>
  <si>
    <t>Hylén, Torsten</t>
  </si>
  <si>
    <t>978-1-3995-0561-1</t>
  </si>
  <si>
    <t>The Fight for Rent Control</t>
  </si>
  <si>
    <t>Law, Politics and the People</t>
  </si>
  <si>
    <t>The Fight for Rent Control E-BOOK</t>
  </si>
  <si>
    <t>Watchman, Paul Q.Robson, Peter</t>
  </si>
  <si>
    <t>978-1-3995-3159-7</t>
  </si>
  <si>
    <t>Transformative Activism in a World of Structural Oppression</t>
  </si>
  <si>
    <t>Transformative Activism in a World of Structural Oppr E-BOOK</t>
  </si>
  <si>
    <t>Ingram, Callum</t>
  </si>
  <si>
    <t>978-1-3995-4191-6</t>
  </si>
  <si>
    <t>Power in the Anthropocene</t>
  </si>
  <si>
    <t>Power in the Anthropocene E-BOOK</t>
  </si>
  <si>
    <t>Tønder, Lars</t>
  </si>
  <si>
    <t>978-1-3995-3223-5</t>
  </si>
  <si>
    <t>Unfinished God</t>
  </si>
  <si>
    <t>The Speculative Philosophical Theology of Ray L. Hart</t>
  </si>
  <si>
    <t>Unfinished God E-BOOK</t>
  </si>
  <si>
    <t>McGrath, Sean J. / Feld, Alina N</t>
  </si>
  <si>
    <t>978-1-3995-3755-1</t>
  </si>
  <si>
    <t>Islamic Themes in US Hip-Hop Culture</t>
  </si>
  <si>
    <t>Islamic Themes in US Hip-Hop Culture E-BOOK</t>
  </si>
  <si>
    <t>Ackfeldt, Anders</t>
  </si>
  <si>
    <t>MUS015000 MUSIC / Ethnomusicology</t>
  </si>
  <si>
    <t>978-1-3995-2644-9</t>
  </si>
  <si>
    <t>Refashioning Muslims</t>
  </si>
  <si>
    <t>Women between the New Conservatism and Neoliberalism in Istanbul</t>
  </si>
  <si>
    <t>Refashioning Muslims E-BOOK</t>
  </si>
  <si>
    <t>Kütük-Kuris, Merve</t>
  </si>
  <si>
    <t>978-1-3995-2238-0</t>
  </si>
  <si>
    <t>Civil Society and Autocratisation</t>
  </si>
  <si>
    <t>Co-optation, Repression and Contestation in Turkey</t>
  </si>
  <si>
    <t>Civil Society and Autocratisation E-BOOK</t>
  </si>
  <si>
    <t>Yabanci, Bilge</t>
  </si>
  <si>
    <t>POL035000 POLITICAL SCIENCE / Political Freedom</t>
  </si>
  <si>
    <t>978-1-3995-3111-5</t>
  </si>
  <si>
    <t>The Verse of Charles Dickens</t>
  </si>
  <si>
    <t>The Verse of Charles Dickens E-BOOK</t>
  </si>
  <si>
    <t>Dickens, CharlesMiddleton, Emily / Craig, Lydia</t>
  </si>
  <si>
    <t>978-1-3995-3851-0</t>
  </si>
  <si>
    <t>Women's New Cinema in Contemporary Turkey</t>
  </si>
  <si>
    <t>As If We Were Free, As If a Beautiful Life Were Possible</t>
  </si>
  <si>
    <t>Women's New Cinema in Contemporary Turkey E-BOOK</t>
  </si>
  <si>
    <t>Fontini, Pınar</t>
  </si>
  <si>
    <t>978-1-3995-4263-0</t>
  </si>
  <si>
    <t>Managing Religious Diversity in the Ottoman Empire</t>
  </si>
  <si>
    <t>Experiences of Istanbul Armenians in the Nineteenth Century</t>
  </si>
  <si>
    <t>Managing Religious Diversity in the Ottoman Empire E-BOOK</t>
  </si>
  <si>
    <t>Ueno, Masayuki</t>
  </si>
  <si>
    <t>978-1-3995-3831-2</t>
  </si>
  <si>
    <t>The Periodical Essay in Modernity</t>
  </si>
  <si>
    <t>Oscar Wilde, G. K. Chesterton and Virginia Woolf</t>
  </si>
  <si>
    <t>The Periodical Essay in Modernity E-BOOK</t>
  </si>
  <si>
    <t>Tippin, Eric R.</t>
  </si>
  <si>
    <t>978-1-3995-4693-5</t>
  </si>
  <si>
    <t>Irish Shame</t>
  </si>
  <si>
    <t>A Literary Reckoning</t>
  </si>
  <si>
    <t>Irish Shame E-BOOK</t>
  </si>
  <si>
    <t>Kennedy, Seán / Valente, Joseph</t>
  </si>
  <si>
    <t>978-1-3995-3687-5</t>
  </si>
  <si>
    <t>Daesh Ideology and Women’s Rights in the Maghreb</t>
  </si>
  <si>
    <t>A Reaction to Homegrown Modernity</t>
  </si>
  <si>
    <t>Daesh Ideology and Women’s Rights in the Maghreb E-BOOK</t>
  </si>
  <si>
    <t>Sadiqi, Fatima</t>
  </si>
  <si>
    <t>978-1-3995-1642-6</t>
  </si>
  <si>
    <t>The Birth of the Financial Thriller</t>
  </si>
  <si>
    <t>Making a Killing in the 1970s</t>
  </si>
  <si>
    <t>The Birth of the Financial Thriller E-BOOK</t>
  </si>
  <si>
    <t>Krause Frantzen, Mikkel</t>
  </si>
  <si>
    <t>978-1-3995-4427-6</t>
  </si>
  <si>
    <t>Political, Social and Cultural History of Modern Iran</t>
  </si>
  <si>
    <t>Essays in Honour of Ervand Abrahamian</t>
  </si>
  <si>
    <t>Political, Social and Cultural History of Modern Iran E-BOOK</t>
  </si>
  <si>
    <t>Chehabi, Houchang E.</t>
  </si>
  <si>
    <t>978-1-3995-2834-4</t>
  </si>
  <si>
    <t>Girlhood in the Contemporary American Novel</t>
  </si>
  <si>
    <t>Coming-of-Age 1990–2020</t>
  </si>
  <si>
    <t>Girlhood in the Contemporary American Novel E-BOOK</t>
  </si>
  <si>
    <t>Vido, Angelica</t>
  </si>
  <si>
    <t>978-1-3995-4163-3</t>
  </si>
  <si>
    <t>David Hume and the Aberdeen Philosophers</t>
  </si>
  <si>
    <t>Reid, Campbell, Gerard, Beattie</t>
  </si>
  <si>
    <t>David Hume and the Aberdeen Philosophers E-BOOK</t>
  </si>
  <si>
    <t>978-1-3995-3867-1</t>
  </si>
  <si>
    <t>Grieving Democracy</t>
  </si>
  <si>
    <t>Navigating the Loss of Affect</t>
  </si>
  <si>
    <t>Grieving Democracy E-BOOK</t>
  </si>
  <si>
    <t>Tambakaki, Paulina</t>
  </si>
  <si>
    <t>Cultural Theory</t>
  </si>
  <si>
    <t>Political Theory</t>
  </si>
  <si>
    <t>978-1-3995-4388-0</t>
  </si>
  <si>
    <t>Illustrated Ottoman Cosmographies, c. 1550–1700</t>
  </si>
  <si>
    <t>The World through Muslim Eyes</t>
  </si>
  <si>
    <t>Illustrated Ottoman Cosmographies, c. 1550–1700 E-BOOK</t>
  </si>
  <si>
    <t>Moor, Bilha</t>
  </si>
  <si>
    <t>Art and Architecture</t>
  </si>
  <si>
    <t>978-1-3995-4774-1</t>
  </si>
  <si>
    <t>Christianity in Eastern and Southern Europe</t>
  </si>
  <si>
    <t>Christianity in Eastern and Southern Europe E-BOOK</t>
  </si>
  <si>
    <t>Johnson, Todd M. / Ross, Kenneth R. / Simion, Marian Gh.</t>
  </si>
  <si>
    <t>978-1-3995-0537-6</t>
  </si>
  <si>
    <t>New Materialist Affirmations</t>
  </si>
  <si>
    <t>Creative Research Interventions in Methods and Practice</t>
  </si>
  <si>
    <t>New Materialist Affirmations E-BOOK</t>
  </si>
  <si>
    <t>Pihkala, Suvi / Willcox, Marissa / Hickey-Moody, Anna / Coombs, Gretchen</t>
  </si>
  <si>
    <t>PHI044000 PHILOSOPHY / Movements / Realism</t>
  </si>
  <si>
    <t>978-1-3995-4729-1</t>
  </si>
  <si>
    <t>Shakespeare on the Radio</t>
  </si>
  <si>
    <t>A Century of BBC Plays</t>
  </si>
  <si>
    <t>Shakespeare on the Radio E-BOOK</t>
  </si>
  <si>
    <t>Smith, Andrea</t>
  </si>
  <si>
    <t>978-1-3995-2640-1</t>
  </si>
  <si>
    <t>Sufism and Power in the Ottoman Empire</t>
  </si>
  <si>
    <t>The Writings of Ismail Hakki Bursevi (1653–1725)</t>
  </si>
  <si>
    <t>Sufism and Power in the Ottoman Empire E-BOOK</t>
  </si>
  <si>
    <t>Atanasova, Kameliya N.</t>
  </si>
  <si>
    <t>978-1-3995-4299-9</t>
  </si>
  <si>
    <t>Order and Region Making in the Middle East</t>
  </si>
  <si>
    <t>Order and Region Making in the Middle East E-BOOK</t>
  </si>
  <si>
    <t>Lynch, Marc / Mabon, Simon</t>
  </si>
  <si>
    <t>978-1-3995-1692-1</t>
  </si>
  <si>
    <t>Clemence Dane and Good Housekeeping</t>
  </si>
  <si>
    <t>Modernity and Common Reading</t>
  </si>
  <si>
    <t>Clemence Dane and Good Housekeeping E-BOOK</t>
  </si>
  <si>
    <t>Deen, Stella</t>
  </si>
  <si>
    <t>978-1-3995-0247-4</t>
  </si>
  <si>
    <t>Affect Theory and Translation on Youtube</t>
  </si>
  <si>
    <t>Affect Theory and Translation on Youtube E-BOOK</t>
  </si>
  <si>
    <t>Lee, Seryun</t>
  </si>
  <si>
    <t>978-1-3995-2798-9</t>
  </si>
  <si>
    <t>Marleen Gorris</t>
  </si>
  <si>
    <t>Practices of Resistance</t>
  </si>
  <si>
    <t>Marleen Gorris E-BOOK</t>
  </si>
  <si>
    <t>Effective Open Access 09.01.2025</t>
  </si>
  <si>
    <t>978-1-4744-7238-8</t>
  </si>
  <si>
    <t>Introductions and Notes from the Magnum Opus</t>
  </si>
  <si>
    <t>Ivanhoe to Castle Dangerous</t>
  </si>
  <si>
    <t>Introductions and Notes from the Magnum Opus E-BOOK</t>
  </si>
  <si>
    <t>Scott, WalterAlexander, J. H.</t>
  </si>
  <si>
    <t>978-1-4744-7901-1</t>
  </si>
  <si>
    <t>Conversations with New York School Poets</t>
  </si>
  <si>
    <t>Conversations with New York School Poets E-BOOK</t>
  </si>
  <si>
    <t>Shamma, Yasmine / Cran, Rona</t>
  </si>
  <si>
    <t>978-1-4744-6911-1</t>
  </si>
  <si>
    <t>American Social and Political Thought</t>
  </si>
  <si>
    <t>A Concise Introduction</t>
  </si>
  <si>
    <t>American Social and Political Thought E-BOOK</t>
  </si>
  <si>
    <t>Hess, Andreas</t>
  </si>
  <si>
    <t>978-1-4744-3998-5</t>
  </si>
  <si>
    <t>Habiba Djahnine</t>
  </si>
  <si>
    <t>Memory Bearer</t>
  </si>
  <si>
    <t>Habiba Djahnine E-BOOK</t>
  </si>
  <si>
    <t>Petty, Sheila</t>
  </si>
  <si>
    <t>978-1-909724-46-4</t>
  </si>
  <si>
    <t>The Kashf al-Mahjub</t>
  </si>
  <si>
    <t>The ‘Revelation of the Veiled’ of Ali b. ‘Uthman al-Jullãbi Hujwiri. An early Persian Treatise on Sufism</t>
  </si>
  <si>
    <t>The Kashf al-Mahjub E-BOOK</t>
  </si>
  <si>
    <t>978-1-4744-7239-5</t>
  </si>
  <si>
    <t>Peveril of the Peak</t>
  </si>
  <si>
    <t>Peveril of the Peak E-BOOK</t>
  </si>
  <si>
    <t>Scott, WalterLumsden, Alison</t>
  </si>
  <si>
    <t>978-1-4744-7800-7</t>
  </si>
  <si>
    <t>King Lear ‘After’ Auschwitz</t>
  </si>
  <si>
    <t>Shakespeare, Appropriation and Theatres of Catastrophe in Post-War British Drama</t>
  </si>
  <si>
    <t>King Lear ‘After’ Auschwitz E-BOOK</t>
  </si>
  <si>
    <t>Ashby, Richard</t>
  </si>
  <si>
    <t>978-1-4744-9229-4</t>
  </si>
  <si>
    <t>Managing Paperwork in Mamluk Cairo</t>
  </si>
  <si>
    <t>Archives, Waqf and Society</t>
  </si>
  <si>
    <t>Managing Paperwork in Mamluk Cairo E-BOOK</t>
  </si>
  <si>
    <t>Livingston, Daisy</t>
  </si>
  <si>
    <t>978-1-3995-1999-1</t>
  </si>
  <si>
    <t>Global Mountain Cinema</t>
  </si>
  <si>
    <t>Global Mountain Cinema E-BOOK</t>
  </si>
  <si>
    <t>Schaumann, Caroline / Haque, Kamaal / Quendler, Christian</t>
  </si>
  <si>
    <t>978-1-4744-2653-4</t>
  </si>
  <si>
    <t>Contributions to Fraser's Magazine for Town and Country</t>
  </si>
  <si>
    <t>Contributions to Fraser's Magazine for Town and Count E-BOOK</t>
  </si>
  <si>
    <t>Hogg, JamesCoyer, Megan</t>
  </si>
  <si>
    <t>978-0-7486-2831-5</t>
  </si>
  <si>
    <t>Waverley</t>
  </si>
  <si>
    <t>Waverley E-BOOK</t>
  </si>
  <si>
    <t>Scott, WalterGarside, P. D.</t>
  </si>
  <si>
    <t>978-1-909724-22-8</t>
  </si>
  <si>
    <t>A History of Ottoman Poetry Volume V</t>
  </si>
  <si>
    <t>Later 19th Century</t>
  </si>
  <si>
    <t>A History of Ottoman Poetry Volume V E-BOOK</t>
  </si>
  <si>
    <t>Gibb, E. J. W.</t>
  </si>
  <si>
    <t>978-1-3995-1991-5</t>
  </si>
  <si>
    <t>A Critical Introduction, 3rd edition</t>
  </si>
  <si>
    <t>978-0-7486-7418-3</t>
  </si>
  <si>
    <t>Realism and Consensus in the English Novel</t>
  </si>
  <si>
    <t>Time, Space and Narrative</t>
  </si>
  <si>
    <t>Realism and Consensus in the English Novel E-BOOK</t>
  </si>
  <si>
    <t>Deeds Ermarth, Elizabeth</t>
  </si>
  <si>
    <t>978-1-3995-3843-5</t>
  </si>
  <si>
    <t>The Beautiful Game on a Muslim Pitch</t>
  </si>
  <si>
    <t>How Football and Religion are Shaping Identity and Society</t>
  </si>
  <si>
    <t>The Beautiful Game on a Muslim Pitch E-BOOK</t>
  </si>
  <si>
    <t>Hughes, Aaron W. / Stenberg, Leif</t>
  </si>
  <si>
    <t>Interreligious Studies</t>
  </si>
  <si>
    <t>978-1-3995-4644-7</t>
  </si>
  <si>
    <t>The Wandering Fictions of George Borrow</t>
  </si>
  <si>
    <t>A Literature on the Move 1840–1940</t>
  </si>
  <si>
    <t>The Wandering Fictions of George Borrow E-BOOK</t>
  </si>
  <si>
    <t>Radford, Andrew D.</t>
  </si>
  <si>
    <t>978-1-3995-3555-7</t>
  </si>
  <si>
    <t>The Emotions of LGBT Rights and Reforms</t>
  </si>
  <si>
    <t>Repairing Law</t>
  </si>
  <si>
    <t>The Emotions of LGBT Rights and Reforms E-BOOK</t>
  </si>
  <si>
    <t>Sunil Raj, Senthorun</t>
  </si>
  <si>
    <t>978-1-3995-4685-0</t>
  </si>
  <si>
    <t>Rereading Plato’s Republic</t>
  </si>
  <si>
    <t>Rereading Plato’s Republic E-BOOK</t>
  </si>
  <si>
    <t>Mary Margaret McCabe, Simon Trépanier</t>
  </si>
  <si>
    <t>978-1-3995-3187-0</t>
  </si>
  <si>
    <t>Somewhere Between Art History and Phenomenology</t>
  </si>
  <si>
    <t>At the Still Point of the Painted World</t>
  </si>
  <si>
    <t>Somewhere Between Art History and Phenomenology E-BOOK</t>
  </si>
  <si>
    <t>Holly, Michael Ann</t>
  </si>
  <si>
    <t>978-1-909724-16-7</t>
  </si>
  <si>
    <t>A History of Ottoman Poetry Volume III</t>
  </si>
  <si>
    <t>1520 - 1600</t>
  </si>
  <si>
    <t>A History of Ottoman Poetry Volume III E-BOOK</t>
  </si>
  <si>
    <t>978-1-909724-25-9</t>
  </si>
  <si>
    <t>A History of Ottoman Poetry Volume VI</t>
  </si>
  <si>
    <t>Turkish Texts</t>
  </si>
  <si>
    <t>A History of Ottoman Poetry Volume VI E-BOOK</t>
  </si>
  <si>
    <t>978-0-7486-9599-7</t>
  </si>
  <si>
    <t>Contributions to English, Irish and American Periodicals</t>
  </si>
  <si>
    <t>Contributions to English, Irish and American Periodic E-BOOK</t>
  </si>
  <si>
    <t>Hogg, JamesHunter, Adrian</t>
  </si>
  <si>
    <t>978-1-913604-03-5</t>
  </si>
  <si>
    <t>Faḍāʾil-i Balkh (The Merits of Balkh)</t>
  </si>
  <si>
    <t>Faḍāʾil-i Balkh (The Merits of Balkh) E-BOOK</t>
  </si>
  <si>
    <t>Herzig, Edmund / Azad, Arezou</t>
  </si>
  <si>
    <t>978-1-4744-3123-1</t>
  </si>
  <si>
    <t>Intercultural Transitions in Higher Education</t>
  </si>
  <si>
    <t>International Student Adjustment and Adaptation</t>
  </si>
  <si>
    <t>Intercultural Transitions in Higher Education E-BOOK</t>
  </si>
  <si>
    <t>Schartner, Alina / Johnstone Young, Tony</t>
  </si>
  <si>
    <t>978-1-909724-95-2</t>
  </si>
  <si>
    <t>Mázandarán and Astarábád</t>
  </si>
  <si>
    <t>Mázandarán and Astarábád E-BOOK</t>
  </si>
  <si>
    <t>Melville, Charles / Rabino, H. L.</t>
  </si>
  <si>
    <t>Ancient Near Eastern Studies</t>
  </si>
  <si>
    <t>978-1-3995-3679-0</t>
  </si>
  <si>
    <t>Women, Martyrs and Stones in Iran’s Post-War Politics</t>
  </si>
  <si>
    <t>Women, Martyrs and Stones in Iran’s Post-War Politics E-BOOK</t>
  </si>
  <si>
    <t>Chavoshian, Sana</t>
  </si>
  <si>
    <t>Studies in Shi’i Materiality</t>
  </si>
  <si>
    <t>978-0-7486-7975-1</t>
  </si>
  <si>
    <t>The Siege of Malta and Bizarro</t>
  </si>
  <si>
    <t>The Siege of Malta and Bizarro E-BOOK</t>
  </si>
  <si>
    <t>Scott, WalterAlexander, J. H. / Tulloch, Graham / King, Judy</t>
  </si>
  <si>
    <t>978-0-7486-9687-1</t>
  </si>
  <si>
    <t>Shaping Global Islamic Discourses</t>
  </si>
  <si>
    <t>The Role of al-Azhar, al-Medina and al-Mustafa</t>
  </si>
  <si>
    <t>Shaping Global Islamic Discourses E-BOOK</t>
  </si>
  <si>
    <t>Bano, Masooda / Sakurai, Keiko</t>
  </si>
  <si>
    <t>978-1-909724-83-9</t>
  </si>
  <si>
    <t>The 1820 Russian Survey of the Khanate of Shirvan</t>
  </si>
  <si>
    <t>The 1820 Russian Survey of the Khanate of Shirvan E-BOOK</t>
  </si>
  <si>
    <t>Bournoutian, George A.</t>
  </si>
  <si>
    <t>978-1-909724-99-0</t>
  </si>
  <si>
    <t>Ethics and Poetry in Sixth-Century Arabia</t>
  </si>
  <si>
    <t>Ethics and Poetry in Sixth-Century Arabia E-BOOK</t>
  </si>
  <si>
    <t>Jamil, Nadia</t>
  </si>
  <si>
    <t>978-0-7486-7281-3</t>
  </si>
  <si>
    <t>The Communist Manifesto</t>
  </si>
  <si>
    <t>New Interpretations</t>
  </si>
  <si>
    <t>The Communist Manifesto E-BOOK</t>
  </si>
  <si>
    <t>Cowling, Mark</t>
  </si>
  <si>
    <t>978-1-913604-07-3</t>
  </si>
  <si>
    <t>The Portrait of Abū l-Qāsim al-Baghdādī al-Tamīmī</t>
  </si>
  <si>
    <t>The Portrait of Abū l-Qāsim al-Baghdādī al-Tamīmī E-BOOK</t>
  </si>
  <si>
    <t>al-Azdī, Abū l-Muṭahhar Muḥammad ibn AḥmadSelove, Emily / van Gelder, Geert Jan</t>
  </si>
  <si>
    <t>978-1-4744-5016-4</t>
  </si>
  <si>
    <t>The Play of Law in Modern British Theatre</t>
  </si>
  <si>
    <t>The Play of Law in Modern British Theatre E-BOOK</t>
  </si>
  <si>
    <t>Ward, Ian</t>
  </si>
  <si>
    <t>978-1-4744-8370-4</t>
  </si>
  <si>
    <t>Avizandum Legislation on International Private Law</t>
  </si>
  <si>
    <t>Avizandum Legislation on International Private Law E-BOOK</t>
  </si>
  <si>
    <t>Carruthers, Janeen / Crawford, Elizabeth</t>
  </si>
  <si>
    <t>978-0-7486-4907-5</t>
  </si>
  <si>
    <t>Children's Literature</t>
  </si>
  <si>
    <t>Children's Literature E-BOOK</t>
  </si>
  <si>
    <t>Grenby, M.O.</t>
  </si>
  <si>
    <t>978-1-4744-8362-9</t>
  </si>
  <si>
    <t>Avizandum Statutes on Scots Public Law</t>
  </si>
  <si>
    <t>Avizandum Statutes on Scots Public Law E-BOOK</t>
  </si>
  <si>
    <t>Ghaleigh, Navraj Singh</t>
  </si>
  <si>
    <t>978-1-4744-4546-7</t>
  </si>
  <si>
    <t>The Edinburgh Edition of the Collected Letters of Katherine Mansfield, Volume 1</t>
  </si>
  <si>
    <t>Letters to Correspondents A – J</t>
  </si>
  <si>
    <t>978-0-7486-2842-1</t>
  </si>
  <si>
    <t>Waverley to a Legend of the Wars of Montrose</t>
  </si>
  <si>
    <t>978-1-909724-49-5</t>
  </si>
  <si>
    <t>The Life, Personality and Writings of al-Junayd</t>
  </si>
  <si>
    <t>The Life, Personality and Writings of al-Junayd E-BOOK</t>
  </si>
  <si>
    <t>Abdel-Kader, Ali Hassan</t>
  </si>
  <si>
    <t>978-1-909724-10-5</t>
  </si>
  <si>
    <t>A History of Ottoman Poetry Volume I</t>
  </si>
  <si>
    <t>1300 - 1450</t>
  </si>
  <si>
    <t>A History of Ottoman Poetry Volume I E-BOOK</t>
  </si>
  <si>
    <t>978-0-7486-9170-8</t>
  </si>
  <si>
    <t>The Stylistics of Professional Discourse</t>
  </si>
  <si>
    <t>The Stylistics of Professional Discourse E-BOOK</t>
  </si>
  <si>
    <t>Solly, Martin</t>
  </si>
  <si>
    <t>978-1-4744-6834-3</t>
  </si>
  <si>
    <t>978-0-906094-97-6</t>
  </si>
  <si>
    <t>Medieval Islamic Swords and Swordmaking</t>
  </si>
  <si>
    <t>Medieval Islamic Swords and Swordmaking E-BOOK</t>
  </si>
  <si>
    <t>Hoyland, Robert G. / Gilmour, Brian</t>
  </si>
  <si>
    <t>978-1-4744-9993-4</t>
  </si>
  <si>
    <t>Flora of Turkey, Volume 11</t>
  </si>
  <si>
    <t>Flora of Turkey, Volume 11 E-BOOK</t>
  </si>
  <si>
    <t>Güner, Adil</t>
  </si>
  <si>
    <t>978-1-4744-5751-4</t>
  </si>
  <si>
    <t>Architectural Culture in British-Mandate Jerusalem, 1917-1948</t>
  </si>
  <si>
    <t>Architectural Culture in British-Mandate Jerusalem, 1 E-BOOK</t>
  </si>
  <si>
    <t>Gitler, Inbal Ben-Asher</t>
  </si>
  <si>
    <t>978-1-909724-11-2</t>
  </si>
  <si>
    <t>A History of Ottoman Poetry Volume II</t>
  </si>
  <si>
    <t>1450-1520</t>
  </si>
  <si>
    <t>A History of Ottoman Poetry Volume II E-BOOK</t>
  </si>
  <si>
    <t>978-1-909724-75-4</t>
  </si>
  <si>
    <t>Hudud al-‘Alam ‘The Regions of the World’</t>
  </si>
  <si>
    <t>A Persian Geography 372 A.H. (982 AD)</t>
  </si>
  <si>
    <t>Hudud al-‘Alam ‘The Regions of the World’ E-BOOK</t>
  </si>
  <si>
    <t>Bosworth, C. E. / Minorsky, V. V.</t>
  </si>
  <si>
    <t>978-1-909724-43-3</t>
  </si>
  <si>
    <t>Books and Bibliophiles</t>
  </si>
  <si>
    <t>Studies in honour of Paul Auchterlonie on the Bio-Bibliography of the Muslim World</t>
  </si>
  <si>
    <t>Books and Bibliophiles E-BOOK</t>
  </si>
  <si>
    <t>Language and Literature</t>
  </si>
  <si>
    <t>978-1-4744-7014-8</t>
  </si>
  <si>
    <t>Handbook for British and Irish Archaeology</t>
  </si>
  <si>
    <t>Sources and Resources</t>
  </si>
  <si>
    <t>Handbook for British and Irish Archaeology E-BOOK</t>
  </si>
  <si>
    <t>Lavell, Cherry</t>
  </si>
  <si>
    <t>NAT027000 NATURE / Reference</t>
  </si>
  <si>
    <t>978-1-3995-4323-1</t>
  </si>
  <si>
    <t>Critical Feminist Peace and Conflict Studies</t>
  </si>
  <si>
    <t>Bridging Critique, Vision and Praxis</t>
  </si>
  <si>
    <t>Critical Feminist Peace and Conflict Studies E-BOOK</t>
  </si>
  <si>
    <t>McLean, Lisa / Hyde, Julie Marie / Jafari, Sheherazade / Dueck-Read, Jodi</t>
  </si>
  <si>
    <t>Edinburgh Feminist Studies on Peace, Violence and Justice</t>
  </si>
  <si>
    <t>978-1-909724-69-3</t>
  </si>
  <si>
    <t>The Fārs-nāma of Ibnu l-Balkhī</t>
  </si>
  <si>
    <t>The Fārs-nāma of Ibnu l-Balkhī E-BOOK</t>
  </si>
  <si>
    <t>Le Strange, Guy / Nicholson, Reynold A.</t>
  </si>
  <si>
    <t>978-1-3995-2159-8</t>
  </si>
  <si>
    <t>BUMIDOM (1963–1982) and its Afterlives</t>
  </si>
  <si>
    <t>Literature, Memory and Migration</t>
  </si>
  <si>
    <t>BUMIDOM (1963–1982) and its Afterlives E-BOOK</t>
  </si>
  <si>
    <t>Wimbush, Antonia</t>
  </si>
  <si>
    <t>New Directions in Francophone Studies: Diversity, Decolonisation, Queerness</t>
  </si>
  <si>
    <t>978-0-7486-7409-1</t>
  </si>
  <si>
    <t>Reading Virginia Woolf's Essays and Journalism</t>
  </si>
  <si>
    <t>Reading Virginia Woolf's Essays and Journalism E-BOOK</t>
  </si>
  <si>
    <t>Brosnan, Leila</t>
  </si>
  <si>
    <t>978-0-906094-89-1</t>
  </si>
  <si>
    <t>Abbasid Studies IV</t>
  </si>
  <si>
    <t>Abbasid Studies IV E-BOOK</t>
  </si>
  <si>
    <t>Bernards, Monique</t>
  </si>
  <si>
    <t>978-1-4744-6963-0</t>
  </si>
  <si>
    <t>The Edinburgh History of the Scots Language</t>
  </si>
  <si>
    <t>The Edinburgh History of the Scots Language E-BOOK</t>
  </si>
  <si>
    <t>Jones, Charles</t>
  </si>
  <si>
    <t>978-1-909724-05-1</t>
  </si>
  <si>
    <t>The Mathnawí of Jaláluʾddín Rúmí</t>
  </si>
  <si>
    <t>Volume 4, English Text</t>
  </si>
  <si>
    <t>The Mathnawí of Jaláluʾddín Rúmí E-BOOK</t>
  </si>
  <si>
    <t>Nicholson, Reynold A</t>
  </si>
  <si>
    <t>978-1-909724-02-0</t>
  </si>
  <si>
    <t>Volume 2, English Text</t>
  </si>
  <si>
    <t>POE013000 POETRY / Middle Eastern</t>
  </si>
  <si>
    <t>978-1-4744-8882-2</t>
  </si>
  <si>
    <t>Virtuality, Tendency and Time</t>
  </si>
  <si>
    <t>Posteraro, Tano S.</t>
  </si>
  <si>
    <t>Philosophy of the Natural Sciences</t>
  </si>
  <si>
    <t>SCI075000 SCIENCE / Philosophy &amp; Social Aspects</t>
  </si>
  <si>
    <t>978-1-4744-6555-7</t>
  </si>
  <si>
    <t>The Politics of Cultural Difference in Northern Cameroon</t>
  </si>
  <si>
    <t>The Politics of Cultural Difference in Northern Camer E-BOOK</t>
  </si>
  <si>
    <t>Burnham, Phillip</t>
  </si>
  <si>
    <t>978-0-906094-82-2</t>
  </si>
  <si>
    <t>Late Antiquity</t>
  </si>
  <si>
    <t>Eastern Perspectives</t>
  </si>
  <si>
    <t>Late Antiquity E-BOOK</t>
  </si>
  <si>
    <t>Silverstein, Adam J. / Bernheimer, Teresa</t>
  </si>
  <si>
    <t>978-0-906094-54-9</t>
  </si>
  <si>
    <t>Mujùn</t>
  </si>
  <si>
    <t>Libertinism in Medieval Muslim Society and Literature</t>
  </si>
  <si>
    <t>Mujùn E-BOOK</t>
  </si>
  <si>
    <t>Szombathy, Zoltan</t>
  </si>
  <si>
    <t>978-1-909724-32-7</t>
  </si>
  <si>
    <t>The Qur’an</t>
  </si>
  <si>
    <t>The Qur’an E-BOOK</t>
  </si>
  <si>
    <t>Text and Exegesis</t>
  </si>
  <si>
    <t>978-1-909724-08-2</t>
  </si>
  <si>
    <t>Volume 6, English Text</t>
  </si>
  <si>
    <t>978-1-909724-19-8</t>
  </si>
  <si>
    <t>A History of Ottoman Poetry Volume IV</t>
  </si>
  <si>
    <t>1700 – 1850</t>
  </si>
  <si>
    <t>A History of Ottoman Poetry Volume IV E-BOOK</t>
  </si>
  <si>
    <t>978-1-4744-7237-1</t>
  </si>
  <si>
    <t>A Legend of the Wars of Montrose</t>
  </si>
  <si>
    <t>A Legend of the Wars of Montrose E-BOOK</t>
  </si>
  <si>
    <t>978-1-909724-72-3</t>
  </si>
  <si>
    <t>The World of Murtada al-Zabidi</t>
  </si>
  <si>
    <t>The World of Murtada al-Zabidi E-BOOK</t>
  </si>
  <si>
    <t>Reichmuth, Stefan</t>
  </si>
  <si>
    <t>978-1-3995-4046-9</t>
  </si>
  <si>
    <t>Bergson as Writer</t>
  </si>
  <si>
    <t>Literature in Philosophy</t>
  </si>
  <si>
    <t>Bergson as Writer E-BOOK</t>
  </si>
  <si>
    <t>Clément, Bruno</t>
  </si>
  <si>
    <t>978-1-3995-4575-4</t>
  </si>
  <si>
    <t>Negotiating Civic Life</t>
  </si>
  <si>
    <t>Literature, Film, Politics</t>
  </si>
  <si>
    <t>Negotiating Civic Life E-BOOK</t>
  </si>
  <si>
    <t>Shapiro, Michael J.</t>
  </si>
  <si>
    <t>978-1-3995-1391-3</t>
  </si>
  <si>
    <t>An Introduction to Written Pleading</t>
  </si>
  <si>
    <t>An Introduction to Written Pleading E-BOOK</t>
  </si>
  <si>
    <t>Scullion, Dominic</t>
  </si>
  <si>
    <t>LAW063000 LAW / Legal Writing</t>
  </si>
  <si>
    <t>978-1-3995-4135-0</t>
  </si>
  <si>
    <t>Feminized Work and the Labor of Literature</t>
  </si>
  <si>
    <t>New Literary Perspectives on the Times, Spaces and Forms of Women’s Work</t>
  </si>
  <si>
    <t>Feminized Work and the Labor of Literature E-BOOK</t>
  </si>
  <si>
    <t>Hogg, Emily J. / Fabricius, Charlotte J.</t>
  </si>
  <si>
    <t>978-1-3995-2306-6</t>
  </si>
  <si>
    <t>Literary Back-Translation</t>
  </si>
  <si>
    <t>Literary Back-Translation E-BOOK</t>
  </si>
  <si>
    <t>Lane, Véronique</t>
  </si>
  <si>
    <t>Translation Studies</t>
  </si>
  <si>
    <t>978-1-3995-1702-7</t>
  </si>
  <si>
    <t>Virginia Woolf – Objects, Things, Matter</t>
  </si>
  <si>
    <t>Virginia Woolf – Objects, Things, Matter E-BOOK</t>
  </si>
  <si>
    <t>Mattison, Laci</t>
  </si>
  <si>
    <t>978-1-3995-2199-4</t>
  </si>
  <si>
    <t>Al-Jāḥiẓ and Religious Knowledge</t>
  </si>
  <si>
    <t>A Forgotten Islamic Rationalism</t>
  </si>
  <si>
    <t>Al-Jāḥiẓ and Religious Knowledge E-BOOK</t>
  </si>
  <si>
    <t>Hussein, Ali Abdulsater</t>
  </si>
  <si>
    <t>978-1-3995-3282-2</t>
  </si>
  <si>
    <t>James Joyce, Rural Ireland and Modernity</t>
  </si>
  <si>
    <t>Beyond the Pale</t>
  </si>
  <si>
    <t>James Joyce, Rural Ireland and Modernity E-BOOK</t>
  </si>
  <si>
    <t>Ó Cuileagáin, Niall</t>
  </si>
  <si>
    <t>978-1-3995-4495-5</t>
  </si>
  <si>
    <t>Planetary Politics</t>
  </si>
  <si>
    <t>Arendt, Anarchy and the Climate Crisis</t>
  </si>
  <si>
    <t>Planetary Politics E-BOOK</t>
  </si>
  <si>
    <t>Benjamin, Lucy</t>
  </si>
  <si>
    <t>978-1-3995-4069-8</t>
  </si>
  <si>
    <t>The Practical Morality of Life</t>
  </si>
  <si>
    <t>Adam Smith, George Anne Bellamy, and the Theatre</t>
  </si>
  <si>
    <t>The Practical Morality of Life E-BOOK</t>
  </si>
  <si>
    <t>Breashears, Caroline</t>
  </si>
  <si>
    <t>978-1-4744-9979-8</t>
  </si>
  <si>
    <t>Syrian Poets and Vernacular Modernity</t>
  </si>
  <si>
    <t>Syrian Poets and Vernacular Modernity E-BOOK</t>
  </si>
  <si>
    <t>Behar, Daniel</t>
  </si>
  <si>
    <t>978-1-3995-3515-1</t>
  </si>
  <si>
    <t>Uncanny Landscapes in 21st Century British Cinema</t>
  </si>
  <si>
    <t>The Pestilence in the Ditch</t>
  </si>
  <si>
    <t>Uncanny Landscapes in 21st Century British Cinema E-BOOK</t>
  </si>
  <si>
    <t>Jackson, Lawrence</t>
  </si>
  <si>
    <t>978-1-3995-1383-8</t>
  </si>
  <si>
    <t>Hopeful Vision</t>
  </si>
  <si>
    <t>Entertainment on the Small Screen</t>
  </si>
  <si>
    <t>Hopeful Vision E-BOOK</t>
  </si>
  <si>
    <t>Piper, Helen</t>
  </si>
  <si>
    <t>978-1-3995-3827-5</t>
  </si>
  <si>
    <t>The Embodied Reader in D. H. Lawrence’s Criticism and Fiction</t>
  </si>
  <si>
    <t>Reading, Feeling and Modernist Form</t>
  </si>
  <si>
    <t>The Embodied Reader in D. H. Lawrence’s Criticism and E-BOOK</t>
  </si>
  <si>
    <t>Acton, Harry</t>
  </si>
  <si>
    <t>978-1-3995-4775-8</t>
  </si>
  <si>
    <t>978-1-3995-1812-3</t>
  </si>
  <si>
    <t>Syria’s Transnational Rebellion</t>
  </si>
  <si>
    <t>Diaspora Politics and the Revolt of 1925-1927</t>
  </si>
  <si>
    <t>Syria’s Transnational Rebellion E-BOOK</t>
  </si>
  <si>
    <t>Bailony, Reem</t>
  </si>
  <si>
    <t>978-1-4744-9301-7</t>
  </si>
  <si>
    <t>Transatlantic Threads</t>
  </si>
  <si>
    <t>Scottish Linen and Society, c.1707-1780</t>
  </si>
  <si>
    <t>Transatlantic Threads E-BOOK</t>
  </si>
  <si>
    <t>Tuckett, Sally</t>
  </si>
  <si>
    <t xml:space="preserve">Designers </t>
  </si>
  <si>
    <t>978-1-3995-4347-7</t>
  </si>
  <si>
    <t>Experiencing the Landscapes of Medieval Anatolia</t>
  </si>
  <si>
    <t>Experiencing the Landscapes of Medieval Anatolia E-BOOK</t>
  </si>
  <si>
    <t>Trépanier, Nicolas</t>
  </si>
  <si>
    <t>978-1-3995-3263-1</t>
  </si>
  <si>
    <t>ReFocus: The Historical Films of Ernst Lubitsch</t>
  </si>
  <si>
    <t>ReFocus: The Historical Films of Ernst Lubitsch E-BOOK</t>
  </si>
  <si>
    <t>Boyd, David John</t>
  </si>
  <si>
    <t>978-1-3995-0660-1</t>
  </si>
  <si>
    <t>The Visual Novel</t>
  </si>
  <si>
    <t>Christine Brooke-Rose, Ann Quin, Brigid Brophy</t>
  </si>
  <si>
    <t>The Visual Novel E-BOOK</t>
  </si>
  <si>
    <t>White, Hilary</t>
  </si>
  <si>
    <t>978-1-3995-3409-3</t>
  </si>
  <si>
    <t>Arendt’s Disappointments and Our New Beginnings</t>
  </si>
  <si>
    <t>Citizenship and Democracy Reimagined</t>
  </si>
  <si>
    <t>Arendt’s Disappointments and Our New Beginnings E-BOOK</t>
  </si>
  <si>
    <t>Kaufman, Peter Iver</t>
  </si>
  <si>
    <t>978-1-3995-4805-2</t>
  </si>
  <si>
    <t>Deleuze and Guattari's Philosophy of Transformation</t>
  </si>
  <si>
    <t>Individuating the Line of Flight</t>
  </si>
  <si>
    <t>Deleuze and Guattari's Philosophy of Transformation E-BOOK</t>
  </si>
  <si>
    <t>Thornton, Edward</t>
  </si>
  <si>
    <t>978-1-4744-3250-4</t>
  </si>
  <si>
    <t>The Vampire</t>
  </si>
  <si>
    <t>The Vampire E-BOOK</t>
  </si>
  <si>
    <t>Groom, Nick / Hughes, William</t>
  </si>
  <si>
    <t>978-1-3995-4520-4</t>
  </si>
  <si>
    <t>Thinking About Democracy in Turbulent Times</t>
  </si>
  <si>
    <t>Sorbonne Lectures</t>
  </si>
  <si>
    <t>Thinking About Democracy in Turbulent Times E-BOOK</t>
  </si>
  <si>
    <t>Keane, John</t>
  </si>
  <si>
    <t>ISBN</t>
  </si>
  <si>
    <t>publisher</t>
  </si>
  <si>
    <t>Title</t>
  </si>
  <si>
    <t>Sub-title</t>
  </si>
  <si>
    <t>Short Title</t>
  </si>
  <si>
    <t>format</t>
  </si>
  <si>
    <t>cover</t>
  </si>
  <si>
    <t>textbooks</t>
  </si>
  <si>
    <t>e-dition of electronic version</t>
  </si>
  <si>
    <t>open access</t>
  </si>
  <si>
    <t>Language</t>
  </si>
  <si>
    <t>Copyright Year</t>
  </si>
  <si>
    <t>Publ. Date</t>
  </si>
  <si>
    <t>Author/Editor</t>
  </si>
  <si>
    <t>Edition</t>
  </si>
  <si>
    <t>Series</t>
  </si>
  <si>
    <t>Volume</t>
  </si>
  <si>
    <t>Euro Price</t>
  </si>
  <si>
    <t>USD Price</t>
  </si>
  <si>
    <t>GBP Price</t>
  </si>
  <si>
    <t>subject area</t>
  </si>
  <si>
    <t>Subject area level 2</t>
  </si>
  <si>
    <t>Subject area level 3</t>
  </si>
  <si>
    <t>BISAC</t>
  </si>
  <si>
    <t>Print ISBN</t>
  </si>
  <si>
    <t>Print Publ. Date</t>
  </si>
  <si>
    <t>Print Euro Price</t>
  </si>
  <si>
    <t>Print USD Price</t>
  </si>
  <si>
    <t>Print GBP Price</t>
  </si>
  <si>
    <t>e-dition of print version</t>
  </si>
  <si>
    <t>Status</t>
  </si>
  <si>
    <t>URL</t>
  </si>
  <si>
    <t>URL2</t>
  </si>
  <si>
    <t>Package(s)</t>
  </si>
  <si>
    <t>erworbene Vertriebsrechte</t>
  </si>
  <si>
    <t>vergebene Vertriebsrechte</t>
  </si>
  <si>
    <t>PDA</t>
  </si>
  <si>
    <t>Anzahl ISBN</t>
  </si>
  <si>
    <t>related Print-ISBN</t>
  </si>
  <si>
    <t>Anzahl eBooks</t>
  </si>
  <si>
    <t>UK Oil and Gas Law: Current Practice and Emerging Trends: Volume I: Resource Management and Regulatory Law</t>
  </si>
  <si>
    <t>Gordon, Greg;Paterson, John;Üșenmez, Emre</t>
  </si>
  <si>
    <t>Core textbook not available for libraries</t>
  </si>
  <si>
    <t>UK Oil and Gas Law: Current Practice and Emerging Trends: Volume II: Commercial and Contract Law Issues</t>
  </si>
  <si>
    <t>Mountain Flora of Greece</t>
  </si>
  <si>
    <t>No files available</t>
  </si>
  <si>
    <t>Boswell, Laird of Auchinleck, 1778–1782: Trade Edition</t>
  </si>
  <si>
    <t>James Boswell, Ed. By: Joseph W. Reed, Frederick A. Pottle</t>
  </si>
  <si>
    <t>PDF files not available yet</t>
  </si>
  <si>
    <t>The General Correspondence of James Boswell, 1766–1769</t>
  </si>
  <si>
    <t>The Shepherd's Calendar</t>
  </si>
  <si>
    <t>The Three Perils of Woman</t>
  </si>
  <si>
    <t>Bank of Scotland</t>
  </si>
  <si>
    <t>Jarring Witnesses: Modern Fiction and the Representation of History</t>
  </si>
  <si>
    <t>Robert Holton</t>
  </si>
  <si>
    <t>Tales of the Wars of Montrose</t>
  </si>
  <si>
    <t>Phillip Burnham</t>
  </si>
  <si>
    <t>All Pals Together</t>
  </si>
  <si>
    <t>Kicking Daffodils</t>
  </si>
  <si>
    <t>The Correspondence of James Boswell and William Johnson Temple, 1756–1795</t>
  </si>
  <si>
    <t>Out of print</t>
  </si>
  <si>
    <t>The New Italian Novel</t>
  </si>
  <si>
    <t>Z G Baranski, Lino Pertile</t>
  </si>
  <si>
    <t>Islamic Ornament</t>
  </si>
  <si>
    <t>Eva Baer</t>
  </si>
  <si>
    <t>Queen Hynde</t>
  </si>
  <si>
    <t>The Correspondence of James Boswell with James Bruce and Andrew Gibb, Overseers of the Auchinleck Estate</t>
  </si>
  <si>
    <t>The New Deal</t>
  </si>
  <si>
    <t>Treasure Island</t>
  </si>
  <si>
    <t>Vital Signs</t>
  </si>
  <si>
    <t>Shildrick</t>
  </si>
  <si>
    <t>Women's Fiction Between the Wars</t>
  </si>
  <si>
    <t>The Edinburgh Encyclopaedia of Continental Philosophy</t>
  </si>
  <si>
    <t>Religion in Archaic and Republican Rome and Italy: Evidence and Experience</t>
  </si>
  <si>
    <t>Ed. By: Edward Bispham, Christopher Smith</t>
  </si>
  <si>
    <t>Rome in Late Antiquity: Everyday Life and Urban Change, AD 312-609</t>
  </si>
  <si>
    <t>Bertrand Lançon</t>
  </si>
  <si>
    <t>The Spy</t>
  </si>
  <si>
    <t>Asante Identities: History and Modernity in an African Village, 1850-1950</t>
  </si>
  <si>
    <t>Ed. By T.C. McCaskie</t>
  </si>
  <si>
    <t>Christology and the New Testament</t>
  </si>
  <si>
    <t>Ed. By: Adil Güner</t>
  </si>
  <si>
    <t>Introducing Literary Theories</t>
  </si>
  <si>
    <t>The Correspondence and Other Papers of James Boswell Relating to the Making of the Life of Johnson</t>
  </si>
  <si>
    <t>The Existentialist Reader</t>
  </si>
  <si>
    <t>A History of Scottish Medicine</t>
  </si>
  <si>
    <t>Reem Bassiouney</t>
  </si>
  <si>
    <t>Exclusive rights to US and Canada, only</t>
  </si>
  <si>
    <t>Plant Life of Edinburgh and the Lothians</t>
  </si>
  <si>
    <t>The Jacobite Relics of Scotland</t>
  </si>
  <si>
    <t>Who are the Scots &amp; The Scottish Nation</t>
  </si>
  <si>
    <t>A Companion to Religious Studies and Theology</t>
  </si>
  <si>
    <t>Ed. By: Helen Bond, Seth Kunin, J G Murphy</t>
  </si>
  <si>
    <t>A Glossary of Language and Mind</t>
  </si>
  <si>
    <t>Jean Aitchison</t>
  </si>
  <si>
    <t>Altrive Tales</t>
  </si>
  <si>
    <t>Leaders in the Lords 1765-1902: Government Management and Party Organization in the Upper Chambers, 1765-1902</t>
  </si>
  <si>
    <t>Ed. By: Richard W. Davis</t>
  </si>
  <si>
    <t>Ed. By: Mark Golden, Peter Toohey</t>
  </si>
  <si>
    <t>The Kristeva Critical Reader</t>
  </si>
  <si>
    <t>The Philosophy Workbook</t>
  </si>
  <si>
    <t>I Am</t>
  </si>
  <si>
    <t>Kant's Philosophies of Judgement</t>
  </si>
  <si>
    <t>Douglas Burnham</t>
  </si>
  <si>
    <t>Parchment and People: Parliament in the Middle Ages</t>
  </si>
  <si>
    <t>Ed. By: Linda Clark</t>
  </si>
  <si>
    <t>Rethinking Islam in the Contemporary World</t>
  </si>
  <si>
    <t>The Knowing Animal</t>
  </si>
  <si>
    <t>Ed.By: Clement Henry, Rodney Wilson</t>
  </si>
  <si>
    <t>The Queen's Wake</t>
  </si>
  <si>
    <t>Thomas Reid on Logic, Rhetoric and the Fine Arts</t>
  </si>
  <si>
    <t>A Mixed Legal System in Transition: T. B. Smith and the Progress of Scots Law</t>
  </si>
  <si>
    <t>Ed. By: Elspeth Reid, David Carey Miller</t>
  </si>
  <si>
    <t>Cold War US Foreign Policy: Key Perspectives</t>
  </si>
  <si>
    <t>Steven Hurst</t>
  </si>
  <si>
    <t>James Hogg, Ed. By: James E. Barcus</t>
  </si>
  <si>
    <t>Sandra Lynch</t>
  </si>
  <si>
    <t>Cinema and National Identity: Narrative Time in National Contexts</t>
  </si>
  <si>
    <t>David Martin-Jones</t>
  </si>
  <si>
    <t>Contributions to Annuals and Gift-Books</t>
  </si>
  <si>
    <t>German Idealism: An Anthology and Guide</t>
  </si>
  <si>
    <t>Ed. By: Brian O'Connor, Georg Mohr</t>
  </si>
  <si>
    <t>Scotland: The Making and Unmaking of the Nation c.1100-1707: Volume 3 Readings, c1100-1500</t>
  </si>
  <si>
    <t>Ed. By: Alan R. MacDonald, Bob Harris</t>
  </si>
  <si>
    <t>Scottish Fiction and the British Empire</t>
  </si>
  <si>
    <t>The Collected Letters of James Hogg, Volume 2, 1820-1831</t>
  </si>
  <si>
    <t>The Forest Minstrel</t>
  </si>
  <si>
    <t>James Hogg, Ed. By: P. D. Garside, Richard Jackson</t>
  </si>
  <si>
    <t>A Queer Book</t>
  </si>
  <si>
    <t>Charles Gore</t>
  </si>
  <si>
    <t>Exploring the Law of Succession: Studies National, Historical and Comparative</t>
  </si>
  <si>
    <t>Ed. By: Kenneth Reid, Marius de Waal, Reinhard Zimmermann</t>
  </si>
  <si>
    <t>Andrew Newby</t>
  </si>
  <si>
    <t>Masquerades of Modernity: Power and Secrecy in Casamance, Senegal</t>
  </si>
  <si>
    <t>Ferdinand de Jong</t>
  </si>
  <si>
    <t>Roman Law, Scots Law and Legal History: Selected Essays</t>
  </si>
  <si>
    <t>William Gordon</t>
  </si>
  <si>
    <t>Scotland: The Making and Unmaking of the Nation c.1100-1707: Volume 2 Early Modern Scotland: c.1500-1707</t>
  </si>
  <si>
    <t>Sibawayh on Iimalah (Inclination): Text, Translation, Notes and Analysis</t>
  </si>
  <si>
    <t>Solomon I. Sara</t>
  </si>
  <si>
    <t>Ed. By: Adrian Little, Moya Lloyd</t>
  </si>
  <si>
    <t xml:space="preserve">
The Siege of Malta and Bizarro</t>
  </si>
  <si>
    <t>Walter Scott</t>
  </si>
  <si>
    <t>British News Media and the Spanish Civil War: Tomorrow May Be Too Late</t>
  </si>
  <si>
    <t>David Deacon</t>
  </si>
  <si>
    <t>Global Democracy: The Case for a World Government</t>
  </si>
  <si>
    <t>Torbjörn Tännsjö</t>
  </si>
  <si>
    <t>James Boswell: The Journal of His German and Swiss Travels, 1764</t>
  </si>
  <si>
    <t>James Boswell</t>
  </si>
  <si>
    <t>Men of Influence: Stalin's Diplomats in Europe, 1930-1939</t>
  </si>
  <si>
    <t>Sabine Dullin</t>
  </si>
  <si>
    <t>Midsummer Night Dreams and Related Poems</t>
  </si>
  <si>
    <t>The Bush aboon Traquair and The Royal Jubilee</t>
  </si>
  <si>
    <t>The Collected Letters of James Hogg, Volume 3, 1832-1835</t>
  </si>
  <si>
    <t>Ed. By: Jonathan Edmondson</t>
  </si>
  <si>
    <t>For A' That</t>
  </si>
  <si>
    <t>Immanence and the Vertigo of Philosophy: From Kant to Deleuze</t>
  </si>
  <si>
    <t>Christian Kerslake</t>
  </si>
  <si>
    <t>Mesthrie, Rajend;Swann, Joan;Deumert, Ana;Starr, Rebecca Lurie</t>
  </si>
  <si>
    <t>Media Studies: A Reader</t>
  </si>
  <si>
    <t>Thornham, Sue;Bassett, Caroline;Marris, Paul</t>
  </si>
  <si>
    <t>Nietzsche on Epistemology and Metaphysics: The World in View</t>
  </si>
  <si>
    <t>Tsarina Doyle</t>
  </si>
  <si>
    <t>Obafemi Awolowo and the Making of Remo: The Local Politics of a Nigerian Nationalist</t>
  </si>
  <si>
    <t>Insa Nolte</t>
  </si>
  <si>
    <t>Pittock, Myth of the Jacobite Clans</t>
  </si>
  <si>
    <t>Murray Pittock</t>
  </si>
  <si>
    <t>Psychoanalysis, Fascism, Fundamentalism: Psychoanalysis and History Volume 11, Issue 2</t>
  </si>
  <si>
    <t>Ed By: Julia Borossa, Ivan Ward</t>
  </si>
  <si>
    <t>Texture - A Cognitive Aesthetics of Reading</t>
  </si>
  <si>
    <t>Stockwell, Peter</t>
  </si>
  <si>
    <t>Duncan Watts</t>
  </si>
  <si>
    <t>Brett Mills</t>
  </si>
  <si>
    <t>Sociolinguistics and Corpus Linguistics</t>
  </si>
  <si>
    <t>Paul Baker</t>
  </si>
  <si>
    <t>Ten Years of UK Competition Law Reform</t>
  </si>
  <si>
    <t>Ed. By: Barry James Rodger</t>
  </si>
  <si>
    <t>The Collected Fiction of Katherine Mansfield, 1916–1922</t>
  </si>
  <si>
    <t>Corrupted ISBN. Requested update from press. WJ 14.2.2024</t>
  </si>
  <si>
    <t>International Commercial Agreements: An Edinburgh Law Guide</t>
  </si>
  <si>
    <t>Military Engineers: The Development of the Early Modern European State</t>
  </si>
  <si>
    <t>Bruce Lenman</t>
  </si>
  <si>
    <t>Scots Law for Students: An Introduction</t>
  </si>
  <si>
    <t>Hatab, Wafa Abu; Lahlali, El Mustapha</t>
  </si>
  <si>
    <t>Deleuze and the Concepts of Cinema: Deleuze Studies Volume 8, Number 3</t>
  </si>
  <si>
    <t>Daniela Angelucci, Translated by: Sarin Marchetti</t>
  </si>
  <si>
    <t>Finch, Valerie;McGroarty, John</t>
  </si>
  <si>
    <t>Language in Context in TESOL</t>
  </si>
  <si>
    <t>Cutting, Joan</t>
  </si>
  <si>
    <t>Maule, Douglas;Niu, Zhongdong</t>
  </si>
  <si>
    <t>Scots Criminal Law: A Critical Analysis</t>
  </si>
  <si>
    <t>Ferguson, Pamela R.;McDiarmid, Claire</t>
  </si>
  <si>
    <t>Grant, John;Sutherland, Elaine E.</t>
  </si>
  <si>
    <t>McFadden, Jean;McFadzean, Dale</t>
  </si>
  <si>
    <t>Cavanagh, Dermot;Gillis, Alan;Keown, Michelle;Loxley, James;Stevenson, Randall</t>
  </si>
  <si>
    <t>The Poetry and Critical Writings of Katherine Mansfield</t>
  </si>
  <si>
    <t>Hammond, Michael;Ross, Margaret</t>
  </si>
  <si>
    <t>Contemporary Morphological Theories: A User's Guide</t>
  </si>
  <si>
    <t>The Edinburgh Critical Edition of the Selected Writings of Andrew Lang</t>
  </si>
  <si>
    <t>Griffiths, Patrick;Cummins, Chris</t>
  </si>
  <si>
    <t>Democracy: A Reader</t>
  </si>
  <si>
    <t>Blaug, Ricardo;Schwarzmantel, John</t>
  </si>
  <si>
    <t>No Gods and Precious Few Heroes: Scotland 1900–2015</t>
  </si>
  <si>
    <t>Christopher Harvie</t>
  </si>
  <si>
    <t>The Edinburgh Edition of the Collected Works of Katherine Mansfield: Volumes 1-4</t>
  </si>
  <si>
    <t>Katherine Mansfield, Ed. By: Gerri Kimber, Vincent O'Sullivan, Angela Smith, Claire Davison</t>
  </si>
  <si>
    <t>Intercultural Communication: A Critical Introduction</t>
  </si>
  <si>
    <t>McFadzean, Dale;Irvine, Lynn Allardyce</t>
  </si>
  <si>
    <t>McConville, Mike;Chui, Wing Hong (Eric)</t>
  </si>
  <si>
    <t>The Virtual, the Actual, and the Intensive: Contentions, Reflections and Interpretations: Deleuze Studies Volume 11, Issue 2</t>
  </si>
  <si>
    <t>Ed. By: Sean Bowden, Dale Clisby</t>
  </si>
  <si>
    <t>An Introduction to English Morphology: Words and Their Structure (2nd edition)</t>
  </si>
  <si>
    <t>Lindquist, Hans;Levin, Magnus</t>
  </si>
  <si>
    <t>Alasdair Raffe</t>
  </si>
  <si>
    <t>Scottish Education: Fifth Edition</t>
  </si>
  <si>
    <t>Bryce, T. G. K.;Humes, W. M.;Gillies, D.;Kennedy, A.</t>
  </si>
  <si>
    <t>The Amateur Emigrant by R. L. Stevenson</t>
  </si>
  <si>
    <t>R. L. Stevenson, Ed. By: Julia Reid</t>
  </si>
  <si>
    <t>Classical Sociological Theory: A Reader</t>
  </si>
  <si>
    <t>Cognitive Linguistics: A Complete Guide</t>
  </si>
  <si>
    <t>Political Sociology: A Critical Introduction</t>
  </si>
  <si>
    <t>Stuarts and Romanovs: The Rise and Fall of a Special Relationship</t>
  </si>
  <si>
    <t>Paul Dukes, Graeme Herd, Jarmo Kotilaine</t>
  </si>
  <si>
    <t>An Introduction to English Phonology 2nd edition</t>
  </si>
  <si>
    <t>Inbal Ben-Asher Gitler</t>
  </si>
  <si>
    <t>Crawford, Elizabeth;Carruthers, Janeen</t>
  </si>
  <si>
    <t>Avizandum Statutes on Scots Commercial and Consumer Law: 2020-21</t>
  </si>
  <si>
    <t>MacPherson, Alisdair</t>
  </si>
  <si>
    <t>Avizandum Statutes on Scots Family Law: 2020-21</t>
  </si>
  <si>
    <t>Singh Ghaleigh, Navraj</t>
  </si>
  <si>
    <t>Avizandum Statutes on the Scots Law of Property, Trusts and Succession: 2020-21</t>
  </si>
  <si>
    <t xml:space="preserve">Steven, Andrew;Wortley, Scott </t>
  </si>
  <si>
    <t>Bisacre, Josephine;McFadzean, Claire</t>
  </si>
  <si>
    <t>James Hogg, Ed. By: Adrian Hunter</t>
  </si>
  <si>
    <t>Historical Linguistics: An Introduction</t>
  </si>
  <si>
    <t>King Lear ‘After’ Auschwitz: Shakespeare, Appropriation and Theatres of Catastrophe in Post-War British Drama</t>
  </si>
  <si>
    <t>Richard Ashby</t>
  </si>
  <si>
    <t>MacNeill, Iain G.</t>
  </si>
  <si>
    <t>Davison, Claire; Kimber, Gerri</t>
  </si>
  <si>
    <t xml:space="preserve">
Avizandum Statutes on Scots Family Law
A Practitioner’s Handbook, 2022-2023</t>
  </si>
  <si>
    <t>Ed. By: Jane Mair</t>
  </si>
  <si>
    <t>Avizandum Statutes on Scots Commercial and Consumer Law: 2021-2022</t>
  </si>
  <si>
    <t>Avizandum Statutes on Scots Family Law: 2021-2022</t>
  </si>
  <si>
    <t>Avizandum Statutes on the Scots Law of Property, Trusts &amp; Succession: 2021-2022</t>
  </si>
  <si>
    <t>Business Arabic: A Comprehensive Vocabulary</t>
  </si>
  <si>
    <t>Mai Zaki, John Mace</t>
  </si>
  <si>
    <t>Delict: A Comprehensive Guide to the Law in Scotland</t>
  </si>
  <si>
    <t>McManus, Francis;Conway, Ronald E.;Russell, Eleanor;Bisacre, Josephine;Macpherson, Ranald</t>
  </si>
  <si>
    <t>Stephen J. McGowan</t>
  </si>
  <si>
    <t>Scottish Arbitration Handbook: A Practitioner’s Guide</t>
  </si>
  <si>
    <t>Parratt, David R.;Grahame, Angela;Foreman, Peter</t>
  </si>
  <si>
    <t>Avizandum Statutes on Scots Property, Trusts &amp; Succession Law</t>
  </si>
  <si>
    <t xml:space="preserve">Steven, Andrew; Wortley, Scott </t>
  </si>
  <si>
    <t>EPUB</t>
  </si>
  <si>
    <t>The Edinburgh Edition of the Collected Letters of Katherine Mansfield, Volume 2</t>
  </si>
  <si>
    <t>The Edinburgh History of Reading: Volumes 1-4</t>
  </si>
  <si>
    <t>Ed. By: Mary Hammond, Jonathan Rose</t>
  </si>
  <si>
    <t>Ian Ward</t>
  </si>
  <si>
    <t>Dreaming Difference</t>
  </si>
  <si>
    <t>In Search of the Blue Flower</t>
  </si>
  <si>
    <t>Urban Inequality in Finland</t>
  </si>
  <si>
    <t>Bennett, The Editor and the Text</t>
  </si>
  <si>
    <t>Bintliff, Environmental Archaeology</t>
  </si>
  <si>
    <t>Boswell, Catalogue of the Papers of James Boswell at Yale</t>
  </si>
  <si>
    <t xml:space="preserve">Urban Development </t>
  </si>
  <si>
    <t>eISBN</t>
  </si>
  <si>
    <t>Print ISBN 13</t>
  </si>
  <si>
    <t>ePUB ISBN</t>
  </si>
  <si>
    <t>Publisher</t>
  </si>
  <si>
    <t>Author</t>
  </si>
  <si>
    <t>Reason for Exclusion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</si>
</sst>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C0C0C0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43">
    <xf numFmtId="0" fontId="0" fillId="0" borderId="0" xfId="0"/>
    <xf numFmtId="14" fontId="0" fillId="0" borderId="0" xfId="0" applyNumberFormat="1"/>
    <xf numFmtId="1" fontId="0" fillId="0" borderId="0" xfId="0" applyNumberFormat="1"/>
    <xf numFmtId="49" fontId="0" fillId="0" borderId="0" xfId="0" applyNumberFormat="1"/>
    <xf numFmtId="1" fontId="2" fillId="0" borderId="0" xfId="0" applyNumberFormat="1" applyFont="1"/>
    <xf numFmtId="0" fontId="2" fillId="0" borderId="0" xfId="0" applyFont="1"/>
    <xf numFmtId="49" fontId="2" fillId="0" borderId="0" xfId="0" applyNumberFormat="1" applyFont="1"/>
    <xf numFmtId="0" fontId="2" fillId="0" borderId="0" xfId="0" applyFont="1" applyAlignment="1">
      <alignment wrapText="1"/>
    </xf>
    <xf numFmtId="4" fontId="2" fillId="0" borderId="0" xfId="0" applyNumberFormat="1" applyFont="1"/>
    <xf numFmtId="14" fontId="2" fillId="0" borderId="0" xfId="0" applyNumberFormat="1" applyFont="1"/>
    <xf numFmtId="9" fontId="2" fillId="0" borderId="0" xfId="1" applyFont="1"/>
    <xf numFmtId="1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2" applyFont="1" applyBorder="1"/>
    <xf numFmtId="1" fontId="4" fillId="0" borderId="1" xfId="0" applyNumberFormat="1" applyFont="1" applyBorder="1"/>
    <xf numFmtId="1" fontId="4" fillId="0" borderId="1" xfId="2" applyNumberFormat="1" applyFont="1" applyBorder="1" applyAlignment="1">
      <alignment horizontal="right"/>
    </xf>
    <xf numFmtId="0" fontId="3" fillId="0" borderId="1" xfId="2" applyFont="1" applyBorder="1"/>
    <xf numFmtId="0" fontId="4" fillId="0" borderId="1" xfId="0" applyFont="1" applyBorder="1"/>
    <xf numFmtId="0" fontId="4" fillId="0" borderId="0" xfId="2" applyFont="1"/>
    <xf numFmtId="0" fontId="4" fillId="0" borderId="1" xfId="0" applyFont="1" applyBorder="1" applyAlignment="1">
      <alignment horizontal="center"/>
    </xf>
    <xf numFmtId="0" fontId="3" fillId="0" borderId="1" xfId="2" applyFont="1" applyBorder="1" applyAlignment="1">
      <alignment vertical="top"/>
    </xf>
    <xf numFmtId="0" fontId="4" fillId="0" borderId="1" xfId="2" applyFont="1" applyBorder="1" applyAlignment="1">
      <alignment horizontal="center"/>
    </xf>
    <xf numFmtId="1" fontId="4" fillId="0" borderId="1" xfId="2" applyNumberFormat="1" applyFont="1" applyBorder="1" applyAlignment="1">
      <alignment horizontal="left"/>
    </xf>
    <xf numFmtId="0" fontId="4" fillId="0" borderId="1" xfId="2" applyFont="1" applyBorder="1" applyAlignment="1">
      <alignment horizontal="left"/>
    </xf>
    <xf numFmtId="1" fontId="4" fillId="0" borderId="0" xfId="2" applyNumberFormat="1" applyFont="1" applyAlignment="1">
      <alignment horizontal="right"/>
    </xf>
    <xf numFmtId="0" fontId="4" fillId="0" borderId="0" xfId="2" applyFont="1" applyAlignment="1">
      <alignment horizontal="left"/>
    </xf>
    <xf numFmtId="1" fontId="4" fillId="0" borderId="2" xfId="2" applyNumberFormat="1" applyFont="1" applyBorder="1" applyAlignment="1">
      <alignment horizontal="right"/>
    </xf>
    <xf numFmtId="0" fontId="3" fillId="0" borderId="2" xfId="2" applyFont="1" applyBorder="1"/>
    <xf numFmtId="0" fontId="4" fillId="0" borderId="2" xfId="2" applyFont="1" applyBorder="1"/>
    <xf numFmtId="0" fontId="3" fillId="0" borderId="2" xfId="2" applyFont="1" applyBorder="1" applyAlignment="1">
      <alignment vertical="top"/>
    </xf>
    <xf numFmtId="1" fontId="4" fillId="0" borderId="3" xfId="2" applyNumberFormat="1" applyFont="1" applyBorder="1" applyAlignment="1">
      <alignment horizontal="right"/>
    </xf>
    <xf numFmtId="0" fontId="3" fillId="0" borderId="3" xfId="0" applyFont="1" applyBorder="1"/>
    <xf numFmtId="1" fontId="4" fillId="0" borderId="3" xfId="2" applyNumberFormat="1" applyFont="1" applyBorder="1" applyAlignment="1">
      <alignment horizontal="left"/>
    </xf>
    <xf numFmtId="0" fontId="4" fillId="0" borderId="3" xfId="2" applyFont="1" applyBorder="1"/>
    <xf numFmtId="0" fontId="4" fillId="0" borderId="3" xfId="2" applyFont="1" applyBorder="1" applyAlignment="1">
      <alignment horizontal="center"/>
    </xf>
    <xf numFmtId="0" fontId="3" fillId="0" borderId="3" xfId="2" applyFont="1" applyBorder="1"/>
    <xf numFmtId="0" fontId="4" fillId="0" borderId="3" xfId="2" applyFont="1" applyBorder="1" applyAlignment="1">
      <alignment horizontal="left"/>
    </xf>
    <xf numFmtId="0" fontId="3" fillId="0" borderId="3" xfId="2" applyFont="1" applyBorder="1" applyAlignment="1">
      <alignment vertical="top"/>
    </xf>
    <xf numFmtId="1" fontId="5" fillId="2" borderId="0" xfId="2" applyNumberFormat="1" applyFont="1" applyFill="1" applyAlignment="1">
      <alignment horizontal="left" vertical="center"/>
    </xf>
    <xf numFmtId="0" fontId="5" fillId="3" borderId="0" xfId="2" applyFont="1" applyFill="1" applyAlignment="1">
      <alignment horizontal="left"/>
    </xf>
    <xf numFmtId="0" fontId="5" fillId="2" borderId="0" xfId="2" applyFont="1" applyFill="1" applyAlignment="1">
      <alignment horizontal="left" vertical="center"/>
    </xf>
    <xf numFmtId="0" fontId="5" fillId="2" borderId="0" xfId="2" applyFont="1" applyFill="1" applyAlignment="1">
      <alignment horizontal="center" vertical="center"/>
    </xf>
  </cellXfs>
  <cellStyles count="3">
    <cellStyle name="Normal" xfId="0" builtinId="0"/>
    <cellStyle name="Normal 2 5" xfId="2" xr:uid="{145A8BC1-90A3-4428-9DE1-AB9D34C31A23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EUP\General\Sales\Ebooks%20&amp;%20Data%20Services\EUP%20E%20Partner%20agreements\LIBRARY%20AGREEMENTS\De%20Gruyter\Data%20Working%20Files\De_Gruyter_metadata_requested_ONIX-Production_TEMPLATE%20TO%20USE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tch 1ToBeSubmitted"/>
      <sheetName val="Batch2 Queries"/>
      <sheetName val="ePdf Duplication"/>
      <sheetName val="Tabelle1 Draft"/>
      <sheetName val="epdf LIst"/>
      <sheetName val="£ and $ equivalents (2)"/>
      <sheetName val="OA licens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">
          <cell r="A1" t="str">
            <v>TITLE+SUBTITLE</v>
          </cell>
          <cell r="B1" t="str">
            <v>Version type</v>
          </cell>
          <cell r="C1" t="str">
            <v>ISBN</v>
          </cell>
        </row>
        <row r="2">
          <cell r="A2" t="str">
            <v>‘Half-London’ in Zambia: contested identities in a Catholic mission school</v>
          </cell>
          <cell r="B2" t="str">
            <v>Ebook - pdf</v>
          </cell>
          <cell r="C2">
            <v>9781474472647</v>
          </cell>
        </row>
        <row r="3">
          <cell r="A3" t="str">
            <v>101 Problems and Solutions in Historical Linguistics: A Workbook</v>
          </cell>
          <cell r="B3" t="str">
            <v>Ebook - pdf</v>
          </cell>
          <cell r="C3">
            <v>9781474429221</v>
          </cell>
        </row>
        <row r="4">
          <cell r="A4" t="str">
            <v>1895: Drama, Disaster and Disgrace in Late Victorian Britain</v>
          </cell>
          <cell r="B4" t="str">
            <v>Ebook - pdf</v>
          </cell>
          <cell r="C4">
            <v>9780748650842</v>
          </cell>
        </row>
        <row r="5">
          <cell r="A5" t="str">
            <v>9/11 and the Literature of Terror</v>
          </cell>
          <cell r="B5" t="str">
            <v>Ebook - pdf</v>
          </cell>
          <cell r="C5">
            <v>9780748646975</v>
          </cell>
        </row>
        <row r="6">
          <cell r="A6" t="str">
            <v>9/11 and the War on Terror</v>
          </cell>
          <cell r="B6" t="str">
            <v>Ebook - pdf</v>
          </cell>
          <cell r="C6">
            <v>9780748632411</v>
          </cell>
        </row>
        <row r="7">
          <cell r="A7" t="str">
            <v>A Brief History of Citizenship</v>
          </cell>
          <cell r="B7" t="str">
            <v>Ebook - pdf</v>
          </cell>
          <cell r="C7">
            <v>9781474469067</v>
          </cell>
        </row>
        <row r="8">
          <cell r="A8" t="str">
            <v>A Cinema of Contradiction: Spanish Film in the 1960s</v>
          </cell>
          <cell r="B8" t="str">
            <v>Ebook - pdf</v>
          </cell>
          <cell r="C8">
            <v>9780748626519</v>
          </cell>
        </row>
        <row r="9">
          <cell r="A9" t="str">
            <v>A Claim on the Countryside: A History of the British Outdoor Movement</v>
          </cell>
          <cell r="B9" t="str">
            <v>Ebook - pdf</v>
          </cell>
          <cell r="C9">
            <v>9781474473071</v>
          </cell>
        </row>
        <row r="10">
          <cell r="A10" t="str">
            <v>A Companion to Environmental Thought</v>
          </cell>
          <cell r="B10" t="str">
            <v>Ebook - pdf</v>
          </cell>
          <cell r="C10">
            <v>9781474469005</v>
          </cell>
        </row>
        <row r="11">
          <cell r="A11" t="str">
            <v>A Critical Account of English Syntax: Grammar, Meaning, Text</v>
          </cell>
          <cell r="B11" t="str">
            <v>Ebook - pdf</v>
          </cell>
          <cell r="C11">
            <v>9780748696093</v>
          </cell>
        </row>
        <row r="12">
          <cell r="A12" t="str">
            <v>A Critical Introduction to Queer Theory</v>
          </cell>
          <cell r="B12" t="str">
            <v>Ebook - pdf</v>
          </cell>
          <cell r="C12">
            <v>9781474472944</v>
          </cell>
        </row>
        <row r="13">
          <cell r="A13" t="str">
            <v>A Dictionary of Philosophical Logic</v>
          </cell>
          <cell r="B13" t="str">
            <v>Ebook - pdf</v>
          </cell>
          <cell r="C13">
            <v>9780748631971</v>
          </cell>
        </row>
        <row r="14">
          <cell r="A14" t="str">
            <v>A Dictionary of Sociolinguistics</v>
          </cell>
          <cell r="B14" t="str">
            <v>Ebook - pdf</v>
          </cell>
          <cell r="C14">
            <v>9781474472968</v>
          </cell>
        </row>
        <row r="15">
          <cell r="A15" t="str">
            <v>A Diverse Assembly: The Debate on a Scottish Parliament</v>
          </cell>
          <cell r="B15" t="str">
            <v>Ebook - pdf</v>
          </cell>
          <cell r="C15">
            <v>9780585110011</v>
          </cell>
        </row>
        <row r="16">
          <cell r="A16" t="str">
            <v>A Feminine Enlightenment: British Women Writers and the Philosophy of Progress, 1759-1820</v>
          </cell>
          <cell r="B16" t="str">
            <v>Ebook - pdf</v>
          </cell>
          <cell r="C16">
            <v>9780748695959</v>
          </cell>
        </row>
        <row r="17">
          <cell r="A17" t="str">
            <v>A Foucauldian Interpretation of Modern Law: From Sovereignty to Normalisation and Beyond</v>
          </cell>
          <cell r="B17" t="str">
            <v>Ebook - pdf</v>
          </cell>
          <cell r="C17">
            <v>9781474411936</v>
          </cell>
        </row>
        <row r="18">
          <cell r="A18" t="str">
            <v>A Global Force: War, Identities and Scotland's Diaspora</v>
          </cell>
          <cell r="B18" t="str">
            <v>Ebook - pdf</v>
          </cell>
          <cell r="C18">
            <v>9781474402743</v>
          </cell>
        </row>
        <row r="19">
          <cell r="A19" t="str">
            <v>A Glossary of Applied Linguistics</v>
          </cell>
          <cell r="B19" t="str">
            <v>Ebook - pdf</v>
          </cell>
          <cell r="C19">
            <v>9780748680719</v>
          </cell>
        </row>
        <row r="20">
          <cell r="A20" t="str">
            <v>A Glossary of Cognitive Linguistics</v>
          </cell>
          <cell r="B20" t="str">
            <v>Ebook - pdf</v>
          </cell>
          <cell r="C20">
            <v>9780748629862</v>
          </cell>
        </row>
        <row r="21">
          <cell r="A21" t="str">
            <v>A Glossary of Corpus Linguistics</v>
          </cell>
          <cell r="B21" t="str">
            <v>Ebook - pdf</v>
          </cell>
          <cell r="C21">
            <v>9780748626908</v>
          </cell>
        </row>
        <row r="22">
          <cell r="A22" t="str">
            <v>A Glossary of English Grammar</v>
          </cell>
          <cell r="B22" t="str">
            <v>Ebook - pdf</v>
          </cell>
          <cell r="C22">
            <v>9780748626915</v>
          </cell>
        </row>
        <row r="23">
          <cell r="A23" t="str">
            <v>A Glossary of Historical Linguistics</v>
          </cell>
          <cell r="B23" t="str">
            <v>Ebook - pdf</v>
          </cell>
          <cell r="C23">
            <v>9780748630196</v>
          </cell>
        </row>
        <row r="24">
          <cell r="A24" t="str">
            <v>A Glossary of Morphology</v>
          </cell>
          <cell r="B24" t="str">
            <v>Ebook - pdf</v>
          </cell>
          <cell r="C24">
            <v>9781474464277</v>
          </cell>
        </row>
        <row r="25">
          <cell r="A25" t="str">
            <v>A Glossary of Phonology</v>
          </cell>
          <cell r="B25" t="str">
            <v>Ebook - pdf</v>
          </cell>
          <cell r="C25">
            <v>9780748629671</v>
          </cell>
        </row>
        <row r="26">
          <cell r="A26" t="str">
            <v>A Glossary of Political Theory</v>
          </cell>
          <cell r="B26" t="str">
            <v>Ebook - pdf</v>
          </cell>
          <cell r="C26">
            <v>9780748629787</v>
          </cell>
        </row>
        <row r="27">
          <cell r="A27" t="str">
            <v>A Glossary of Semantics and Pragmatics</v>
          </cell>
          <cell r="B27" t="str">
            <v>Ebook - pdf</v>
          </cell>
          <cell r="C27">
            <v>9780748626892</v>
          </cell>
        </row>
        <row r="28">
          <cell r="A28" t="str">
            <v>A Glossary of Sociolinguistics</v>
          </cell>
          <cell r="B28" t="str">
            <v>Ebook - pdf</v>
          </cell>
          <cell r="C28">
            <v>9781474473323</v>
          </cell>
        </row>
        <row r="29">
          <cell r="A29" t="str">
            <v>A Glossary of the European Union</v>
          </cell>
          <cell r="B29" t="str">
            <v>Ebook - pdf</v>
          </cell>
          <cell r="C29">
            <v>9780748631186</v>
          </cell>
        </row>
        <row r="30">
          <cell r="A30" t="str">
            <v>A Glossary of UK Government and Politics</v>
          </cell>
          <cell r="B30" t="str">
            <v>Ebook - pdf</v>
          </cell>
          <cell r="C30">
            <v>9780748631025</v>
          </cell>
        </row>
        <row r="31">
          <cell r="A31" t="str">
            <v>A Glossary of US Politics and Government</v>
          </cell>
          <cell r="B31" t="str">
            <v>Ebook - pdf</v>
          </cell>
          <cell r="C31">
            <v>9780748629749</v>
          </cell>
        </row>
        <row r="32">
          <cell r="A32" t="str">
            <v>A Guide to Ethics and Moral Philosophy</v>
          </cell>
          <cell r="B32" t="str">
            <v>Ebook - pdf</v>
          </cell>
          <cell r="C32">
            <v>9781474422796</v>
          </cell>
        </row>
        <row r="33">
          <cell r="A33" t="str">
            <v>A Guide to Mediating in Scotland</v>
          </cell>
          <cell r="B33" t="str">
            <v>Ebook - pdf</v>
          </cell>
          <cell r="C33">
            <v>9780748699414</v>
          </cell>
        </row>
        <row r="34">
          <cell r="A34" t="str">
            <v>A Guide to Speech Production and Perception</v>
          </cell>
          <cell r="B34" t="str">
            <v>Ebook - pdf</v>
          </cell>
          <cell r="C34">
            <v>9780748636532</v>
          </cell>
        </row>
        <row r="35">
          <cell r="A35" t="str">
            <v>A Guide to the Adult Support and Protection (Scotland) Act 2007</v>
          </cell>
          <cell r="B35" t="str">
            <v>Ebook - pdf</v>
          </cell>
          <cell r="C35">
            <v>9780748699421</v>
          </cell>
        </row>
        <row r="36">
          <cell r="A36" t="str">
            <v>A Guide to Using Corpora for English Language Learners</v>
          </cell>
          <cell r="B36" t="str">
            <v>Ebook - pdf</v>
          </cell>
          <cell r="C36">
            <v>9781474427180</v>
          </cell>
        </row>
        <row r="37">
          <cell r="A37" t="str">
            <v>A Historical Companion to Postcolonial Literatures - Continental Europe and its Empires</v>
          </cell>
          <cell r="B37" t="str">
            <v>Ebook - pdf</v>
          </cell>
          <cell r="C37">
            <v>9780748630271</v>
          </cell>
        </row>
        <row r="38">
          <cell r="A38" t="str">
            <v>A Historical Companion to Postcolonial Literatures in English</v>
          </cell>
          <cell r="B38" t="str">
            <v>Ebook - pdf</v>
          </cell>
          <cell r="C38">
            <v>9781474471718</v>
          </cell>
        </row>
        <row r="39">
          <cell r="A39" t="str">
            <v>A Historical Morphology of English</v>
          </cell>
          <cell r="B39" t="str">
            <v>Ebook - pdf</v>
          </cell>
          <cell r="C39">
            <v>9781474459785</v>
          </cell>
        </row>
        <row r="40">
          <cell r="A40" t="str">
            <v>A Historical Phonology of English</v>
          </cell>
          <cell r="B40" t="str">
            <v>Ebook - pdf</v>
          </cell>
          <cell r="C40">
            <v>9780748634699</v>
          </cell>
        </row>
        <row r="41">
          <cell r="A41" t="str">
            <v>A Historical Syntax of English</v>
          </cell>
          <cell r="B41" t="str">
            <v>Ebook - pdf</v>
          </cell>
          <cell r="C41">
            <v>9780748694563</v>
          </cell>
        </row>
        <row r="42">
          <cell r="A42" t="str">
            <v>A History of Christian-Muslim Relations</v>
          </cell>
          <cell r="B42" t="str">
            <v>Ebook - pdf</v>
          </cell>
          <cell r="C42">
            <v>9781474466813</v>
          </cell>
        </row>
        <row r="43">
          <cell r="A43" t="str">
            <v>A History of Clan Campbell: From Flodden to the Restoration</v>
          </cell>
          <cell r="B43" t="str">
            <v>Ebook - pdf</v>
          </cell>
          <cell r="C43">
            <v>9781474408387</v>
          </cell>
        </row>
        <row r="44">
          <cell r="A44" t="str">
            <v>A History of Clan Campbell: From Origins to Flodden</v>
          </cell>
          <cell r="B44" t="str">
            <v>Ebook - pdf</v>
          </cell>
          <cell r="C44">
            <v>9781474408370</v>
          </cell>
        </row>
        <row r="45">
          <cell r="A45" t="str">
            <v>A History of Drinking: The Scottish Pub since 1700</v>
          </cell>
          <cell r="B45" t="str">
            <v>Ebook - pdf</v>
          </cell>
          <cell r="C45">
            <v>9781474400138</v>
          </cell>
        </row>
        <row r="46">
          <cell r="A46" t="str">
            <v>A History of Everyday Life in Medieval Scotland</v>
          </cell>
          <cell r="B46" t="str">
            <v>Ebook - pdf</v>
          </cell>
          <cell r="C46">
            <v>9780748629503</v>
          </cell>
        </row>
        <row r="47">
          <cell r="A47" t="str">
            <v>A History of Everyday Life in Scotland, 1600 to 1800</v>
          </cell>
          <cell r="B47" t="str">
            <v>Ebook - pdf</v>
          </cell>
          <cell r="C47">
            <v>9780748629060</v>
          </cell>
        </row>
        <row r="48">
          <cell r="A48" t="str">
            <v>A History of Everyday Life in Scotland, 1800 to 1900</v>
          </cell>
          <cell r="B48" t="str">
            <v>Ebook - pdf</v>
          </cell>
          <cell r="C48">
            <v>9780748629534</v>
          </cell>
        </row>
        <row r="49">
          <cell r="A49" t="str">
            <v>A History of Everyday Life in Twentieth-Century Scotland</v>
          </cell>
          <cell r="B49" t="str">
            <v>Ebook - pdf</v>
          </cell>
          <cell r="C49">
            <v>9780748630417</v>
          </cell>
        </row>
        <row r="50">
          <cell r="A50" t="str">
            <v>A History of Islam in Indonesia: Unity in Diversity</v>
          </cell>
          <cell r="B50" t="str">
            <v>Ebook - pdf</v>
          </cell>
          <cell r="C50">
            <v>9780748681853</v>
          </cell>
        </row>
        <row r="51">
          <cell r="A51" t="str">
            <v>A History of Islamic Law</v>
          </cell>
          <cell r="B51" t="str">
            <v>Ebook - pdf</v>
          </cell>
          <cell r="C51">
            <v>9781474465892</v>
          </cell>
        </row>
        <row r="52">
          <cell r="A52" t="str">
            <v>A History of Islamic Spain</v>
          </cell>
          <cell r="B52" t="str">
            <v>Ebook - pdf</v>
          </cell>
          <cell r="C52">
            <v>9781474473446</v>
          </cell>
        </row>
        <row r="53">
          <cell r="A53" t="str">
            <v>A History of Military Occupation from 1792 to 1914</v>
          </cell>
          <cell r="B53" t="str">
            <v>Ebook - pdf</v>
          </cell>
          <cell r="C53">
            <v>9780748676002</v>
          </cell>
        </row>
        <row r="54">
          <cell r="A54" t="str">
            <v>A History of Scottish Architecture</v>
          </cell>
          <cell r="B54" t="str">
            <v>Ebook - pdf</v>
          </cell>
          <cell r="C54">
            <v>9781474468503</v>
          </cell>
        </row>
        <row r="55">
          <cell r="A55" t="str">
            <v>A History of Scottish Child Protection Law</v>
          </cell>
          <cell r="B55" t="str">
            <v>Ebook - pdf</v>
          </cell>
          <cell r="C55">
            <v>9781474444194</v>
          </cell>
        </row>
        <row r="56">
          <cell r="A56" t="str">
            <v>A History of Scottish Medicine: Themes and Influences</v>
          </cell>
          <cell r="B56" t="str">
            <v>Ebook - pdf</v>
          </cell>
          <cell r="C56">
            <v>9780585442112</v>
          </cell>
        </row>
        <row r="57">
          <cell r="A57" t="str">
            <v>A History of Scottish Philosophy</v>
          </cell>
          <cell r="B57" t="str">
            <v>Ebook - pdf</v>
          </cell>
          <cell r="C57">
            <v>9780748628643</v>
          </cell>
        </row>
        <row r="58">
          <cell r="A58" t="str">
            <v>A History of Scottish Women's Writing</v>
          </cell>
          <cell r="B58" t="str">
            <v>Ebook - pdf</v>
          </cell>
          <cell r="C58">
            <v>9780748672660</v>
          </cell>
        </row>
        <row r="59">
          <cell r="A59" t="str">
            <v>A History of the Native Woodlands of Scotland 1500-1920</v>
          </cell>
          <cell r="B59" t="str">
            <v>Ebook - pdf</v>
          </cell>
          <cell r="C59">
            <v>9780748637560</v>
          </cell>
        </row>
        <row r="60">
          <cell r="A60" t="str">
            <v>A Military History of Scotland</v>
          </cell>
          <cell r="B60" t="str">
            <v>Ebook - pdf</v>
          </cell>
          <cell r="C60">
            <v>9780748632046</v>
          </cell>
        </row>
        <row r="61">
          <cell r="A61" t="str">
            <v>A Monument to Medieval Syrian Book Culture: The Library of Ibn ʿAbd al-Hādī</v>
          </cell>
          <cell r="B61" t="str">
            <v>Ebook - pdf</v>
          </cell>
          <cell r="C61">
            <v>9781474451598</v>
          </cell>
        </row>
        <row r="62">
          <cell r="A62" t="str">
            <v>A Multi-locus Analysis of Arabic Negation: Micro-variation in Southern Levantine, Gulf and Standard Arabic</v>
          </cell>
          <cell r="B62" t="str">
            <v>Ebook - pdf</v>
          </cell>
          <cell r="C62">
            <v>9781474433167</v>
          </cell>
        </row>
        <row r="63">
          <cell r="A63" t="str">
            <v>A Not-So-Special Relationship: The US, The UK and German Unification, 1945-1990</v>
          </cell>
          <cell r="B63" t="str">
            <v>Ebook - pdf</v>
          </cell>
          <cell r="C63">
            <v>9780748680146</v>
          </cell>
        </row>
        <row r="64">
          <cell r="A64" t="str">
            <v>A Philosophy of Practising</v>
          </cell>
          <cell r="B64" t="str">
            <v>Ebook - pdf</v>
          </cell>
          <cell r="C64">
            <v>9781474490481</v>
          </cell>
        </row>
        <row r="65">
          <cell r="A65" t="str">
            <v>A Process Philosophy of Signs</v>
          </cell>
          <cell r="B65" t="str">
            <v>Ebook - pdf</v>
          </cell>
          <cell r="C65">
            <v>9780748695027</v>
          </cell>
        </row>
        <row r="66">
          <cell r="A66" t="str">
            <v>A Queer Book</v>
          </cell>
          <cell r="B66" t="str">
            <v>Ebook - pdf</v>
          </cell>
          <cell r="C66">
            <v>9780748632923</v>
          </cell>
        </row>
        <row r="67">
          <cell r="A67" t="str">
            <v>A Short History of the Ismailis: Traditions of a Muslim Community</v>
          </cell>
          <cell r="B67" t="str">
            <v>Ebook - pdf</v>
          </cell>
          <cell r="C67">
            <v>9780748679225</v>
          </cell>
        </row>
        <row r="68">
          <cell r="A68" t="str">
            <v>A Sociolinguistic History of Scotland</v>
          </cell>
          <cell r="B68" t="str">
            <v>Ebook - pdf</v>
          </cell>
          <cell r="C68">
            <v>9781474448567</v>
          </cell>
        </row>
        <row r="69">
          <cell r="A69" t="str">
            <v>A Substance-free Framework for Phonology: An Analysis of the Breton Dialect of Bothoa</v>
          </cell>
          <cell r="B69" t="str">
            <v>Ebook - pdf</v>
          </cell>
          <cell r="C69">
            <v>9781474407380</v>
          </cell>
        </row>
        <row r="70">
          <cell r="A70" t="str">
            <v>A Thousand Plateaus and Philosophy</v>
          </cell>
          <cell r="B70" t="str">
            <v>Ebook - pdf</v>
          </cell>
          <cell r="C70">
            <v>9780748697274</v>
          </cell>
        </row>
        <row r="71">
          <cell r="A71" t="str">
            <v>A Treatise on Mystical Love</v>
          </cell>
          <cell r="B71" t="str">
            <v>Ebook - pdf</v>
          </cell>
          <cell r="C71">
            <v>9781474463867</v>
          </cell>
        </row>
        <row r="72">
          <cell r="A72" t="str">
            <v>A Wealthier, Fairer Scotland: The Political Economy of Constitutional Change</v>
          </cell>
          <cell r="B72" t="str">
            <v>Ebook - pdf</v>
          </cell>
          <cell r="C72">
            <v>9781474416443</v>
          </cell>
        </row>
        <row r="73">
          <cell r="A73" t="str">
            <v>Abbas Kiarostami and Film-Philosophy</v>
          </cell>
          <cell r="B73" t="str">
            <v>Ebook - pdf</v>
          </cell>
          <cell r="C73">
            <v>9780748699919</v>
          </cell>
        </row>
        <row r="74">
          <cell r="A74" t="str">
            <v>About Time: Narrative, Fiction and the Philosophy of Time</v>
          </cell>
          <cell r="B74" t="str">
            <v>Ebook - pdf</v>
          </cell>
          <cell r="C74">
            <v>9780748630400</v>
          </cell>
        </row>
        <row r="75">
          <cell r="A75" t="str">
            <v>Academic General Practice in the UK Medical Schools, 1948–2000: A Short History</v>
          </cell>
          <cell r="B75" t="str">
            <v>Ebook - pdf</v>
          </cell>
          <cell r="C75">
            <v>9780748643745</v>
          </cell>
        </row>
        <row r="76">
          <cell r="A76" t="str">
            <v>Academic Patronage in the Scottish Enlightenment: Glasgow, Edinburgh and St Andrews Universities</v>
          </cell>
          <cell r="B76" t="str">
            <v>Ebook - pdf</v>
          </cell>
          <cell r="C76">
            <v>9780748631292</v>
          </cell>
        </row>
        <row r="77">
          <cell r="A77" t="str">
            <v>Acinemas: Lyotard's Philosophy of Film</v>
          </cell>
          <cell r="B77" t="str">
            <v>Ebook - pdf</v>
          </cell>
          <cell r="C77">
            <v>9781474418959</v>
          </cell>
        </row>
        <row r="78">
          <cell r="A78" t="str">
            <v>Acting Across Borders: Mobility and Identity in Italian Cinema</v>
          </cell>
          <cell r="B78" t="str">
            <v>Ebook - pdf</v>
          </cell>
          <cell r="C78">
            <v>9781474439886</v>
          </cell>
        </row>
        <row r="79">
          <cell r="A79" t="str">
            <v>Active Citizenship: What Could it Achieve and How?</v>
          </cell>
          <cell r="B79" t="str">
            <v>Ebook - pdf</v>
          </cell>
          <cell r="C79">
            <v>9780748643226</v>
          </cell>
        </row>
        <row r="80">
          <cell r="A80" t="str">
            <v>Adam Ferguson and the Idea of Civil Society: Moral Science in the Scottish Enlightenment</v>
          </cell>
          <cell r="B80" t="str">
            <v>Ebook - pdf</v>
          </cell>
          <cell r="C80">
            <v>9781474413282</v>
          </cell>
        </row>
        <row r="81">
          <cell r="A81" t="str">
            <v>Adam Smith and Rousseau: Ethics, Politics, Economics</v>
          </cell>
          <cell r="B81" t="str">
            <v>Ebook - pdf</v>
          </cell>
          <cell r="C81">
            <v>9781474422864</v>
          </cell>
        </row>
        <row r="82">
          <cell r="A82" t="str">
            <v>Adam Smith, Radical and Egalitarian: An Interpretation for the 21st Century</v>
          </cell>
          <cell r="B82" t="str">
            <v>Ebook - pdf</v>
          </cell>
          <cell r="C82">
            <v>9780748627059</v>
          </cell>
        </row>
        <row r="83">
          <cell r="A83" t="str">
            <v>Addicted to Profit: Reclaiming Our Lives from the Free Market</v>
          </cell>
          <cell r="B83" t="str">
            <v>Ebook - pdf</v>
          </cell>
          <cell r="C83">
            <v>9780748646722</v>
          </cell>
        </row>
        <row r="84">
          <cell r="A84" t="str">
            <v>Advanced English-Arabic Translation: A Practical Guide</v>
          </cell>
          <cell r="B84" t="str">
            <v>Ebook - pdf</v>
          </cell>
          <cell r="C84">
            <v>9780748677962</v>
          </cell>
        </row>
        <row r="85">
          <cell r="A85" t="str">
            <v>Advanced Media Arabic</v>
          </cell>
          <cell r="B85" t="str">
            <v>Ebook - pdf</v>
          </cell>
          <cell r="C85">
            <v>9780748683840</v>
          </cell>
        </row>
        <row r="86">
          <cell r="A86" t="str">
            <v>Advances and Innovations in University Assessment and Feedback</v>
          </cell>
          <cell r="B86" t="str">
            <v>Ebook - pdf</v>
          </cell>
          <cell r="C86">
            <v>9780748694556</v>
          </cell>
        </row>
        <row r="87">
          <cell r="A87" t="str">
            <v>Adventures in Transcendental Materialism: Dialogues with Contemporary Thinkers</v>
          </cell>
          <cell r="B87" t="str">
            <v>Ebook - pdf</v>
          </cell>
          <cell r="C87">
            <v>9780748673308</v>
          </cell>
        </row>
        <row r="88">
          <cell r="A88" t="str">
            <v>Aesthetics A–Z</v>
          </cell>
          <cell r="B88" t="str">
            <v>Ebook - pdf</v>
          </cell>
          <cell r="C88">
            <v>9780748630066</v>
          </cell>
        </row>
        <row r="89">
          <cell r="A89" t="str">
            <v>Aesthetics of the Natural Environment</v>
          </cell>
          <cell r="B89" t="str">
            <v>Ebook - pdf</v>
          </cell>
          <cell r="C89">
            <v>9781474465380</v>
          </cell>
        </row>
        <row r="90">
          <cell r="A90" t="str">
            <v>Aesthetics, Ethics and Trauma in the Cinema of Pedro Almodóvar</v>
          </cell>
          <cell r="B90" t="str">
            <v>Ebook - pdf</v>
          </cell>
          <cell r="C90">
            <v>9781474400114</v>
          </cell>
        </row>
        <row r="91">
          <cell r="A91" t="str">
            <v>Affect and Attention After Deleuze and Whitehead: Ecological Attunement</v>
          </cell>
          <cell r="B91" t="str">
            <v>Ebook - pdf</v>
          </cell>
          <cell r="C91">
            <v>9781474466943</v>
          </cell>
        </row>
        <row r="92">
          <cell r="A92" t="str">
            <v>Affective Intensities and Evolving Horror Forms: From Found Footage to Virtual Reality</v>
          </cell>
          <cell r="B92" t="str">
            <v>Ebook - pdf</v>
          </cell>
          <cell r="C92">
            <v>9781474456371</v>
          </cell>
        </row>
        <row r="93">
          <cell r="A93" t="str">
            <v>Affects, Actions and Passions in Spinoza: The Unity of Body and Mind</v>
          </cell>
          <cell r="B93" t="str">
            <v>Ebook - pdf</v>
          </cell>
          <cell r="C93">
            <v>9781474433204</v>
          </cell>
        </row>
        <row r="94">
          <cell r="A94" t="str">
            <v>Affirming Divergence: Deleuze's Reading of Leibniz</v>
          </cell>
          <cell r="B94" t="str">
            <v>Ebook - pdf</v>
          </cell>
          <cell r="C94">
            <v>9781474417754</v>
          </cell>
        </row>
        <row r="95">
          <cell r="A95" t="str">
            <v>African American Anti-Colonial Thought 1917-1937</v>
          </cell>
          <cell r="B95" t="str">
            <v>Ebook - pdf</v>
          </cell>
          <cell r="C95">
            <v>9781474409582</v>
          </cell>
        </row>
        <row r="96">
          <cell r="A96" t="str">
            <v>African American Studies</v>
          </cell>
          <cell r="B96" t="str">
            <v>Ebook - pdf</v>
          </cell>
          <cell r="C96">
            <v>9781474487757</v>
          </cell>
        </row>
        <row r="97">
          <cell r="A97" t="str">
            <v>African Filmmaking: North and South of the Sahara</v>
          </cell>
          <cell r="B97" t="str">
            <v>Ebook - pdf</v>
          </cell>
          <cell r="C97">
            <v>9780748628063</v>
          </cell>
        </row>
        <row r="98">
          <cell r="A98" t="str">
            <v>African Philosophy in Search of Identity</v>
          </cell>
          <cell r="B98" t="str">
            <v>Ebook - pdf</v>
          </cell>
          <cell r="C98">
            <v>9781474470773</v>
          </cell>
        </row>
        <row r="99">
          <cell r="A99" t="str">
            <v>African, American and European Trajectories of Modernity: Past Oppression, Future Justice?</v>
          </cell>
          <cell r="B99" t="str">
            <v>Ebook - pdf</v>
          </cell>
          <cell r="C99">
            <v>9781474400411</v>
          </cell>
        </row>
        <row r="100">
          <cell r="A100" t="str">
            <v>Afromodernisms: Paris, Harlem and the Avant-Garde</v>
          </cell>
          <cell r="B100" t="str">
            <v>Ebook - pdf</v>
          </cell>
          <cell r="C100">
            <v>9780748646418</v>
          </cell>
        </row>
        <row r="101">
          <cell r="A101" t="str">
            <v>After the Arab Revolutions: Decentring Democratic Transition Theory</v>
          </cell>
          <cell r="B101" t="str">
            <v>Ebook - pdf</v>
          </cell>
          <cell r="C101">
            <v>9781474483230</v>
          </cell>
        </row>
        <row r="102">
          <cell r="A102" t="str">
            <v>After the Terror</v>
          </cell>
          <cell r="B102" t="str">
            <v>Ebook - pdf</v>
          </cell>
          <cell r="C102">
            <v>9780585443652</v>
          </cell>
        </row>
        <row r="103">
          <cell r="A103" t="str">
            <v>After Theory</v>
          </cell>
          <cell r="B103" t="str">
            <v>Ebook - pdf</v>
          </cell>
          <cell r="C103">
            <v>9780585101347</v>
          </cell>
        </row>
        <row r="104">
          <cell r="A104" t="str">
            <v>Against Continuity: Gilles Deleuze's Speculative Realism</v>
          </cell>
          <cell r="B104" t="str">
            <v>Ebook - pdf</v>
          </cell>
          <cell r="C104">
            <v>9781474447805</v>
          </cell>
        </row>
        <row r="105">
          <cell r="A105" t="str">
            <v>Agamben and Colonialism</v>
          </cell>
          <cell r="B105" t="str">
            <v>Ebook - pdf</v>
          </cell>
          <cell r="C105">
            <v>9780748643950</v>
          </cell>
        </row>
        <row r="106">
          <cell r="A106" t="str">
            <v>Agamben and Politics: A Critical Introduction</v>
          </cell>
          <cell r="B106" t="str">
            <v>Ebook - pdf</v>
          </cell>
          <cell r="C106">
            <v>9780748676224</v>
          </cell>
        </row>
        <row r="107">
          <cell r="A107" t="str">
            <v>Agamben and Radical Politics</v>
          </cell>
          <cell r="B107" t="str">
            <v>Ebook - pdf</v>
          </cell>
          <cell r="C107">
            <v>9781474402651</v>
          </cell>
        </row>
        <row r="108">
          <cell r="A108" t="str">
            <v>Agamben and the Existentialists</v>
          </cell>
          <cell r="B108" t="str">
            <v>Ebook - pdf</v>
          </cell>
          <cell r="C108">
            <v>9781474478793</v>
          </cell>
        </row>
        <row r="109">
          <cell r="A109" t="str">
            <v>Agamben and the Politics of Human Rights: Statelessness, Images, Violence</v>
          </cell>
          <cell r="B109" t="str">
            <v>Ebook - pdf</v>
          </cell>
          <cell r="C109">
            <v>9780748677726</v>
          </cell>
        </row>
        <row r="110">
          <cell r="A110" t="str">
            <v>Agamben's Philosophical Lineage</v>
          </cell>
          <cell r="B110" t="str">
            <v>Ebook - pdf</v>
          </cell>
          <cell r="C110">
            <v>9781474423656</v>
          </cell>
        </row>
        <row r="111">
          <cell r="A111" t="str">
            <v>Agamben's Philosophical Trajectory</v>
          </cell>
          <cell r="B111" t="str">
            <v>Ebook - pdf</v>
          </cell>
          <cell r="C111">
            <v>9781474476027</v>
          </cell>
        </row>
        <row r="112">
          <cell r="A112" t="str">
            <v>Age of Rogues: Rebels, Revolutionaries and Racketeers at the Frontiers of Empires</v>
          </cell>
          <cell r="B112" t="str">
            <v>Ebook - pdf</v>
          </cell>
          <cell r="C112">
            <v>9781474462648</v>
          </cell>
        </row>
        <row r="113">
          <cell r="A113" t="str">
            <v>Ageing in the Modern Arabic Novel</v>
          </cell>
          <cell r="B113" t="str">
            <v>Ebook - pdf</v>
          </cell>
          <cell r="C113">
            <v>9781474466783</v>
          </cell>
        </row>
        <row r="114">
          <cell r="A114" t="str">
            <v>Agonistic Mourning: Political Dissidence and the Women in Black</v>
          </cell>
          <cell r="B114" t="str">
            <v>Ebook - pdf</v>
          </cell>
          <cell r="C114">
            <v>9781474420167</v>
          </cell>
        </row>
        <row r="115">
          <cell r="A115" t="str">
            <v>Agriculture and the Land: Richard Jefferies' Essays and Letters</v>
          </cell>
          <cell r="B115" t="str">
            <v>Ebook - pdf</v>
          </cell>
          <cell r="C115">
            <v>9781474440905</v>
          </cell>
        </row>
        <row r="116">
          <cell r="A116" t="str">
            <v>Alfred Lord Tennyson's 'In Memoriam': A Reading Guide</v>
          </cell>
          <cell r="B116" t="str">
            <v>Ebook - pdf</v>
          </cell>
          <cell r="C116">
            <v>9780748649129</v>
          </cell>
        </row>
        <row r="117">
          <cell r="A117" t="str">
            <v>Alienated Affections: Divorce and Separation in Scotland 1684-1830</v>
          </cell>
          <cell r="B117" t="str">
            <v>Ebook - pdf</v>
          </cell>
          <cell r="C117">
            <v>9781474470209</v>
          </cell>
        </row>
        <row r="118">
          <cell r="A118" t="str">
            <v>Al-Jahiz: In Praise of Books</v>
          </cell>
          <cell r="B118" t="str">
            <v>Ebook - pdf</v>
          </cell>
          <cell r="C118">
            <v>9780748683338</v>
          </cell>
        </row>
        <row r="119">
          <cell r="A119" t="str">
            <v>All Pals Together: The Story of Children's Cinema</v>
          </cell>
          <cell r="B119" t="str">
            <v>Ebook - pdf</v>
          </cell>
          <cell r="C119">
            <v>9781474472838</v>
          </cell>
        </row>
        <row r="120">
          <cell r="A120" t="str">
            <v>Alternative and Activist Media</v>
          </cell>
          <cell r="B120" t="str">
            <v>Ebook - pdf</v>
          </cell>
          <cell r="C120">
            <v>9780748626229</v>
          </cell>
        </row>
        <row r="121">
          <cell r="A121" t="str">
            <v>Altrive Tales</v>
          </cell>
          <cell r="B121" t="str">
            <v>Ebook - pdf</v>
          </cell>
          <cell r="C121">
            <v>9781474431996</v>
          </cell>
        </row>
        <row r="122">
          <cell r="A122" t="str">
            <v>Ambiguous Citizenship in an Age of Global Migration</v>
          </cell>
          <cell r="B122" t="str">
            <v>Ebook - pdf</v>
          </cell>
          <cell r="C122">
            <v>9780748692781</v>
          </cell>
        </row>
        <row r="123">
          <cell r="A123" t="str">
            <v>American Autobiography</v>
          </cell>
          <cell r="B123" t="str">
            <v>Ebook - pdf</v>
          </cell>
          <cell r="C123">
            <v>9780748644629</v>
          </cell>
        </row>
        <row r="124">
          <cell r="A124" t="str">
            <v>American Cinema in the Shadow of 9/11</v>
          </cell>
          <cell r="B124" t="str">
            <v>Ebook - pdf</v>
          </cell>
          <cell r="C124">
            <v>9781474413824</v>
          </cell>
        </row>
        <row r="125">
          <cell r="A125" t="str">
            <v>American Cold War Culture</v>
          </cell>
          <cell r="B125" t="str">
            <v>Ebook - pdf</v>
          </cell>
          <cell r="C125">
            <v>9781474468206</v>
          </cell>
        </row>
        <row r="126">
          <cell r="A126" t="str">
            <v>American Culture in the 1910s</v>
          </cell>
          <cell r="B126" t="str">
            <v>Ebook - pdf</v>
          </cell>
          <cell r="C126">
            <v>9780748634255</v>
          </cell>
        </row>
        <row r="127">
          <cell r="A127" t="str">
            <v>American Culture in the 1920s</v>
          </cell>
          <cell r="B127" t="str">
            <v>Ebook - pdf</v>
          </cell>
          <cell r="C127">
            <v>9780748630851</v>
          </cell>
        </row>
        <row r="128">
          <cell r="A128" t="str">
            <v>American Culture in the 1930s</v>
          </cell>
          <cell r="B128" t="str">
            <v>Ebook - pdf</v>
          </cell>
          <cell r="C128">
            <v>9780748629770</v>
          </cell>
        </row>
        <row r="129">
          <cell r="A129" t="str">
            <v>American Culture in the 1940s</v>
          </cell>
          <cell r="B129" t="str">
            <v>Ebook - pdf</v>
          </cell>
          <cell r="C129">
            <v>9780748630349</v>
          </cell>
        </row>
        <row r="130">
          <cell r="A130" t="str">
            <v>American Culture in the 1950s</v>
          </cell>
          <cell r="B130" t="str">
            <v>Ebook - pdf</v>
          </cell>
          <cell r="C130">
            <v>9780748628902</v>
          </cell>
        </row>
        <row r="131">
          <cell r="A131" t="str">
            <v>American Culture in the 1960s</v>
          </cell>
          <cell r="B131" t="str">
            <v>Ebook - pdf</v>
          </cell>
          <cell r="C131">
            <v>9780748629039</v>
          </cell>
        </row>
        <row r="132">
          <cell r="A132" t="str">
            <v>American Culture in the 1970s</v>
          </cell>
          <cell r="B132" t="str">
            <v>Ebook - pdf</v>
          </cell>
          <cell r="C132">
            <v>9780748631537</v>
          </cell>
        </row>
        <row r="133">
          <cell r="A133" t="str">
            <v>American Culture in the 1980s</v>
          </cell>
          <cell r="B133" t="str">
            <v>Ebook - pdf</v>
          </cell>
          <cell r="C133">
            <v>9780748628957</v>
          </cell>
        </row>
        <row r="134">
          <cell r="A134" t="str">
            <v>American Culture in the 1990s</v>
          </cell>
          <cell r="B134" t="str">
            <v>Ebook - pdf</v>
          </cell>
          <cell r="C134">
            <v>9780748629664</v>
          </cell>
        </row>
        <row r="135">
          <cell r="A135" t="str">
            <v>American Documentary Film: Projecting the Nation</v>
          </cell>
          <cell r="B135" t="str">
            <v>Ebook - pdf</v>
          </cell>
          <cell r="C135">
            <v>9780748629466</v>
          </cell>
        </row>
        <row r="136">
          <cell r="A136" t="str">
            <v>American Ethnic History: Themes and Perspectives</v>
          </cell>
          <cell r="B136" t="str">
            <v>Ebook - pdf</v>
          </cell>
          <cell r="C136">
            <v>9780748628636</v>
          </cell>
        </row>
        <row r="137">
          <cell r="A137" t="str">
            <v>American Exceptionalism</v>
          </cell>
          <cell r="B137" t="str">
            <v>Ebook - pdf</v>
          </cell>
          <cell r="C137">
            <v>9780585123455</v>
          </cell>
        </row>
        <row r="138">
          <cell r="A138" t="str">
            <v>American Gothic: An Edinburgh Companion</v>
          </cell>
          <cell r="B138" t="str">
            <v>Ebook - pdf</v>
          </cell>
          <cell r="C138">
            <v>9781474401623</v>
          </cell>
        </row>
        <row r="139">
          <cell r="A139" t="str">
            <v>American Grand Strategy under Obama: Competing Discourses</v>
          </cell>
          <cell r="B139" t="str">
            <v>Ebook - pdf</v>
          </cell>
          <cell r="C139">
            <v>9781474419772</v>
          </cell>
        </row>
        <row r="140">
          <cell r="A140" t="str">
            <v>American History and Contemporary Hollywood Film</v>
          </cell>
          <cell r="B140" t="str">
            <v>Ebook - pdf</v>
          </cell>
          <cell r="C140">
            <v>9781474470841</v>
          </cell>
        </row>
        <row r="141">
          <cell r="A141" t="str">
            <v>American Imperialism: The Territorial Expansion of the United States, 1783-2013</v>
          </cell>
          <cell r="B141" t="str">
            <v>Ebook - pdf</v>
          </cell>
          <cell r="C141">
            <v>9781474402156</v>
          </cell>
        </row>
        <row r="142">
          <cell r="A142" t="str">
            <v>American Independent Cinema: Rites of Passage and the Crisis Image</v>
          </cell>
          <cell r="B142" t="str">
            <v>Ebook - pdf</v>
          </cell>
          <cell r="C142">
            <v>9780748693610</v>
          </cell>
        </row>
        <row r="143">
          <cell r="A143" t="str">
            <v>American Independent Cinema: Second Edition</v>
          </cell>
          <cell r="B143" t="str">
            <v>Ebook - pdf</v>
          </cell>
          <cell r="C143">
            <v>9781474416832</v>
          </cell>
        </row>
        <row r="144">
          <cell r="A144" t="str">
            <v>American Modernism's Expatriate Scene: The Labour of Translation</v>
          </cell>
          <cell r="B144" t="str">
            <v>Ebook - pdf</v>
          </cell>
          <cell r="C144">
            <v>9780748630875</v>
          </cell>
        </row>
        <row r="145">
          <cell r="A145" t="str">
            <v>American Politics in Hollywood Film</v>
          </cell>
          <cell r="B145" t="str">
            <v>Ebook - pdf</v>
          </cell>
          <cell r="C145">
            <v>9780748646289</v>
          </cell>
        </row>
        <row r="146">
          <cell r="A146" t="str">
            <v>American Postfeminist Cinema: Women, Romance and Contemporary Culture</v>
          </cell>
          <cell r="B146" t="str">
            <v>Ebook - pdf</v>
          </cell>
          <cell r="C146">
            <v>9780748693375</v>
          </cell>
        </row>
        <row r="147">
          <cell r="A147" t="str">
            <v>American Science Fiction and the Cold War: Literature and Film</v>
          </cell>
          <cell r="B147" t="str">
            <v>Ebook - pdf</v>
          </cell>
          <cell r="C147">
            <v>9781474472487</v>
          </cell>
        </row>
        <row r="148">
          <cell r="A148" t="str">
            <v>American Smart Cinema</v>
          </cell>
          <cell r="B148" t="str">
            <v>Ebook - pdf</v>
          </cell>
          <cell r="C148">
            <v>9780748646548</v>
          </cell>
        </row>
        <row r="149">
          <cell r="A149" t="str">
            <v>American Snobs: Transatlantic Novelists, Liberal Culture and the Genteel Tradition</v>
          </cell>
          <cell r="B149" t="str">
            <v>Ebook - pdf</v>
          </cell>
          <cell r="C149">
            <v>9781474475426</v>
          </cell>
        </row>
        <row r="150">
          <cell r="A150" t="str">
            <v>American Social and Political Thought: A Concise Introduction</v>
          </cell>
          <cell r="B150" t="str">
            <v>Ebook - pdf</v>
          </cell>
          <cell r="C150">
            <v>9781474469111</v>
          </cell>
        </row>
        <row r="151">
          <cell r="A151" t="str">
            <v>American Space/American Place: Geographies of the Contemporary United States</v>
          </cell>
          <cell r="B151" t="str">
            <v>Ebook - pdf</v>
          </cell>
          <cell r="C151">
            <v>9781474400589</v>
          </cell>
        </row>
        <row r="152">
          <cell r="A152" t="str">
            <v>American Theatre: History, Context, Form</v>
          </cell>
          <cell r="B152" t="str">
            <v>Ebook - pdf</v>
          </cell>
          <cell r="C152">
            <v>9780748631278</v>
          </cell>
        </row>
        <row r="153">
          <cell r="A153" t="str">
            <v>American Thought and Culture in the 21st Century</v>
          </cell>
          <cell r="B153" t="str">
            <v>Ebook - pdf</v>
          </cell>
          <cell r="C153">
            <v>9780748631322</v>
          </cell>
        </row>
        <row r="154">
          <cell r="A154" t="str">
            <v>American Travel Literature, Gendered Aesthetics, and the Italian Tour, 1824–62</v>
          </cell>
          <cell r="B154" t="str">
            <v>Ebook - pdf</v>
          </cell>
          <cell r="C154">
            <v>9781474432863</v>
          </cell>
        </row>
        <row r="155">
          <cell r="A155" t="str">
            <v>American Youth Cultures</v>
          </cell>
          <cell r="B155" t="str">
            <v>Ebook - pdf</v>
          </cell>
          <cell r="C155">
            <v>9781474465595</v>
          </cell>
        </row>
        <row r="156">
          <cell r="A156" t="str">
            <v>An African Niche Economy: Farming to Feed Ibadan</v>
          </cell>
          <cell r="B156" t="str">
            <v>Ebook - pdf</v>
          </cell>
          <cell r="C156">
            <v>9781474468688</v>
          </cell>
        </row>
        <row r="157">
          <cell r="A157" t="str">
            <v>An Age of Transition: British Politics 1880-1914: Parliamentary History Vol.16.1</v>
          </cell>
          <cell r="B157" t="str">
            <v>Ebook - pdf</v>
          </cell>
          <cell r="C157">
            <v>9780585070254</v>
          </cell>
        </row>
        <row r="158">
          <cell r="A158" t="str">
            <v>An Alternative Internet: Radical Media, Politics and Creativity</v>
          </cell>
          <cell r="B158" t="str">
            <v>Ebook - pdf</v>
          </cell>
          <cell r="C158">
            <v>9780748676989</v>
          </cell>
        </row>
        <row r="159">
          <cell r="A159" t="str">
            <v>An Anthology of Arabic Literature: From the Classical to the Modern</v>
          </cell>
          <cell r="B159" t="str">
            <v>Ebook - pdf</v>
          </cell>
          <cell r="C159">
            <v>9781474410809</v>
          </cell>
        </row>
        <row r="160">
          <cell r="A160" t="str">
            <v>An Anthology of Scottish Women Poets</v>
          </cell>
          <cell r="B160" t="str">
            <v>Ebook - pdf</v>
          </cell>
          <cell r="C160">
            <v>9781474469791</v>
          </cell>
        </row>
        <row r="161">
          <cell r="A161" t="str">
            <v>An Apocalyptic History of the Early Fatimid Empire</v>
          </cell>
          <cell r="B161" t="str">
            <v>Ebook - pdf</v>
          </cell>
          <cell r="C161">
            <v>9780748690893</v>
          </cell>
        </row>
        <row r="162">
          <cell r="A162" t="str">
            <v>An Environmental History of Great Britain</v>
          </cell>
          <cell r="B162" t="str">
            <v>Ebook - pdf</v>
          </cell>
          <cell r="C162">
            <v>9781474472609</v>
          </cell>
        </row>
        <row r="163">
          <cell r="A163" t="str">
            <v>An Inquiry into the Human Mind on the Principles of Common Sense</v>
          </cell>
          <cell r="B163" t="str">
            <v>Ebook - pdf</v>
          </cell>
          <cell r="C163">
            <v>9781474471923</v>
          </cell>
        </row>
        <row r="164">
          <cell r="A164" t="str">
            <v>An Introduction to Applied Linguistics: From Practice to Theory</v>
          </cell>
          <cell r="B164" t="str">
            <v>Ebook - pdf</v>
          </cell>
          <cell r="C164">
            <v>9780748633562</v>
          </cell>
        </row>
        <row r="165">
          <cell r="A165" t="str">
            <v>An Introduction to Contemporary American Fiction</v>
          </cell>
          <cell r="B165" t="str">
            <v>Ebook - pdf</v>
          </cell>
          <cell r="C165">
            <v>9780748674046</v>
          </cell>
        </row>
        <row r="166">
          <cell r="A166" t="str">
            <v>An Introduction to Early Modern English</v>
          </cell>
          <cell r="B166" t="str">
            <v>Ebook - pdf</v>
          </cell>
          <cell r="C166">
            <v>9780748626366</v>
          </cell>
        </row>
        <row r="167">
          <cell r="A167" t="str">
            <v>An Introduction to Element Theory</v>
          </cell>
          <cell r="B167" t="str">
            <v>Ebook - pdf</v>
          </cell>
          <cell r="C167">
            <v>9780748637447</v>
          </cell>
        </row>
        <row r="168">
          <cell r="A168" t="str">
            <v>An Introduction to English Lexicology</v>
          </cell>
          <cell r="B168" t="str">
            <v>Ebook - pdf</v>
          </cell>
          <cell r="C168">
            <v>9781474477918</v>
          </cell>
        </row>
        <row r="169">
          <cell r="A169" t="str">
            <v>An Introduction to English Morphology: Words and Their Structure (2nd edition)</v>
          </cell>
          <cell r="B169" t="str">
            <v>Ebook - pdf</v>
          </cell>
          <cell r="C169">
            <v>9781474428989</v>
          </cell>
        </row>
        <row r="170">
          <cell r="A170" t="str">
            <v>An Introduction to English Phonetics</v>
          </cell>
          <cell r="B170" t="str">
            <v>Ebook - pdf</v>
          </cell>
          <cell r="C170">
            <v>9781474411776</v>
          </cell>
        </row>
        <row r="171">
          <cell r="A171" t="str">
            <v>An Introduction to English Phonology 2nd edition</v>
          </cell>
          <cell r="B171" t="str">
            <v>Ebook - pdf</v>
          </cell>
          <cell r="C171">
            <v>9781474463706</v>
          </cell>
        </row>
        <row r="172">
          <cell r="A172" t="str">
            <v>An Introduction to English Semantics and Pragmatics</v>
          </cell>
          <cell r="B172" t="str">
            <v>Ebook - pdf</v>
          </cell>
          <cell r="C172">
            <v>9781474412827</v>
          </cell>
        </row>
        <row r="173">
          <cell r="A173" t="str">
            <v>An Introduction to English Sociolinguistics</v>
          </cell>
          <cell r="B173" t="str">
            <v>Ebook - pdf</v>
          </cell>
          <cell r="C173">
            <v>9780748630004</v>
          </cell>
        </row>
        <row r="174">
          <cell r="A174" t="str">
            <v>An Introduction to English Syntax</v>
          </cell>
          <cell r="B174" t="str">
            <v>Ebook - pdf</v>
          </cell>
          <cell r="C174">
            <v>9780748633623</v>
          </cell>
        </row>
        <row r="175">
          <cell r="A175" t="str">
            <v>An Introduction to Gaelic Fiction</v>
          </cell>
          <cell r="B175" t="str">
            <v>Ebook - pdf</v>
          </cell>
          <cell r="C175">
            <v>9780748636655</v>
          </cell>
        </row>
        <row r="176">
          <cell r="A176" t="str">
            <v>An Introduction to Gaelic Poetry</v>
          </cell>
          <cell r="B176" t="str">
            <v>Ebook - pdf</v>
          </cell>
          <cell r="C176">
            <v>9781474473149</v>
          </cell>
        </row>
        <row r="177">
          <cell r="A177" t="str">
            <v>An Introduction to Global Citizenship</v>
          </cell>
          <cell r="B177" t="str">
            <v>Ebook - pdf</v>
          </cell>
          <cell r="C177">
            <v>9781474467834</v>
          </cell>
        </row>
        <row r="178">
          <cell r="A178" t="str">
            <v>An Introduction to International Varieties of English</v>
          </cell>
          <cell r="B178" t="str">
            <v>Ebook - pdf</v>
          </cell>
          <cell r="C178">
            <v>9781474400459</v>
          </cell>
        </row>
        <row r="179">
          <cell r="A179" t="str">
            <v>An Introduction to Islamic Archaeology</v>
          </cell>
          <cell r="B179" t="str">
            <v>Ebook - pdf</v>
          </cell>
          <cell r="C179">
            <v>9780748629954</v>
          </cell>
        </row>
        <row r="180">
          <cell r="A180" t="str">
            <v>An Introduction to Islamic Philosophy</v>
          </cell>
          <cell r="B180" t="str">
            <v>Ebook - pdf</v>
          </cell>
          <cell r="C180">
            <v>9780748680689</v>
          </cell>
        </row>
        <row r="181">
          <cell r="A181" t="str">
            <v>An Introduction to Kant's Critique of Judgement</v>
          </cell>
          <cell r="B181" t="str">
            <v>Ebook - pdf</v>
          </cell>
          <cell r="C181">
            <v>9781474465526</v>
          </cell>
        </row>
        <row r="182">
          <cell r="A182" t="str">
            <v>An Introduction to Late Modern English</v>
          </cell>
          <cell r="B182" t="str">
            <v>Ebook - pdf</v>
          </cell>
          <cell r="C182">
            <v>9780748631308</v>
          </cell>
        </row>
        <row r="183">
          <cell r="A183" t="str">
            <v>An Introduction to Medieval Philosophy</v>
          </cell>
          <cell r="B183" t="str">
            <v>Ebook - pdf</v>
          </cell>
          <cell r="C183">
            <v>9781474470711</v>
          </cell>
        </row>
        <row r="184">
          <cell r="A184" t="str">
            <v>An Introduction to Middle English</v>
          </cell>
          <cell r="B184" t="str">
            <v>Ebook - pdf</v>
          </cell>
          <cell r="C184">
            <v>9780748673124</v>
          </cell>
        </row>
        <row r="185">
          <cell r="A185" t="str">
            <v>An Introduction to Old English</v>
          </cell>
          <cell r="B185" t="str">
            <v>Ebook - pdf</v>
          </cell>
          <cell r="C185">
            <v>9780748654314</v>
          </cell>
        </row>
        <row r="186">
          <cell r="A186" t="str">
            <v>An Introduction to Political Thought: A Conceptual Toolkit</v>
          </cell>
          <cell r="B186" t="str">
            <v>Ebook - pdf</v>
          </cell>
          <cell r="C186">
            <v>9780748644001</v>
          </cell>
        </row>
        <row r="187">
          <cell r="A187" t="str">
            <v>An Introduction to Regional Englishes: Dialect Variation in England</v>
          </cell>
          <cell r="B187" t="str">
            <v>Ebook - pdf</v>
          </cell>
          <cell r="C187">
            <v>9780748629374</v>
          </cell>
        </row>
        <row r="188">
          <cell r="A188" t="str">
            <v>An Introduction to the Hadith</v>
          </cell>
          <cell r="B188" t="str">
            <v>Ebook - pdf</v>
          </cell>
          <cell r="C188">
            <v>9781474465564</v>
          </cell>
        </row>
        <row r="189">
          <cell r="A189" t="str">
            <v>An Introduction to Wittgenstein's Philosophy of Religion</v>
          </cell>
          <cell r="B189" t="str">
            <v>Ebook - pdf</v>
          </cell>
          <cell r="C189">
            <v>9781474465748</v>
          </cell>
        </row>
        <row r="190">
          <cell r="A190" t="str">
            <v>Ana Kokkinos: An Oeuvre of Outsiders</v>
          </cell>
          <cell r="B190" t="str">
            <v>Ebook - pdf</v>
          </cell>
          <cell r="C190">
            <v>9781474431095</v>
          </cell>
        </row>
        <row r="191">
          <cell r="A191" t="str">
            <v>Analogy and Morphological Change</v>
          </cell>
          <cell r="B191" t="str">
            <v>Ebook - pdf</v>
          </cell>
          <cell r="C191">
            <v>9780748646234</v>
          </cell>
        </row>
        <row r="192">
          <cell r="A192" t="str">
            <v>Analyzing Syntax through Texts: Old, Middle, and Early Modern English</v>
          </cell>
          <cell r="B192" t="str">
            <v>Ebook - pdf</v>
          </cell>
          <cell r="C192">
            <v>9781474420396</v>
          </cell>
        </row>
        <row r="193">
          <cell r="A193" t="str">
            <v>Ancient Greece on British Television</v>
          </cell>
          <cell r="B193" t="str">
            <v>Ebook - pdf</v>
          </cell>
          <cell r="C193">
            <v>9781474412605</v>
          </cell>
        </row>
        <row r="194">
          <cell r="A194" t="str">
            <v>Ancient Greece: From the Mycenaean Palaces to the Age of Homer</v>
          </cell>
          <cell r="B194" t="str">
            <v>Ebook - pdf</v>
          </cell>
          <cell r="C194">
            <v>9780748627295</v>
          </cell>
        </row>
        <row r="195">
          <cell r="A195" t="str">
            <v>Ancient Greek History and Contemporary Social Science</v>
          </cell>
          <cell r="B195" t="str">
            <v>Ebook - pdf</v>
          </cell>
          <cell r="C195">
            <v>9781474421782</v>
          </cell>
        </row>
        <row r="196">
          <cell r="A196" t="str">
            <v>Ancient Tyranny</v>
          </cell>
          <cell r="B196" t="str">
            <v>Ebook - pdf</v>
          </cell>
          <cell r="C196">
            <v>9780748626434</v>
          </cell>
        </row>
        <row r="197">
          <cell r="A197" t="str">
            <v>And Now for Something Completely Different: Critical Approaches to Monty Python</v>
          </cell>
          <cell r="B197" t="str">
            <v>Ebook - pdf</v>
          </cell>
          <cell r="C197">
            <v>9781474475174</v>
          </cell>
        </row>
        <row r="198">
          <cell r="A198" t="str">
            <v>Anecdotes of Scott</v>
          </cell>
          <cell r="B198" t="str">
            <v>Ebook - pdf</v>
          </cell>
          <cell r="C198">
            <v>9780748698646</v>
          </cell>
        </row>
        <row r="199">
          <cell r="A199" t="str">
            <v>Angela Carter: Writing from the Front Line</v>
          </cell>
          <cell r="B199" t="str">
            <v>Ebook - pdf</v>
          </cell>
          <cell r="C199">
            <v>9781474468305</v>
          </cell>
        </row>
        <row r="200">
          <cell r="A200" t="str">
            <v>Animal Theory: A Critical Introduction</v>
          </cell>
          <cell r="B200" t="str">
            <v>Ebook - pdf</v>
          </cell>
          <cell r="C200">
            <v>9780748682218</v>
          </cell>
        </row>
        <row r="201">
          <cell r="A201" t="str">
            <v>Animal Worlds: Film, Philosophy and Time</v>
          </cell>
          <cell r="B201" t="str">
            <v>Ebook - pdf</v>
          </cell>
          <cell r="C201">
            <v>9781474446402</v>
          </cell>
        </row>
        <row r="202">
          <cell r="A202" t="str">
            <v>Animal Writing: Storytelling, Selfhood and the Limits of Empathy</v>
          </cell>
          <cell r="B202" t="str">
            <v>Ebook - pdf</v>
          </cell>
          <cell r="C202">
            <v>9781474439053</v>
          </cell>
        </row>
        <row r="203">
          <cell r="A203" t="str">
            <v>Animalities: Literary and Cultural Studies Beyond the Human</v>
          </cell>
          <cell r="B203" t="str">
            <v>Ebook - pdf</v>
          </cell>
          <cell r="C203">
            <v>9781474400039</v>
          </cell>
        </row>
        <row r="204">
          <cell r="A204" t="str">
            <v>Animating Truth: Documentary and Visual Culture in the 21st Century</v>
          </cell>
          <cell r="B204" t="str">
            <v>Ebook - pdf</v>
          </cell>
          <cell r="C204">
            <v>9781474463386</v>
          </cell>
        </row>
        <row r="205">
          <cell r="A205" t="str">
            <v>Animation and America</v>
          </cell>
          <cell r="B205" t="str">
            <v>Ebook - pdf</v>
          </cell>
          <cell r="C205">
            <v>9781474473521</v>
          </cell>
        </row>
        <row r="206">
          <cell r="A206" t="str">
            <v>Annals of the Parish</v>
          </cell>
          <cell r="B206" t="str">
            <v>Ebook - pdf</v>
          </cell>
          <cell r="C206">
            <v>9781474442428</v>
          </cell>
        </row>
        <row r="207">
          <cell r="A207" t="str">
            <v>Anne of Geierstein</v>
          </cell>
          <cell r="B207" t="str">
            <v>Ebook - pdf</v>
          </cell>
          <cell r="C207">
            <v>9781474432658</v>
          </cell>
        </row>
        <row r="208">
          <cell r="A208" t="str">
            <v>Anthony Trollope's Late Style: Victorian Liberalism and Literary Form</v>
          </cell>
          <cell r="B208" t="str">
            <v>Ebook - pdf</v>
          </cell>
          <cell r="C208">
            <v>9780748699568</v>
          </cell>
        </row>
        <row r="209">
          <cell r="A209" t="str">
            <v>Anthropomorphism in Islam: The Challenge of Traditionalism (700-1350)</v>
          </cell>
          <cell r="B209" t="str">
            <v>Ebook - pdf</v>
          </cell>
          <cell r="C209">
            <v>9780748689576</v>
          </cell>
        </row>
        <row r="210">
          <cell r="A210" t="str">
            <v>Anti-Colonial Texts from Central American Student Movements 1929–1983</v>
          </cell>
          <cell r="B210" t="str">
            <v>Ebook - pdf</v>
          </cell>
          <cell r="C210">
            <v>9781474403702</v>
          </cell>
        </row>
        <row r="211">
          <cell r="A211" t="str">
            <v>Antonia White and Manic-Depressive Illness</v>
          </cell>
          <cell r="B211" t="str">
            <v>Ebook - pdf</v>
          </cell>
          <cell r="C211">
            <v>9781474418225</v>
          </cell>
        </row>
        <row r="212">
          <cell r="A212" t="str">
            <v>Antonioni and the Aesthetics of Impurity: Remaking the Image in the 1960s</v>
          </cell>
          <cell r="B212" t="str">
            <v>Ebook - pdf</v>
          </cell>
          <cell r="C212">
            <v>9781474444064</v>
          </cell>
        </row>
        <row r="213">
          <cell r="A213" t="str">
            <v>Anxious Men: Masculinity in American Fiction of the Mid-Twentieth Century</v>
          </cell>
          <cell r="B213" t="str">
            <v>Ebook - pdf</v>
          </cell>
          <cell r="C213">
            <v>9781474423885</v>
          </cell>
        </row>
        <row r="214">
          <cell r="A214" t="str">
            <v>Arab Animation: Images of Identity</v>
          </cell>
          <cell r="B214" t="str">
            <v>Ebook - pdf</v>
          </cell>
          <cell r="C214">
            <v>9781474479509</v>
          </cell>
        </row>
        <row r="215">
          <cell r="A215" t="str">
            <v>Arab Christians in British Mandate Palestine: Communalism and Nationalism, 1917-1948</v>
          </cell>
          <cell r="B215" t="str">
            <v>Ebook - pdf</v>
          </cell>
          <cell r="C215">
            <v>9780748676040</v>
          </cell>
        </row>
        <row r="216">
          <cell r="A216" t="str">
            <v>Arabian Drugs in Medieval Mediterranean Medicine</v>
          </cell>
          <cell r="B216" t="str">
            <v>Ebook - pdf</v>
          </cell>
          <cell r="C216">
            <v>9780748697823</v>
          </cell>
        </row>
        <row r="217">
          <cell r="A217" t="str">
            <v>Arabic Corpus Linguistics</v>
          </cell>
          <cell r="B217" t="str">
            <v>Ebook - pdf</v>
          </cell>
          <cell r="C217">
            <v>9780748677382</v>
          </cell>
        </row>
        <row r="218">
          <cell r="A218" t="str">
            <v>Arabic Grammar: A Reference Guide</v>
          </cell>
          <cell r="B218" t="str">
            <v>Ebook - pdf</v>
          </cell>
          <cell r="C218">
            <v>9781474470452</v>
          </cell>
        </row>
        <row r="219">
          <cell r="A219" t="str">
            <v>Arabic in Modern Hebrew Texts: The Stylistics of Exophonic Writing</v>
          </cell>
          <cell r="B219" t="str">
            <v>Ebook - pdf</v>
          </cell>
          <cell r="C219">
            <v>9781474444453</v>
          </cell>
        </row>
        <row r="220">
          <cell r="A220" t="str">
            <v>Arabic in the Fray: Language Ideology and Cultural Politics</v>
          </cell>
          <cell r="B220" t="str">
            <v>Ebook - pdf</v>
          </cell>
          <cell r="C220">
            <v>9780748680320</v>
          </cell>
        </row>
        <row r="221">
          <cell r="A221" t="str">
            <v>Arabic Sociolinguistics</v>
          </cell>
          <cell r="B221" t="str">
            <v>Ebook - pdf</v>
          </cell>
          <cell r="C221">
            <v>9781474457361</v>
          </cell>
        </row>
        <row r="222">
          <cell r="A222" t="str">
            <v>Arabic Today: A Student, Business and Professional Course in Spoken and Written Arabic</v>
          </cell>
          <cell r="B222" t="str">
            <v>Ebook - pdf</v>
          </cell>
          <cell r="C222">
            <v>9780748635597</v>
          </cell>
        </row>
        <row r="223">
          <cell r="A223" t="str">
            <v>Arabs in the Early Islamic Empire: Exploring al-Azd Tribal Identity</v>
          </cell>
          <cell r="B223" t="str">
            <v>Ebook - pdf</v>
          </cell>
          <cell r="C223">
            <v>9781474436816</v>
          </cell>
        </row>
        <row r="224">
          <cell r="A224" t="str">
            <v>Archaeology and the Emergence of Greece</v>
          </cell>
          <cell r="B224" t="str">
            <v>Ebook - pdf</v>
          </cell>
          <cell r="C224">
            <v>9781474480963</v>
          </cell>
        </row>
        <row r="225">
          <cell r="A225" t="str">
            <v>Archaeology of Empire in Achaemenid Egypt</v>
          </cell>
          <cell r="B225" t="str">
            <v>Ebook - pdf</v>
          </cell>
          <cell r="C225">
            <v>9781474452380</v>
          </cell>
        </row>
        <row r="226">
          <cell r="A226" t="str">
            <v>Archipelagic Modernism: Literature in the Irish and British Isles, 1890-1970</v>
          </cell>
          <cell r="B226" t="str">
            <v>Ebook - pdf</v>
          </cell>
          <cell r="C226">
            <v>9780748643370</v>
          </cell>
        </row>
        <row r="227">
          <cell r="A227" t="str">
            <v>Architectural Materialisms: Nonhuman Creativity</v>
          </cell>
          <cell r="B227" t="str">
            <v>Ebook - pdf</v>
          </cell>
          <cell r="C227">
            <v>9781474420587</v>
          </cell>
        </row>
        <row r="228">
          <cell r="A228" t="str">
            <v>Architecture and Landscape in Medieval Anatolia, 1100-1500</v>
          </cell>
          <cell r="B228" t="str">
            <v>Ebook - pdf</v>
          </cell>
          <cell r="C228">
            <v>9781474411301</v>
          </cell>
        </row>
        <row r="229">
          <cell r="A229" t="str">
            <v>Arendt, Natality and Biopolitics: Toward Democratic Plurality and Reproductive Justice</v>
          </cell>
          <cell r="B229" t="str">
            <v>Ebook - pdf</v>
          </cell>
          <cell r="C229">
            <v>9781474444361</v>
          </cell>
        </row>
        <row r="230">
          <cell r="A230" t="str">
            <v>Aristotle on the Matter of Form: Α Feminist Metaphysics of Generation</v>
          </cell>
          <cell r="B230" t="str">
            <v>Ebook - pdf</v>
          </cell>
          <cell r="C230">
            <v>9781474455251</v>
          </cell>
        </row>
        <row r="231">
          <cell r="A231" t="str">
            <v>Armenia and Azerbaijan: Anatomy of a Rivalry</v>
          </cell>
          <cell r="B231" t="str">
            <v>Ebook - pdf</v>
          </cell>
          <cell r="C231">
            <v>9781474450546</v>
          </cell>
        </row>
        <row r="232">
          <cell r="A232" t="str">
            <v>Armenians Beyond Diaspora: Making Lebanon their Own</v>
          </cell>
          <cell r="B232" t="str">
            <v>Ebook - pdf</v>
          </cell>
          <cell r="C232">
            <v>9781474458580</v>
          </cell>
        </row>
        <row r="233">
          <cell r="A233" t="str">
            <v>Art, Allegory and the Rise of Shi’ism in Iran, 1487-1565</v>
          </cell>
          <cell r="B233" t="str">
            <v>Ebook - pdf</v>
          </cell>
          <cell r="C233">
            <v>9781474450416</v>
          </cell>
        </row>
        <row r="234">
          <cell r="A234" t="str">
            <v>Art, Performance and Ritual in Benin City</v>
          </cell>
          <cell r="B234" t="str">
            <v>Ebook - pdf</v>
          </cell>
          <cell r="C234">
            <v>9781474468589</v>
          </cell>
        </row>
        <row r="235">
          <cell r="A235" t="str">
            <v>Artful Experiments: Ways of Knowing in Victorian Literature and Science</v>
          </cell>
          <cell r="B235" t="str">
            <v>Ebook - pdf</v>
          </cell>
          <cell r="C235">
            <v>9781474438971</v>
          </cell>
        </row>
        <row r="236">
          <cell r="A236" t="str">
            <v>Artmachines: Deleuze, Guattari, Simondon</v>
          </cell>
          <cell r="B236" t="str">
            <v>Ebook - pdf</v>
          </cell>
          <cell r="C236">
            <v>9781474402552</v>
          </cell>
        </row>
        <row r="237">
          <cell r="A237" t="str">
            <v>Artmaking in the Age of Global Capitalism: Visual Practices, Philosophy, Politics</v>
          </cell>
          <cell r="B237" t="str">
            <v>Ebook - pdf</v>
          </cell>
          <cell r="C237">
            <v>9781474456968</v>
          </cell>
        </row>
        <row r="238">
          <cell r="A238" t="str">
            <v>Asante Identities: History and Modernity in an African Village, 1850-1950</v>
          </cell>
          <cell r="B238" t="str">
            <v>Ebook - pdf</v>
          </cell>
          <cell r="C238">
            <v>9781474470827</v>
          </cell>
        </row>
        <row r="239">
          <cell r="A239" t="str">
            <v>Asia after Versailles: Asian Perspectives on the Paris Peace Conference and the Interwar Order, 1919-33</v>
          </cell>
          <cell r="B239" t="str">
            <v>Ebook - pdf</v>
          </cell>
          <cell r="C239">
            <v>9781474417174</v>
          </cell>
        </row>
        <row r="240">
          <cell r="A240" t="str">
            <v>Asian American Literary Studies</v>
          </cell>
          <cell r="B240" t="str">
            <v>Ebook - pdf</v>
          </cell>
          <cell r="C240">
            <v>9781474469340</v>
          </cell>
        </row>
        <row r="241">
          <cell r="A241" t="str">
            <v>Asian American Literature</v>
          </cell>
          <cell r="B241" t="str">
            <v>Ebook - pdf</v>
          </cell>
          <cell r="C241">
            <v>9780748629831</v>
          </cell>
        </row>
        <row r="242">
          <cell r="A242" t="str">
            <v>Asian Cinema: A Regional View</v>
          </cell>
          <cell r="B242" t="str">
            <v>Ebook - pdf</v>
          </cell>
          <cell r="C242">
            <v>9781474461788</v>
          </cell>
        </row>
        <row r="243">
          <cell r="A243" t="str">
            <v>Asian Cinemas: A Reader and Guide</v>
          </cell>
          <cell r="B243" t="str">
            <v>Ebook - pdf</v>
          </cell>
          <cell r="C243">
            <v>9781474468039</v>
          </cell>
        </row>
        <row r="244">
          <cell r="A244" t="str">
            <v>Assemblage Theory</v>
          </cell>
          <cell r="B244" t="str">
            <v>Ebook - pdf</v>
          </cell>
          <cell r="C244">
            <v>9781474413640</v>
          </cell>
        </row>
        <row r="245">
          <cell r="A245" t="str">
            <v>Assessing the George W. Bush Presidency: A Tale of Two Terms</v>
          </cell>
          <cell r="B245" t="str">
            <v>Ebook - pdf</v>
          </cell>
          <cell r="C245">
            <v>9780748631490</v>
          </cell>
        </row>
        <row r="246">
          <cell r="A246" t="str">
            <v>Associationism and the Literary Imagination: From the Phantasmal Chaos</v>
          </cell>
          <cell r="B246" t="str">
            <v>Ebook - pdf</v>
          </cell>
          <cell r="C246">
            <v>9780748628162</v>
          </cell>
        </row>
        <row r="247">
          <cell r="A247" t="str">
            <v>Astronomy and Astrology in the Islamic World</v>
          </cell>
          <cell r="B247" t="str">
            <v>Ebook - pdf</v>
          </cell>
          <cell r="C247">
            <v>9780748649112</v>
          </cell>
        </row>
        <row r="248">
          <cell r="A248" t="str">
            <v>At the Edges of Thought: Deleuze and Post-Kantian Philosophy</v>
          </cell>
          <cell r="B248" t="str">
            <v>Ebook - pdf</v>
          </cell>
          <cell r="C248">
            <v>9780748694648</v>
          </cell>
        </row>
        <row r="249">
          <cell r="A249" t="str">
            <v>Athenian Democracy</v>
          </cell>
          <cell r="B249" t="str">
            <v>Ebook - pdf</v>
          </cell>
          <cell r="C249">
            <v>9781474471985</v>
          </cell>
        </row>
        <row r="250">
          <cell r="A250" t="str">
            <v>Atlantic Citizens: Nineteenth-Century American Writers at Work in the World</v>
          </cell>
          <cell r="B250" t="str">
            <v>Ebook - pdf</v>
          </cell>
          <cell r="C250">
            <v>9780748669387</v>
          </cell>
        </row>
        <row r="251">
          <cell r="A251" t="str">
            <v>Atlas of Global Christianity</v>
          </cell>
          <cell r="B251" t="str">
            <v>Ebook - pdf</v>
          </cell>
          <cell r="C251">
            <v>9780748632169</v>
          </cell>
        </row>
        <row r="252">
          <cell r="A252" t="str">
            <v>Augustan Rome 44 BC to AD 14: The Restoration of the Republic and the Establishment of the Empire</v>
          </cell>
          <cell r="B252" t="str">
            <v>Ebook - pdf</v>
          </cell>
          <cell r="C252">
            <v>9780748629046</v>
          </cell>
        </row>
        <row r="253">
          <cell r="A253" t="str">
            <v>Augustus</v>
          </cell>
          <cell r="B253" t="str">
            <v>Ebook - pdf</v>
          </cell>
          <cell r="C253">
            <v>9781474467964</v>
          </cell>
        </row>
        <row r="254">
          <cell r="A254" t="str">
            <v>Authorities in Early Modern Law Courts</v>
          </cell>
          <cell r="B254" t="str">
            <v>Ebook - pdf</v>
          </cell>
          <cell r="C254">
            <v>9781474451024</v>
          </cell>
        </row>
        <row r="255">
          <cell r="A255" t="str">
            <v>Authorship: From Plato to the Postmodern: A Reader</v>
          </cell>
          <cell r="B255" t="str">
            <v>Ebook - pdf</v>
          </cell>
          <cell r="C255">
            <v>9781474465519</v>
          </cell>
        </row>
        <row r="256">
          <cell r="A256" t="str">
            <v>Autobiographical Identities in Contemporary Arab Culture</v>
          </cell>
          <cell r="B256" t="str">
            <v>Ebook - pdf</v>
          </cell>
          <cell r="C256">
            <v>9780748643417</v>
          </cell>
        </row>
        <row r="257">
          <cell r="A257" t="str">
            <v>Avizandum Legislation on International Private Law</v>
          </cell>
          <cell r="B257" t="str">
            <v>Ebook - pdf</v>
          </cell>
          <cell r="C257">
            <v>9781474483704</v>
          </cell>
        </row>
        <row r="258">
          <cell r="A258" t="str">
            <v>Avizandum Legislation on the Scots Law of Obligations</v>
          </cell>
          <cell r="B258" t="str">
            <v>Ebook - pdf</v>
          </cell>
          <cell r="C258">
            <v>9781474498593</v>
          </cell>
        </row>
        <row r="259">
          <cell r="A259" t="str">
            <v>Avizandum Statutes on Scots Commercial and Consumer Law: 2020-21</v>
          </cell>
          <cell r="B259" t="str">
            <v>Ebook - pdf</v>
          </cell>
          <cell r="C259">
            <v>9781474485302</v>
          </cell>
        </row>
        <row r="260">
          <cell r="A260" t="str">
            <v>Avizandum Statutes on Scots Commercial and Consumer Law: 2021-2022</v>
          </cell>
          <cell r="B260" t="str">
            <v>Ebook - pdf</v>
          </cell>
          <cell r="C260">
            <v>9781474498548</v>
          </cell>
        </row>
        <row r="261">
          <cell r="A261" t="str">
            <v>Avizandum Statutes on Scots Family Law: 2020-21</v>
          </cell>
          <cell r="B261" t="str">
            <v>Ebook - pdf</v>
          </cell>
          <cell r="C261">
            <v>9781474484442</v>
          </cell>
        </row>
        <row r="262">
          <cell r="A262" t="str">
            <v>Avizandum Statutes on Scots Family Law: 2021-2022</v>
          </cell>
          <cell r="B262" t="str">
            <v>Ebook - pdf</v>
          </cell>
          <cell r="C262">
            <v>9781474421904</v>
          </cell>
        </row>
        <row r="263">
          <cell r="A263" t="str">
            <v>Avizandum Statutes on Scots Public Law</v>
          </cell>
          <cell r="B263" t="str">
            <v>Ebook - pdf</v>
          </cell>
          <cell r="C263">
            <v>9781474483629</v>
          </cell>
        </row>
        <row r="264">
          <cell r="A264" t="str">
            <v>Avizandum Statutes on the Scots Law of Property, Trusts &amp; Succession: 2021-2022</v>
          </cell>
          <cell r="B264" t="str">
            <v>Ebook - pdf</v>
          </cell>
          <cell r="C264">
            <v>9781474498579</v>
          </cell>
        </row>
        <row r="265">
          <cell r="A265" t="str">
            <v>Avizandum Statutes on the Scots Law of Property, Trusts and Succession: 2020-21</v>
          </cell>
          <cell r="B265" t="str">
            <v>Ebook - pdf</v>
          </cell>
          <cell r="C265">
            <v>9781474483667</v>
          </cell>
        </row>
        <row r="266">
          <cell r="A266" t="str">
            <v>Badfilm: Incompetence, Intention and Failure</v>
          </cell>
          <cell r="B266" t="str">
            <v>Ebook - pdf</v>
          </cell>
          <cell r="C266">
            <v>9781474450447</v>
          </cell>
        </row>
        <row r="267">
          <cell r="A267" t="str">
            <v>Badiou and Cinema</v>
          </cell>
          <cell r="B267" t="str">
            <v>Ebook - pdf</v>
          </cell>
          <cell r="C267">
            <v>9780748644483</v>
          </cell>
        </row>
        <row r="268">
          <cell r="A268" t="str">
            <v>Badiou and Deleuze Read Literature</v>
          </cell>
          <cell r="B268" t="str">
            <v>Ebook - pdf</v>
          </cell>
          <cell r="C268">
            <v>9780748641635</v>
          </cell>
        </row>
        <row r="269">
          <cell r="A269" t="str">
            <v>Badiou and Philosophy</v>
          </cell>
          <cell r="B269" t="str">
            <v>Ebook - pdf</v>
          </cell>
          <cell r="C269">
            <v>9780748643530</v>
          </cell>
        </row>
        <row r="270">
          <cell r="A270" t="str">
            <v>Badiou and Plato: An Education by Truths</v>
          </cell>
          <cell r="B270" t="str">
            <v>Ebook - pdf</v>
          </cell>
          <cell r="C270">
            <v>9780748643769</v>
          </cell>
        </row>
        <row r="271">
          <cell r="A271" t="str">
            <v>Badiou and the Political Condition</v>
          </cell>
          <cell r="B271" t="str">
            <v>Ebook - pdf</v>
          </cell>
          <cell r="C271">
            <v>9780748678815</v>
          </cell>
        </row>
        <row r="272">
          <cell r="A272" t="str">
            <v>Balibar and the Citizen Subject</v>
          </cell>
          <cell r="B272" t="str">
            <v>Ebook - pdf</v>
          </cell>
          <cell r="C272">
            <v>9781474404228</v>
          </cell>
        </row>
        <row r="273">
          <cell r="A273" t="str">
            <v>Bank of Scotland: 1695 -1995 A History</v>
          </cell>
          <cell r="B273" t="str">
            <v>Ebook - pdf</v>
          </cell>
          <cell r="C273">
            <v>9781474472296</v>
          </cell>
        </row>
        <row r="274">
          <cell r="A274" t="str">
            <v>Bannockburn: The Scottish War and the British Isles 1307-1323</v>
          </cell>
          <cell r="B274" t="str">
            <v>Ebook - pdf</v>
          </cell>
          <cell r="C274">
            <v>9780748633340</v>
          </cell>
        </row>
        <row r="275">
          <cell r="A275" t="str">
            <v>Bannockburns: Scottish Independence and Literary Imagination, 1314-2014</v>
          </cell>
          <cell r="B275" t="str">
            <v>Ebook - pdf</v>
          </cell>
          <cell r="C275">
            <v>9780748685851</v>
          </cell>
        </row>
        <row r="276">
          <cell r="A276" t="str">
            <v>Barbarossa: The Axis and the Allies</v>
          </cell>
          <cell r="B276" t="str">
            <v>Ebook - pdf</v>
          </cell>
          <cell r="C276">
            <v>9781474468060</v>
          </cell>
        </row>
        <row r="277">
          <cell r="A277" t="str">
            <v>Barthes/Burgin</v>
          </cell>
          <cell r="B277" t="str">
            <v>Ebook - pdf</v>
          </cell>
          <cell r="C277">
            <v>9781474415545</v>
          </cell>
        </row>
        <row r="278">
          <cell r="A278" t="str">
            <v>Bayana: The Sources of Mughal Architecture</v>
          </cell>
          <cell r="B278" t="str">
            <v>Ebook - pdf</v>
          </cell>
          <cell r="C278">
            <v>9781474460750</v>
          </cell>
        </row>
        <row r="279">
          <cell r="A279" t="str">
            <v>Beckett and Embodiment: Body, Space, Agency</v>
          </cell>
          <cell r="B279" t="str">
            <v>Ebook - pdf</v>
          </cell>
          <cell r="C279">
            <v>9781474463010</v>
          </cell>
        </row>
        <row r="280">
          <cell r="A280" t="str">
            <v>Beckett Beyond the Normal</v>
          </cell>
          <cell r="B280" t="str">
            <v>Ebook - pdf</v>
          </cell>
          <cell r="C280">
            <v>9781474460484</v>
          </cell>
        </row>
        <row r="281">
          <cell r="A281" t="str">
            <v>Beckett Matters: Essays on Beckett's Late Modernism</v>
          </cell>
          <cell r="B281" t="str">
            <v>Ebook - pdf</v>
          </cell>
          <cell r="C281">
            <v>9781474414418</v>
          </cell>
        </row>
        <row r="282">
          <cell r="A282" t="str">
            <v>Beckett's Breath: Anti-Theatricality and the Visual Arts</v>
          </cell>
          <cell r="B282" t="str">
            <v>Ebook - pdf</v>
          </cell>
          <cell r="C282">
            <v>9781474421652</v>
          </cell>
        </row>
        <row r="283">
          <cell r="A283" t="str">
            <v>Beckett's Thing: Painting and Theatre</v>
          </cell>
          <cell r="B283" t="str">
            <v>Ebook - pdf</v>
          </cell>
          <cell r="C283">
            <v>9781474415736</v>
          </cell>
        </row>
        <row r="284">
          <cell r="A284" t="str">
            <v>Becoming Posthumous: Life and Death in Literary and Cultural Studies</v>
          </cell>
          <cell r="B284" t="str">
            <v>Ebook - pdf</v>
          </cell>
          <cell r="C284">
            <v>9780585442051</v>
          </cell>
        </row>
        <row r="285">
          <cell r="A285" t="str">
            <v>Being English in Scotland</v>
          </cell>
          <cell r="B285" t="str">
            <v>Ebook - pdf</v>
          </cell>
          <cell r="C285">
            <v>9781474473422</v>
          </cell>
        </row>
        <row r="286">
          <cell r="A286" t="str">
            <v xml:space="preserve">Being Palestinian: Personal Reflections on Palestinian Identity in the Diaspora	</v>
          </cell>
          <cell r="B286" t="str">
            <v>Ebook - pdf</v>
          </cell>
          <cell r="C286">
            <v>9780748634033</v>
          </cell>
        </row>
        <row r="287">
          <cell r="A287" t="str">
            <v>Being Scottish: Personal Reflections on Scottish Identity Today</v>
          </cell>
          <cell r="B287" t="str">
            <v>Ebook - pdf</v>
          </cell>
          <cell r="C287">
            <v>9780748674473</v>
          </cell>
        </row>
        <row r="288">
          <cell r="A288" t="str">
            <v>Ben Jonson, Renaissance Dramatist</v>
          </cell>
          <cell r="B288" t="str">
            <v>Ebook - pdf</v>
          </cell>
          <cell r="C288">
            <v>9780748629916</v>
          </cell>
        </row>
        <row r="289">
          <cell r="A289" t="str">
            <v>Ben-Hur: The Original Blockbuster</v>
          </cell>
          <cell r="B289" t="str">
            <v>Ebook - pdf</v>
          </cell>
          <cell r="C289">
            <v>9781474407960</v>
          </cell>
        </row>
        <row r="290">
          <cell r="A290" t="str">
            <v>Bergson and Philosophy</v>
          </cell>
          <cell r="B290" t="str">
            <v>Ebook - pdf</v>
          </cell>
          <cell r="C290">
            <v>9781474471176</v>
          </cell>
        </row>
        <row r="291">
          <cell r="A291" t="str">
            <v>Bergson and the Art of Immanence: Painting, Photography, Film</v>
          </cell>
          <cell r="B291" t="str">
            <v>Ebook - pdf</v>
          </cell>
          <cell r="C291">
            <v>9780748670239</v>
          </cell>
        </row>
        <row r="292">
          <cell r="A292" t="str">
            <v>Between Deleuze and Foucault</v>
          </cell>
          <cell r="B292" t="str">
            <v>Ebook - pdf</v>
          </cell>
          <cell r="C292">
            <v>9781474415095</v>
          </cell>
        </row>
        <row r="293">
          <cell r="A293" t="str">
            <v>Between Desire and Pleasure: A Deleuzian Theory of Sexuality</v>
          </cell>
          <cell r="B293" t="str">
            <v>Ebook - pdf</v>
          </cell>
          <cell r="C293">
            <v>9780748645930</v>
          </cell>
        </row>
        <row r="294">
          <cell r="A294" t="str">
            <v>Between Foucault and Derrida</v>
          </cell>
          <cell r="B294" t="str">
            <v>Ebook - pdf</v>
          </cell>
          <cell r="C294">
            <v>9780748697700</v>
          </cell>
        </row>
        <row r="295">
          <cell r="A295" t="str">
            <v>Between God, the Dead and the Wild: Chamba Interpretations of Ritual &amp; Religion</v>
          </cell>
          <cell r="B295" t="str">
            <v>Ebook - pdf</v>
          </cell>
          <cell r="C295">
            <v>9781474468145</v>
          </cell>
        </row>
        <row r="296">
          <cell r="A296" t="str">
            <v>Beyond Dogmatics: Law and Society in the Roman World</v>
          </cell>
          <cell r="B296" t="str">
            <v>Ebook - pdf</v>
          </cell>
          <cell r="C296">
            <v>9780748631773</v>
          </cell>
        </row>
        <row r="297">
          <cell r="A297" t="str">
            <v>Beyond Eastern Noir: Reimagining Russia and Eastern Europe in Nordic Cinemas</v>
          </cell>
          <cell r="B297" t="str">
            <v>Ebook - pdf</v>
          </cell>
          <cell r="C297">
            <v>9781474418119</v>
          </cell>
        </row>
        <row r="298">
          <cell r="A298" t="str">
            <v>Beyond New Age: Exploring Alternative Spirituality</v>
          </cell>
          <cell r="B298" t="str">
            <v>Ebook - pdf</v>
          </cell>
          <cell r="C298">
            <v>9781474497015</v>
          </cell>
        </row>
        <row r="299">
          <cell r="A299" t="str">
            <v>Beyond the State in Rural Uganda</v>
          </cell>
          <cell r="B299" t="str">
            <v>Ebook - pdf</v>
          </cell>
          <cell r="C299">
            <v>9780748636679</v>
          </cell>
        </row>
        <row r="300">
          <cell r="A300" t="str">
            <v>Big Data and Democracy</v>
          </cell>
          <cell r="B300" t="str">
            <v>Ebook - pdf</v>
          </cell>
          <cell r="C300">
            <v>9781474463546</v>
          </cell>
        </row>
        <row r="301">
          <cell r="A301" t="str">
            <v>Bigotry, Football and Scotland: Perspectives and Debates</v>
          </cell>
          <cell r="B301" t="str">
            <v>Ebook - pdf</v>
          </cell>
          <cell r="C301">
            <v>9780748670383</v>
          </cell>
        </row>
        <row r="302">
          <cell r="A302" t="str">
            <v>Bilingualism as Interactional Practices</v>
          </cell>
          <cell r="B302" t="str">
            <v>Ebook - pdf</v>
          </cell>
          <cell r="C302">
            <v>9780748675968</v>
          </cell>
        </row>
        <row r="303">
          <cell r="A303" t="str">
            <v>Biographia Literaria by Samuel Taylor Coleridge</v>
          </cell>
          <cell r="B303" t="str">
            <v>Ebook - pdf</v>
          </cell>
          <cell r="C303">
            <v>9780748692095</v>
          </cell>
        </row>
        <row r="304">
          <cell r="A304" t="str">
            <v>Biopolitics After Truth: Knowledge, Power and Democratic Life</v>
          </cell>
          <cell r="B304" t="str">
            <v>Ebook - pdf</v>
          </cell>
          <cell r="C304">
            <v>9781474485807</v>
          </cell>
        </row>
        <row r="305">
          <cell r="A305" t="str">
            <v>Biopolitics, Materiality and Meaning in Modern European Drama</v>
          </cell>
          <cell r="B305" t="str">
            <v>Ebook - pdf</v>
          </cell>
          <cell r="C305">
            <v>9781474467452</v>
          </cell>
        </row>
        <row r="306">
          <cell r="A306" t="str">
            <v>Black Mountain: Land, Class &amp; Power in the Eastern Orange Free State</v>
          </cell>
          <cell r="B306" t="str">
            <v>Ebook - pdf</v>
          </cell>
          <cell r="C306">
            <v>9781474471213</v>
          </cell>
        </row>
        <row r="307">
          <cell r="A307" t="str">
            <v>Black Nationalism in American History: From the Nineteenth Century to the Million Man March</v>
          </cell>
          <cell r="B307" t="str">
            <v>Ebook - pdf</v>
          </cell>
          <cell r="C307">
            <v>9781474405430</v>
          </cell>
        </row>
        <row r="308">
          <cell r="A308" t="str">
            <v>Black Writers in Britain 1760-1890</v>
          </cell>
          <cell r="B308" t="str">
            <v>Ebook - pdf</v>
          </cell>
          <cell r="C308">
            <v>9781474467971</v>
          </cell>
        </row>
        <row r="309">
          <cell r="A309" t="str">
            <v>Blasphemy and Apostasy in Islam: Debates in Shi’a Jurisprudence</v>
          </cell>
          <cell r="B309" t="str">
            <v>Ebook - pdf</v>
          </cell>
          <cell r="C309">
            <v>9781474457590</v>
          </cell>
        </row>
        <row r="310">
          <cell r="A310" t="str">
            <v xml:space="preserve">Blasted Literature: Victorian Political Fiction and the Shock of Modernism </v>
          </cell>
          <cell r="B310" t="str">
            <v>Ebook - pdf</v>
          </cell>
          <cell r="C310">
            <v>9780748645459</v>
          </cell>
        </row>
        <row r="311">
          <cell r="A311" t="str">
            <v>Blogging from Egypt: Digital Literature, 2005-2016</v>
          </cell>
          <cell r="B311" t="str">
            <v>Ebook - pdf</v>
          </cell>
          <cell r="C311">
            <v>9781474434010</v>
          </cell>
        </row>
        <row r="312">
          <cell r="A312" t="str">
            <v>Blood and Progress: Violence in Pursuit of Emancipation</v>
          </cell>
          <cell r="B312" t="str">
            <v>Ebook - pdf</v>
          </cell>
          <cell r="C312">
            <v>9781474410618</v>
          </cell>
        </row>
        <row r="313">
          <cell r="A313" t="str">
            <v>Blood in the Streets: Histories of Violence in Italian Crime Cinema</v>
          </cell>
          <cell r="B313" t="str">
            <v>Ebook - pdf</v>
          </cell>
          <cell r="C313">
            <v>9781474411738</v>
          </cell>
        </row>
        <row r="314">
          <cell r="A314" t="str">
            <v>B-Movie Gothic: International Perspectives</v>
          </cell>
          <cell r="B314" t="str">
            <v>Ebook - pdf</v>
          </cell>
          <cell r="C314">
            <v>9781474423458</v>
          </cell>
        </row>
        <row r="315">
          <cell r="A315" t="str">
            <v>Bollywood and Postmodernism: Popular Indian Cinema in the 21st Century</v>
          </cell>
          <cell r="B315" t="str">
            <v>Ebook - pdf</v>
          </cell>
          <cell r="C315">
            <v>9780748696352</v>
          </cell>
        </row>
        <row r="316">
          <cell r="A316" t="str">
            <v>Bollywood in the Age of New Media: The Geo-televisual Aesthetic</v>
          </cell>
          <cell r="B316" t="str">
            <v>Ebook - pdf</v>
          </cell>
          <cell r="C316">
            <v>9780748643233</v>
          </cell>
        </row>
        <row r="317">
          <cell r="A317" t="str">
            <v>Border Crossing: Russian Literature into Film</v>
          </cell>
          <cell r="B317" t="str">
            <v>Ebook - pdf</v>
          </cell>
          <cell r="C317">
            <v>9781474411431</v>
          </cell>
        </row>
        <row r="318">
          <cell r="A318" t="str">
            <v>Border Liberties and Loyalties: North-East England, c. 1200 to c. 1400</v>
          </cell>
          <cell r="B318" t="str">
            <v>Ebook - pdf</v>
          </cell>
          <cell r="C318">
            <v>9780748632176</v>
          </cell>
        </row>
        <row r="319">
          <cell r="A319" t="str">
            <v>Border Politics: The Limits of Sovereign Power</v>
          </cell>
          <cell r="B319" t="str">
            <v>Ebook - pdf</v>
          </cell>
          <cell r="C319">
            <v>9780748640218</v>
          </cell>
        </row>
        <row r="320">
          <cell r="A320" t="str">
            <v>Boswell's London Journal, 1762–1763</v>
          </cell>
          <cell r="B320" t="str">
            <v>Ebook - pdf</v>
          </cell>
          <cell r="C320">
            <v>9781474464581</v>
          </cell>
        </row>
        <row r="321">
          <cell r="A321" t="str">
            <v>Bourdieu and the Literary Field: Paragraph Volume 35, Number 1</v>
          </cell>
          <cell r="B321" t="str">
            <v>Ebook - pdf</v>
          </cell>
          <cell r="C321">
            <v>9781474463829</v>
          </cell>
        </row>
        <row r="322">
          <cell r="A322" t="str">
            <v>Breach of the Peace</v>
          </cell>
          <cell r="B322" t="str">
            <v>Ebook - pdf</v>
          </cell>
          <cell r="C322">
            <v>9780748699452</v>
          </cell>
        </row>
        <row r="323">
          <cell r="A323" t="str">
            <v>Breaking the Fourth Wall: Direct Address in the Cinema</v>
          </cell>
          <cell r="B323" t="str">
            <v>Ebook - pdf</v>
          </cell>
          <cell r="C323">
            <v>9780748644261</v>
          </cell>
        </row>
        <row r="324">
          <cell r="A324" t="str">
            <v>Brigid Brophy: Avant-Garde Writer, Critic, Activist</v>
          </cell>
          <cell r="B324" t="str">
            <v>Ebook - pdf</v>
          </cell>
          <cell r="C324">
            <v>9781474462686</v>
          </cell>
        </row>
        <row r="325">
          <cell r="A325" t="str">
            <v>Britain and the European Union</v>
          </cell>
          <cell r="B325" t="str">
            <v>Ebook - pdf</v>
          </cell>
          <cell r="C325">
            <v>9781474411790</v>
          </cell>
        </row>
        <row r="326">
          <cell r="A326" t="str">
            <v>Britain, Ireland and the Second World War</v>
          </cell>
          <cell r="B326" t="str">
            <v>Ebook - pdf</v>
          </cell>
          <cell r="C326">
            <v>9780748630011</v>
          </cell>
        </row>
        <row r="327">
          <cell r="A327" t="str">
            <v>British Avant-Garde Fiction of the 1960s</v>
          </cell>
          <cell r="B327" t="str">
            <v>Ebook - pdf</v>
          </cell>
          <cell r="C327">
            <v>9781474436212</v>
          </cell>
        </row>
        <row r="328">
          <cell r="A328" t="str">
            <v>British Children's Fiction in the Second World War</v>
          </cell>
          <cell r="B328" t="str">
            <v>Ebook - pdf</v>
          </cell>
          <cell r="C328">
            <v>9780748628728</v>
          </cell>
        </row>
        <row r="329">
          <cell r="A329" t="str">
            <v>British Film Culture in the 1970s: The Boundaries of Pleasure</v>
          </cell>
          <cell r="B329" t="str">
            <v>Ebook - pdf</v>
          </cell>
          <cell r="C329">
            <v>9780748654260</v>
          </cell>
        </row>
        <row r="330">
          <cell r="A330" t="str">
            <v>British Film Directors: A Critical Guide</v>
          </cell>
          <cell r="B330" t="str">
            <v>Ebook - pdf</v>
          </cell>
          <cell r="C330">
            <v>9780748629688</v>
          </cell>
        </row>
        <row r="331">
          <cell r="A331" t="str">
            <v>British Government and Politics: A Comparative Guide</v>
          </cell>
          <cell r="B331" t="str">
            <v>Ebook - pdf</v>
          </cell>
          <cell r="C331">
            <v>9780748644551</v>
          </cell>
        </row>
        <row r="332">
          <cell r="A332" t="str">
            <v>British Government's China Policy, 1945-1950</v>
          </cell>
          <cell r="B332" t="str">
            <v>Ebook - pdf</v>
          </cell>
          <cell r="C332">
            <v>9781474496872</v>
          </cell>
        </row>
        <row r="333">
          <cell r="A333" t="str">
            <v>British Idealism and Political Theory</v>
          </cell>
          <cell r="B333" t="str">
            <v>Ebook - pdf</v>
          </cell>
          <cell r="C333">
            <v>9780585441948</v>
          </cell>
        </row>
        <row r="334">
          <cell r="A334" t="str">
            <v>British India and Victorian Literary Culture</v>
          </cell>
          <cell r="B334" t="str">
            <v>Ebook - pdf</v>
          </cell>
          <cell r="C334">
            <v>9780748699698</v>
          </cell>
        </row>
        <row r="335">
          <cell r="A335" t="str">
            <v>British Modernism and Chinoiserie</v>
          </cell>
          <cell r="B335" t="str">
            <v>Ebook - pdf</v>
          </cell>
          <cell r="C335">
            <v>9780748690961</v>
          </cell>
        </row>
        <row r="336">
          <cell r="A336" t="str">
            <v>British Multiculturalism and the Politics of Representation</v>
          </cell>
          <cell r="B336" t="str">
            <v>Ebook - pdf</v>
          </cell>
          <cell r="C336">
            <v>9781474422673</v>
          </cell>
        </row>
        <row r="337">
          <cell r="A337" t="str">
            <v>British Music Videos 1966 - 2016: Genre, Authenticity and Art</v>
          </cell>
          <cell r="B337" t="str">
            <v>Ebook - pdf</v>
          </cell>
          <cell r="C337">
            <v>9781474435338</v>
          </cell>
        </row>
        <row r="338">
          <cell r="A338" t="str">
            <v>British Muslims: New Directions in Islamic Thought, Creativity and Activism</v>
          </cell>
          <cell r="B338" t="str">
            <v>Ebook - pdf</v>
          </cell>
          <cell r="C338">
            <v>9781474432771</v>
          </cell>
        </row>
        <row r="339">
          <cell r="A339" t="str">
            <v>British Propaganda and News Media in the Cold War</v>
          </cell>
          <cell r="B339" t="str">
            <v>Ebook - pdf</v>
          </cell>
          <cell r="C339">
            <v>9780748626755</v>
          </cell>
        </row>
        <row r="340">
          <cell r="A340" t="str">
            <v>British Propaganda in the Twentieth Century: Selling Democracy</v>
          </cell>
          <cell r="B340" t="str">
            <v>Ebook - pdf</v>
          </cell>
          <cell r="C340">
            <v>9781474473088</v>
          </cell>
        </row>
        <row r="341">
          <cell r="A341" t="str">
            <v>British Propaganda to France, 1940-1944: Machinery, Method and Message</v>
          </cell>
          <cell r="B341" t="str">
            <v>Ebook - pdf</v>
          </cell>
          <cell r="C341">
            <v>9780748630837</v>
          </cell>
        </row>
        <row r="342">
          <cell r="A342" t="str">
            <v>British Women Amateur Filmmakers: National Memories and Global Identities</v>
          </cell>
          <cell r="B342" t="str">
            <v>Ebook - pdf</v>
          </cell>
          <cell r="C342">
            <v>9781474420747</v>
          </cell>
        </row>
        <row r="343">
          <cell r="A343" t="str">
            <v>British Women Short Story Writers: The New Woman to Now</v>
          </cell>
          <cell r="B343" t="str">
            <v>Ebook - pdf</v>
          </cell>
          <cell r="C343">
            <v>9781474401395</v>
          </cell>
        </row>
        <row r="344">
          <cell r="A344" t="str">
            <v>Brokeback Mountain</v>
          </cell>
          <cell r="B344" t="str">
            <v>Ebook - pdf</v>
          </cell>
          <cell r="C344">
            <v>9780748633845</v>
          </cell>
        </row>
        <row r="345">
          <cell r="A345" t="str">
            <v>Building Early Modern Edinburgh: A Social History of Craftwork and Incorporation</v>
          </cell>
          <cell r="B345" t="str">
            <v>Ebook - pdf</v>
          </cell>
          <cell r="C345">
            <v>9781474442404</v>
          </cell>
        </row>
        <row r="346">
          <cell r="A346" t="str">
            <v>Bullets to Ballots: Collective De-Radicalisation of Armed Movements</v>
          </cell>
          <cell r="B346" t="str">
            <v>Ebook - pdf</v>
          </cell>
          <cell r="C346">
            <v>9781474467148</v>
          </cell>
        </row>
        <row r="347">
          <cell r="A347" t="str">
            <v>Burns and Other Poets</v>
          </cell>
          <cell r="B347" t="str">
            <v>Ebook - pdf</v>
          </cell>
          <cell r="C347">
            <v>9780748643585</v>
          </cell>
        </row>
        <row r="348">
          <cell r="A348" t="str">
            <v>Butler and Ethics</v>
          </cell>
          <cell r="B348" t="str">
            <v>Ebook - pdf</v>
          </cell>
          <cell r="C348">
            <v>9780748678860</v>
          </cell>
        </row>
        <row r="349">
          <cell r="A349" t="str">
            <v>Buying your Self on the Internet: Wrap Contracts and Personal Genomics</v>
          </cell>
          <cell r="B349" t="str">
            <v>Ebook - pdf</v>
          </cell>
          <cell r="C349">
            <v>9781474422604</v>
          </cell>
        </row>
        <row r="350">
          <cell r="A350" t="str">
            <v>Byron and Marginality</v>
          </cell>
          <cell r="B350" t="str">
            <v>Ebook - pdf</v>
          </cell>
          <cell r="C350">
            <v>9781474439435</v>
          </cell>
        </row>
        <row r="351">
          <cell r="A351" t="str">
            <v>Byzantine Military Tactics in Syria and Mesopotamia in the Tenth Century: A Comparative Study</v>
          </cell>
          <cell r="B351" t="str">
            <v>Ebook - pdf</v>
          </cell>
          <cell r="C351">
            <v>9781474431057</v>
          </cell>
        </row>
        <row r="352">
          <cell r="A352" t="str">
            <v>C B Macpherson: and the Problem of Liberal Democracy</v>
          </cell>
          <cell r="B352" t="str">
            <v>Ebook - pdf</v>
          </cell>
          <cell r="C352">
            <v>9781474473309</v>
          </cell>
        </row>
        <row r="353">
          <cell r="A353" t="str">
            <v>Calligraphy and Architecture in the Muslim World</v>
          </cell>
          <cell r="B353" t="str">
            <v>Ebook - pdf</v>
          </cell>
          <cell r="C353">
            <v>9781474468428</v>
          </cell>
        </row>
        <row r="354">
          <cell r="A354" t="str">
            <v>Camp: Queer Aesthetics and the Performing Subject: A Reader</v>
          </cell>
          <cell r="B354" t="str">
            <v>Ebook - pdf</v>
          </cell>
          <cell r="C354">
            <v>9781474465809</v>
          </cell>
        </row>
        <row r="355">
          <cell r="A355" t="str">
            <v>Campus Talk, Volume 1: Effective Communication beyond the Classroom</v>
          </cell>
          <cell r="B355" t="str">
            <v>Ebook - pdf</v>
          </cell>
          <cell r="C355">
            <v>9781474419376</v>
          </cell>
        </row>
        <row r="356">
          <cell r="A356" t="str">
            <v>Campus Talk, Volume 2: Effective Communication beyond the Classroom</v>
          </cell>
          <cell r="B356" t="str">
            <v>Ebook - pdf</v>
          </cell>
          <cell r="C356">
            <v>9781474419413</v>
          </cell>
        </row>
        <row r="357">
          <cell r="A357" t="str">
            <v>Canadian Literature</v>
          </cell>
          <cell r="B357" t="str">
            <v>Ebook - pdf</v>
          </cell>
          <cell r="C357">
            <v>9780748629527</v>
          </cell>
        </row>
        <row r="358">
          <cell r="A358" t="str">
            <v>Carlyle, Emerson and the Transatlantic Uses of Authority: Literature, Print, Performance</v>
          </cell>
          <cell r="B358" t="str">
            <v>Ebook - pdf</v>
          </cell>
          <cell r="C358">
            <v>9781474491969</v>
          </cell>
        </row>
        <row r="359">
          <cell r="A359" t="str">
            <v>Castle Dangerous</v>
          </cell>
          <cell r="B359" t="str">
            <v>Ebook - pdf</v>
          </cell>
          <cell r="C359">
            <v>9780748628353</v>
          </cell>
        </row>
        <row r="360">
          <cell r="A360" t="str">
            <v>Catharine Sedgwick, Redwood: A Tale</v>
          </cell>
          <cell r="B360" t="str">
            <v>Ebook - pdf</v>
          </cell>
          <cell r="C360">
            <v>9781474467681</v>
          </cell>
        </row>
        <row r="361">
          <cell r="A361" t="str">
            <v>Caught In-Between: Intermediality in Contemporary Eastern European and Russian Cinema</v>
          </cell>
          <cell r="B361" t="str">
            <v>Ebook - pdf</v>
          </cell>
          <cell r="C361">
            <v>9781474435505</v>
          </cell>
        </row>
        <row r="362">
          <cell r="A362" t="str">
            <v>Celluloid Singapore: Cinema, Performance and the National</v>
          </cell>
          <cell r="B362" t="str">
            <v>Ebook - pdf</v>
          </cell>
          <cell r="C362">
            <v>9781474402897</v>
          </cell>
        </row>
        <row r="363">
          <cell r="A363" t="str">
            <v>Celtic Christianity: Making Myths and Chasing Dreams</v>
          </cell>
          <cell r="B363" t="str">
            <v>Ebook - pdf</v>
          </cell>
          <cell r="C363">
            <v>9781474464697</v>
          </cell>
        </row>
        <row r="364">
          <cell r="A364" t="str">
            <v>Cemberlitas Hamami in Istanbul: Biographical Memoir of a Turkish Bath</v>
          </cell>
          <cell r="B364" t="str">
            <v>Ebook - pdf</v>
          </cell>
          <cell r="C364">
            <v>9781474434126</v>
          </cell>
        </row>
        <row r="365">
          <cell r="A365" t="str">
            <v>Censorship in Theatre and Cinema</v>
          </cell>
          <cell r="B365" t="str">
            <v>Ebook - pdf</v>
          </cell>
          <cell r="C365">
            <v>9781474463874</v>
          </cell>
        </row>
        <row r="366">
          <cell r="A366" t="str">
            <v>Challenging Cosmopolitanism: Coercion, Mobility and Displacement in Islamic Asia</v>
          </cell>
          <cell r="B366" t="str">
            <v>Ebook - pdf</v>
          </cell>
          <cell r="C366">
            <v>9781474435116</v>
          </cell>
        </row>
        <row r="367">
          <cell r="A367" t="str">
            <v>Challenging Multiculturalism: European Models of Diversity</v>
          </cell>
          <cell r="B367" t="str">
            <v>Ebook - pdf</v>
          </cell>
          <cell r="C367">
            <v>9780748664597</v>
          </cell>
        </row>
        <row r="368">
          <cell r="A368" t="str">
            <v>Changing Identities, Ancient Roots: The History of West Dunbartonshire from Earliest Times</v>
          </cell>
          <cell r="B368" t="str">
            <v>Ebook - pdf</v>
          </cell>
          <cell r="C368">
            <v>9780748631162</v>
          </cell>
        </row>
        <row r="369">
          <cell r="A369" t="str">
            <v>Changing Methodologies in TESOL</v>
          </cell>
          <cell r="B369" t="str">
            <v>Ebook - pdf</v>
          </cell>
          <cell r="C369">
            <v>9780748677627</v>
          </cell>
        </row>
        <row r="370">
          <cell r="A370" t="str">
            <v>Charleston and Monk's House: The Intimate House Museums of Virginia Woolf and Vanessa Bell</v>
          </cell>
          <cell r="B370" t="str">
            <v>Ebook - pdf</v>
          </cell>
          <cell r="C370">
            <v>9780748646746</v>
          </cell>
        </row>
        <row r="371">
          <cell r="A371" t="str">
            <v>Chaste Value: Economic Crisis, Female Chastity and the Production of Social Difference on Shakespeare's Stage</v>
          </cell>
          <cell r="B371" t="str">
            <v>Ebook - pdf</v>
          </cell>
          <cell r="C371">
            <v>9781474417723</v>
          </cell>
        </row>
        <row r="372">
          <cell r="A372" t="str">
            <v>Cheap Modernism: Expanding Markets, Publishers’ Series and the Avant-Garde</v>
          </cell>
          <cell r="B372" t="str">
            <v>Ebook - pdf</v>
          </cell>
          <cell r="C372">
            <v>9781474417259</v>
          </cell>
        </row>
        <row r="373">
          <cell r="A373" t="str">
            <v>Childhood and Crime</v>
          </cell>
          <cell r="B373" t="str">
            <v>Ebook - pdf</v>
          </cell>
          <cell r="C373">
            <v>9780748699469</v>
          </cell>
        </row>
        <row r="374">
          <cell r="A374" t="str">
            <v>Children's Literature</v>
          </cell>
          <cell r="B374" t="str">
            <v>Ebook - pdf</v>
          </cell>
          <cell r="C374">
            <v>9780748629848</v>
          </cell>
        </row>
        <row r="375">
          <cell r="A375" t="str">
            <v>Children's Literature</v>
          </cell>
          <cell r="B375" t="str">
            <v>Ebook - pdf</v>
          </cell>
          <cell r="C375">
            <v>9780748649075</v>
          </cell>
        </row>
        <row r="376">
          <cell r="A376" t="str">
            <v>Chile, the CIA and the Cold War: A Transatlantic Perspective</v>
          </cell>
          <cell r="B376" t="str">
            <v>Ebook - pdf</v>
          </cell>
          <cell r="C376">
            <v>9781474435628</v>
          </cell>
        </row>
        <row r="377">
          <cell r="A377" t="str">
            <v>China's Early Mosques</v>
          </cell>
          <cell r="B377" t="str">
            <v>Ebook - pdf</v>
          </cell>
          <cell r="C377">
            <v>9781474472852</v>
          </cell>
        </row>
        <row r="378">
          <cell r="A378" t="str">
            <v>Chinese Martial Arts Cinema: The Wuxia Tradition</v>
          </cell>
          <cell r="B378" t="str">
            <v>Ebook - pdf</v>
          </cell>
          <cell r="C378">
            <v>9781474403887</v>
          </cell>
        </row>
        <row r="379">
          <cell r="A379" t="str">
            <v>Chinese Philosophy A–Z</v>
          </cell>
          <cell r="B379" t="str">
            <v>Ebook - pdf</v>
          </cell>
          <cell r="C379">
            <v>9780748629701</v>
          </cell>
        </row>
        <row r="380">
          <cell r="A380" t="str">
            <v>Chinese Stardom in Participatory Cyberculture</v>
          </cell>
          <cell r="B380" t="str">
            <v>Ebook - pdf</v>
          </cell>
          <cell r="C380">
            <v>9781474430357</v>
          </cell>
        </row>
        <row r="381">
          <cell r="A381" t="str">
            <v>Chow Yun-fat and Territories of Hong Kong Stardom</v>
          </cell>
          <cell r="B381" t="str">
            <v>Ebook - pdf</v>
          </cell>
          <cell r="C381">
            <v>9781474405904</v>
          </cell>
        </row>
        <row r="382">
          <cell r="A382" t="str">
            <v>Christian Monastic Life in Early Islam</v>
          </cell>
          <cell r="B382" t="str">
            <v>Ebook - pdf</v>
          </cell>
          <cell r="C382">
            <v>9781474479707</v>
          </cell>
        </row>
        <row r="383">
          <cell r="A383" t="str">
            <v>Christian Philosophy A–Z</v>
          </cell>
          <cell r="B383" t="str">
            <v>Ebook - pdf</v>
          </cell>
          <cell r="C383">
            <v>9780748627028</v>
          </cell>
        </row>
        <row r="384">
          <cell r="A384" t="str">
            <v>Christianity in East and Southeast Asia</v>
          </cell>
          <cell r="B384" t="str">
            <v>Ebook - pdf</v>
          </cell>
          <cell r="C384">
            <v>9781474451628</v>
          </cell>
        </row>
        <row r="385">
          <cell r="A385" t="str">
            <v>Christianity in North Africa and West Asia</v>
          </cell>
          <cell r="B385" t="str">
            <v>Ebook - pdf</v>
          </cell>
          <cell r="C385">
            <v>9781474428064</v>
          </cell>
        </row>
        <row r="386">
          <cell r="A386" t="str">
            <v>Christianity in Oceania</v>
          </cell>
          <cell r="B386" t="str">
            <v>Ebook - pdf</v>
          </cell>
          <cell r="C386">
            <v>9781474480109</v>
          </cell>
        </row>
        <row r="387">
          <cell r="A387" t="str">
            <v>Christianity in South and Central Asia</v>
          </cell>
          <cell r="B387" t="str">
            <v>Ebook - pdf</v>
          </cell>
          <cell r="C387">
            <v>9781474439848</v>
          </cell>
        </row>
        <row r="388">
          <cell r="A388" t="str">
            <v>Christianity in Sub-Saharan Africa</v>
          </cell>
          <cell r="B388" t="str">
            <v>Ebook - pdf</v>
          </cell>
          <cell r="C388">
            <v>9781474412049</v>
          </cell>
        </row>
        <row r="389">
          <cell r="A389" t="str">
            <v>Christians and Chiefs in Zimbabwe: A Social History of the Hwesa People, 1870s -1990s</v>
          </cell>
          <cell r="B389" t="str">
            <v>Ebook - pdf</v>
          </cell>
          <cell r="C389">
            <v>9781474470803</v>
          </cell>
        </row>
        <row r="390">
          <cell r="A390" t="str">
            <v>Christmas, Ideology and Popular Culture</v>
          </cell>
          <cell r="B390" t="str">
            <v>Ebook - pdf</v>
          </cell>
          <cell r="C390">
            <v>9780748631872</v>
          </cell>
        </row>
        <row r="391">
          <cell r="A391" t="str">
            <v>Christology and the New Testament: Jesus and His Earliest Followers</v>
          </cell>
          <cell r="B391" t="str">
            <v>Ebook - pdf</v>
          </cell>
          <cell r="C391">
            <v>9781474473347</v>
          </cell>
        </row>
        <row r="392">
          <cell r="A392" t="str">
            <v>Christopher Marlowe, Renaissance Dramatist</v>
          </cell>
          <cell r="B392" t="str">
            <v>Ebook - pdf</v>
          </cell>
          <cell r="C392">
            <v>9780748630585</v>
          </cell>
        </row>
        <row r="393">
          <cell r="A393" t="str">
            <v>Chronicles of the Canongate</v>
          </cell>
          <cell r="B393" t="str">
            <v>Ebook - pdf</v>
          </cell>
          <cell r="C393">
            <v>9781474432665</v>
          </cell>
        </row>
        <row r="394">
          <cell r="A394" t="str">
            <v>Church and University in the Scottish Enlightenment: The Moderate Literati of Edinburgh</v>
          </cell>
          <cell r="B394" t="str">
            <v>Ebook - pdf</v>
          </cell>
          <cell r="C394">
            <v>9781474407441</v>
          </cell>
        </row>
        <row r="395">
          <cell r="A395" t="str">
            <v>Cicero's Law: Rethinking Roman Law of the Late Republic</v>
          </cell>
          <cell r="B395" t="str">
            <v>Ebook - pdf</v>
          </cell>
          <cell r="C395">
            <v>9781474408837</v>
          </cell>
        </row>
        <row r="396">
          <cell r="A396" t="str">
            <v>Cinema and Sensation: French Film and the Art of Transgression</v>
          </cell>
          <cell r="B396" t="str">
            <v>Ebook - pdf</v>
          </cell>
          <cell r="C396">
            <v>9780748629176</v>
          </cell>
        </row>
        <row r="397">
          <cell r="A397" t="str">
            <v>Cinema and Soft Power: Configuring the National and Transnational in Geo-politics</v>
          </cell>
          <cell r="B397" t="str">
            <v>Ebook - pdf</v>
          </cell>
          <cell r="C397">
            <v>9781474456296</v>
          </cell>
        </row>
        <row r="398">
          <cell r="A398" t="str">
            <v>Cinema Between Media: An Intermediality Approach</v>
          </cell>
          <cell r="B398" t="str">
            <v>Ebook - pdf</v>
          </cell>
          <cell r="C398">
            <v>9781474429030</v>
          </cell>
        </row>
        <row r="399">
          <cell r="A399" t="str">
            <v>Cinema of Crisis: Film and Contemporary Europe</v>
          </cell>
          <cell r="B399" t="str">
            <v>Ebook - pdf</v>
          </cell>
          <cell r="C399">
            <v>9781474448529</v>
          </cell>
        </row>
        <row r="400">
          <cell r="A400" t="str">
            <v>Cinema of the Dark Side: Atrocity and the Ethics of Film Spectatorship</v>
          </cell>
          <cell r="B400" t="str">
            <v>Ebook - pdf</v>
          </cell>
          <cell r="C400">
            <v>9780748694617</v>
          </cell>
        </row>
        <row r="401">
          <cell r="A401" t="str">
            <v>Cinema, If You Please: The Memory of Taste, the Taste of Memory</v>
          </cell>
          <cell r="B401" t="str">
            <v>Ebook - pdf</v>
          </cell>
          <cell r="C401">
            <v>9781474428705</v>
          </cell>
        </row>
        <row r="402">
          <cell r="A402" t="str">
            <v>Cinema-monde: Decentred Perspectives on Global Filmmaking in French</v>
          </cell>
          <cell r="B402" t="str">
            <v>Ebook - pdf</v>
          </cell>
          <cell r="C402">
            <v>9781474414999</v>
          </cell>
        </row>
        <row r="403">
          <cell r="A403" t="str">
            <v>Cinematic Intermediality: Theory and Practice</v>
          </cell>
          <cell r="B403" t="str">
            <v>Ebook - pdf</v>
          </cell>
          <cell r="C403">
            <v>9781474446365</v>
          </cell>
        </row>
        <row r="404">
          <cell r="A404" t="str">
            <v>Cinematic Journeys: Film and Movement</v>
          </cell>
          <cell r="B404" t="str">
            <v>Ebook - pdf</v>
          </cell>
          <cell r="C404">
            <v>9780748633135</v>
          </cell>
        </row>
        <row r="405">
          <cell r="A405" t="str">
            <v>Cinematic Nihilism: Encounters, Confrontations, Overcomings</v>
          </cell>
          <cell r="B405" t="str">
            <v>Ebook - pdf</v>
          </cell>
          <cell r="C405">
            <v>9781474424578</v>
          </cell>
        </row>
        <row r="406">
          <cell r="A406" t="str">
            <v>Cinematic Political Thought: Narrating Race, Nation and Gender</v>
          </cell>
          <cell r="B406" t="str">
            <v>Ebook - pdf</v>
          </cell>
          <cell r="C406">
            <v>9781474472517</v>
          </cell>
        </row>
        <row r="407">
          <cell r="A407" t="str">
            <v>Cinematic Realism: Lukás, Kracauer and Theories of the Filmic Real</v>
          </cell>
          <cell r="B407" t="str">
            <v>Ebook - pdf</v>
          </cell>
          <cell r="C407">
            <v>9781474441360</v>
          </cell>
        </row>
        <row r="408">
          <cell r="A408" t="str">
            <v>Cinematicity in Media History</v>
          </cell>
          <cell r="B408" t="str">
            <v>Ebook - pdf</v>
          </cell>
          <cell r="C408">
            <v>9780748676125</v>
          </cell>
        </row>
        <row r="409">
          <cell r="A409" t="str">
            <v>Circulating Genius: John Middleton Murry, Katherine Mansfield and D. H. Lawrence</v>
          </cell>
          <cell r="B409" t="str">
            <v>Ebook - pdf</v>
          </cell>
          <cell r="C409">
            <v>9780748643660</v>
          </cell>
        </row>
        <row r="410">
          <cell r="A410" t="str">
            <v>Cities as Built and Lived Environments: Scholarship from Muslim Contexts, 1875 to 2011</v>
          </cell>
          <cell r="B410" t="str">
            <v>Ebook - pdf</v>
          </cell>
          <cell r="C410">
            <v>9781474469814</v>
          </cell>
        </row>
        <row r="411">
          <cell r="A411" t="str">
            <v>Citizenship and Rights in Multicultural Societies</v>
          </cell>
          <cell r="B411" t="str">
            <v>Ebook - pdf</v>
          </cell>
          <cell r="C411">
            <v>9781474467919</v>
          </cell>
        </row>
        <row r="412">
          <cell r="A412" t="str">
            <v>Citizenship in Britain: A History</v>
          </cell>
          <cell r="B412" t="str">
            <v>Ebook - pdf</v>
          </cell>
          <cell r="C412">
            <v>9780748626724</v>
          </cell>
        </row>
        <row r="413">
          <cell r="A413" t="str">
            <v>Citizenship in Contemporary Europe</v>
          </cell>
          <cell r="B413" t="str">
            <v>Ebook - pdf</v>
          </cell>
          <cell r="C413">
            <v>9780748633432</v>
          </cell>
        </row>
        <row r="414">
          <cell r="A414" t="str">
            <v>Citizenship in Modern Britain</v>
          </cell>
          <cell r="B414" t="str">
            <v>Ebook - pdf</v>
          </cell>
          <cell r="C414">
            <v>9781474468152</v>
          </cell>
        </row>
        <row r="415">
          <cell r="A415" t="str">
            <v>Cixous’s Semi-Fictions: Thinking At the Borders of Fiction</v>
          </cell>
          <cell r="B415" t="str">
            <v>Ebook - pdf</v>
          </cell>
          <cell r="C415">
            <v>9780748696642</v>
          </cell>
        </row>
        <row r="416">
          <cell r="A416" t="str">
            <v>Claiming Scotland: National Identity and Liberal Culture</v>
          </cell>
          <cell r="B416" t="str">
            <v>Ebook - pdf</v>
          </cell>
          <cell r="C416">
            <v>9781474469050</v>
          </cell>
        </row>
        <row r="417">
          <cell r="A417" t="str">
            <v>Clan, King and Covenant: History of the Highland Clans from the Civil War to the Glencoe Massacre</v>
          </cell>
          <cell r="B417" t="str">
            <v>Ebook - pdf</v>
          </cell>
          <cell r="C417">
            <v>9781474472050</v>
          </cell>
        </row>
        <row r="418">
          <cell r="A418" t="str">
            <v>Classes of Ladies: Writing Feminist History through Biography in Fin-de-siecle Egypt</v>
          </cell>
          <cell r="B418" t="str">
            <v>Ebook - pdf</v>
          </cell>
          <cell r="C418">
            <v>9780748694877</v>
          </cell>
        </row>
        <row r="419">
          <cell r="A419" t="str">
            <v>Classical Caledonia: Roman History and Myth in Eighteenth-Century Scotland</v>
          </cell>
          <cell r="B419" t="str">
            <v>Ebook - pdf</v>
          </cell>
          <cell r="C419">
            <v>9781474445665</v>
          </cell>
        </row>
        <row r="420">
          <cell r="A420" t="str">
            <v>Classical Sociological Theory: A Reader</v>
          </cell>
          <cell r="B420" t="str">
            <v>Ebook - pdf</v>
          </cell>
          <cell r="C420">
            <v>9781474470872</v>
          </cell>
        </row>
        <row r="421">
          <cell r="A421" t="str">
            <v>Classroom Discourse and Teacher Development</v>
          </cell>
          <cell r="B421" t="str">
            <v>Ebook - pdf</v>
          </cell>
          <cell r="C421">
            <v>9780748645190</v>
          </cell>
        </row>
        <row r="422">
          <cell r="A422" t="str">
            <v>Claude Chabrol's Aesthetics of Opacity</v>
          </cell>
          <cell r="B422" t="str">
            <v>Ebook - pdf</v>
          </cell>
          <cell r="C422">
            <v>9780748692613</v>
          </cell>
        </row>
        <row r="423">
          <cell r="A423" t="str">
            <v>Clinical Linguistics</v>
          </cell>
          <cell r="B423" t="str">
            <v>Ebook - pdf</v>
          </cell>
          <cell r="C423">
            <v>9780748629251</v>
          </cell>
        </row>
        <row r="424">
          <cell r="A424" t="str">
            <v>Clone City: Crisis and Renewal in Contemporary Scottish Architecture</v>
          </cell>
          <cell r="B424" t="str">
            <v>Ebook - pdf</v>
          </cell>
          <cell r="C424">
            <v>9781474468510</v>
          </cell>
        </row>
        <row r="425">
          <cell r="A425" t="str">
            <v>Close-Up: Great Cinematic performances Volume 1: America</v>
          </cell>
          <cell r="B425" t="str">
            <v>Ebook - pdf</v>
          </cell>
          <cell r="C425">
            <v>9781474417013</v>
          </cell>
        </row>
        <row r="426">
          <cell r="A426" t="str">
            <v>Close-Up: Great Cinematic Performances Volume 2: International</v>
          </cell>
          <cell r="B426" t="str">
            <v>Ebook - pdf</v>
          </cell>
          <cell r="C426">
            <v>9781474417044</v>
          </cell>
        </row>
        <row r="427">
          <cell r="A427" t="str">
            <v>Coastal Cultures of the Long Nineteenth Century</v>
          </cell>
          <cell r="B427" t="str">
            <v>Ebook - pdf</v>
          </cell>
          <cell r="C427">
            <v>9781474435758</v>
          </cell>
        </row>
        <row r="428">
          <cell r="A428" t="str">
            <v>Cognitive Bias in Intelligence Analysis: Testing the Analysis of Competing Hypotheses Method</v>
          </cell>
          <cell r="B428" t="str">
            <v>Ebook - pdf</v>
          </cell>
          <cell r="C428">
            <v>9781474466363</v>
          </cell>
        </row>
        <row r="429">
          <cell r="A429" t="str">
            <v>Cognitive Linguistic Approaches to Text and Discourse: From Poetics to Politics</v>
          </cell>
          <cell r="B429" t="str">
            <v>Ebook - pdf</v>
          </cell>
          <cell r="C429">
            <v>9781474450003</v>
          </cell>
        </row>
        <row r="430">
          <cell r="A430" t="str">
            <v>Cognitive Linguistics: A Complete Guide</v>
          </cell>
          <cell r="B430" t="str">
            <v>Ebook - pdf</v>
          </cell>
          <cell r="C430">
            <v>9781474405232</v>
          </cell>
        </row>
        <row r="431">
          <cell r="A431" t="str">
            <v>Cold War Film Genres</v>
          </cell>
          <cell r="B431" t="str">
            <v>Ebook - pdf</v>
          </cell>
          <cell r="C431">
            <v>9781474412957</v>
          </cell>
        </row>
        <row r="432">
          <cell r="A432" t="str">
            <v>Cold War Legacies: Legacy, Theory, Aesthetics</v>
          </cell>
          <cell r="B432" t="str">
            <v>Ebook - pdf</v>
          </cell>
          <cell r="C432">
            <v>9781474409490</v>
          </cell>
        </row>
        <row r="433">
          <cell r="A433" t="str">
            <v>Cold War US Foreign Policy: Key Perspectives</v>
          </cell>
          <cell r="B433" t="str">
            <v>Ebook - pdf</v>
          </cell>
          <cell r="C433">
            <v>9781474469425</v>
          </cell>
        </row>
        <row r="434">
          <cell r="A434" t="str">
            <v>Coleridge: Lectures on Shakespeare (1811-1819)</v>
          </cell>
          <cell r="B434" t="str">
            <v>Ebook - pdf</v>
          </cell>
          <cell r="C434">
            <v>9781474413794</v>
          </cell>
        </row>
        <row r="435">
          <cell r="A435" t="str">
            <v>Collected Essays in Speculative Philosophy</v>
          </cell>
          <cell r="B435" t="str">
            <v>Ebook - pdf</v>
          </cell>
          <cell r="C435">
            <v>9781474485890</v>
          </cell>
        </row>
        <row r="436">
          <cell r="A436" t="str">
            <v>Collected Poems and Songs of George Campbell Hay</v>
          </cell>
          <cell r="B436" t="str">
            <v>Ebook - pdf</v>
          </cell>
          <cell r="C436">
            <v>9781474469012</v>
          </cell>
        </row>
        <row r="437">
          <cell r="A437" t="str">
            <v>Collective Action and Political Transformations: The Entangled Experiences in Brazil, South Africa and Europe</v>
          </cell>
          <cell r="B437" t="str">
            <v>Ebook - pdf</v>
          </cell>
          <cell r="C437">
            <v>9781474442985</v>
          </cell>
        </row>
        <row r="438">
          <cell r="A438" t="str">
            <v>Columba's Island: Iona from Past to Present</v>
          </cell>
          <cell r="B438" t="str">
            <v>Ebook - pdf</v>
          </cell>
          <cell r="C438">
            <v>9781474470391</v>
          </cell>
        </row>
        <row r="439">
          <cell r="A439" t="str">
            <v>Comedy and Cultural Critique in American Film</v>
          </cell>
          <cell r="B439" t="str">
            <v>Ebook - pdf</v>
          </cell>
          <cell r="C439">
            <v>9780748677801</v>
          </cell>
        </row>
        <row r="440">
          <cell r="A440" t="str">
            <v>Coming of Age in Contemporary American Fiction</v>
          </cell>
          <cell r="B440" t="str">
            <v>Ebook - pdf</v>
          </cell>
          <cell r="C440">
            <v>9780748629541</v>
          </cell>
        </row>
        <row r="441">
          <cell r="A441" t="str">
            <v>Coming-of-Age Cinema in New Zealand: Genre, Gender and Adaptation</v>
          </cell>
          <cell r="B441" t="str">
            <v>Ebook - pdf</v>
          </cell>
          <cell r="C441">
            <v>9781474429467</v>
          </cell>
        </row>
        <row r="442">
          <cell r="A442" t="str">
            <v xml:space="preserve">Commemorating Peterloo: Violence, Resilience and Claim-making during the Romantic Era	</v>
          </cell>
          <cell r="B442" t="str">
            <v>Ebook - pdf</v>
          </cell>
          <cell r="C442">
            <v>9781474428583</v>
          </cell>
        </row>
        <row r="443">
          <cell r="A443" t="str">
            <v>Commemorative Modernisms: Women Writers, Death and the First World War</v>
          </cell>
          <cell r="B443" t="str">
            <v>Ebook - pdf</v>
          </cell>
          <cell r="C443">
            <v>9781474459921</v>
          </cell>
        </row>
        <row r="444">
          <cell r="A444" t="str">
            <v>Commercial Arbitration: The Scottish and International Perspectives</v>
          </cell>
          <cell r="B444" t="str">
            <v>Ebook - pdf</v>
          </cell>
          <cell r="C444">
            <v>9780748699377</v>
          </cell>
        </row>
        <row r="445">
          <cell r="A445" t="str">
            <v>Commercial Law Essentials</v>
          </cell>
          <cell r="B445" t="str">
            <v>Ebook - pdf</v>
          </cell>
          <cell r="C445">
            <v>9780748698103</v>
          </cell>
        </row>
        <row r="446">
          <cell r="A446" t="str">
            <v>Common Good Law</v>
          </cell>
          <cell r="B446" t="str">
            <v>Ebook - pdf</v>
          </cell>
          <cell r="C446">
            <v>9781474477208</v>
          </cell>
        </row>
        <row r="447">
          <cell r="A447" t="str">
            <v>Common Law and Feudal Society in Medieval Scotland</v>
          </cell>
          <cell r="B447" t="str">
            <v>Ebook - pdf</v>
          </cell>
          <cell r="C447">
            <v>9781474407472</v>
          </cell>
        </row>
        <row r="448">
          <cell r="A448" t="str">
            <v>Company Law Essentials</v>
          </cell>
          <cell r="B448" t="str">
            <v>Ebook - pdf</v>
          </cell>
          <cell r="C448">
            <v>9780748698110</v>
          </cell>
        </row>
        <row r="449">
          <cell r="A449" t="str">
            <v xml:space="preserve">Comparative Criticism: Lives of the Disciplines: comparative biography. Volume 25 </v>
          </cell>
          <cell r="B449" t="str">
            <v>Ebook - pdf</v>
          </cell>
          <cell r="C449">
            <v>9781474472500</v>
          </cell>
        </row>
        <row r="450">
          <cell r="A450" t="str">
            <v>Computer Corpus Lexicography</v>
          </cell>
          <cell r="B450" t="str">
            <v>Ebook - pdf</v>
          </cell>
          <cell r="C450">
            <v>9781474471459</v>
          </cell>
        </row>
        <row r="451">
          <cell r="A451" t="str">
            <v>Computing and Language Variation: International Journal of Humanities and Arts Computing Volume 2</v>
          </cell>
          <cell r="B451" t="str">
            <v>Ebook - pdf</v>
          </cell>
          <cell r="C451">
            <v>9780748641642</v>
          </cell>
        </row>
        <row r="452">
          <cell r="A452" t="str">
            <v>Conceiving a Nation: Scotland to AD 900</v>
          </cell>
          <cell r="B452" t="str">
            <v>Ebook - pdf</v>
          </cell>
          <cell r="C452">
            <v>9780748679003</v>
          </cell>
        </row>
        <row r="453">
          <cell r="A453" t="str">
            <v>Conceiving Desire in Lyly and Shakespeare: Metaphor, Cognition and Eros</v>
          </cell>
          <cell r="B453" t="str">
            <v>Ebook - pdf</v>
          </cell>
          <cell r="C453">
            <v>9781474428545</v>
          </cell>
        </row>
        <row r="454">
          <cell r="A454" t="str">
            <v>Conditions of Thought: Deleuze and Transcendental Ideas</v>
          </cell>
          <cell r="B454" t="str">
            <v>Ebook - pdf</v>
          </cell>
          <cell r="C454">
            <v>9780748676262</v>
          </cell>
        </row>
        <row r="455">
          <cell r="A455" t="str">
            <v>Conflict on Mount Lebanon: The Druze, the Maronites and Collective Memory</v>
          </cell>
          <cell r="B455" t="str">
            <v>Ebook - pdf</v>
          </cell>
          <cell r="C455">
            <v>9781474474191</v>
          </cell>
        </row>
        <row r="456">
          <cell r="A456" t="str">
            <v>Conquered Populations in Early Islam: Non-Arabs, Slaves and the Sons of Slave Mothers</v>
          </cell>
          <cell r="B456" t="str">
            <v>Ebook - pdf</v>
          </cell>
          <cell r="C456">
            <v>9781474423229</v>
          </cell>
        </row>
        <row r="457">
          <cell r="A457" t="str">
            <v>Conrad and Language</v>
          </cell>
          <cell r="B457" t="str">
            <v>Ebook - pdf</v>
          </cell>
          <cell r="C457">
            <v>9781474403771</v>
          </cell>
        </row>
        <row r="458">
          <cell r="A458" t="str">
            <v>Conspiracy in Modern Egyptian Literature</v>
          </cell>
          <cell r="B458" t="str">
            <v>Ebook - pdf</v>
          </cell>
          <cell r="C458">
            <v>9781474417457</v>
          </cell>
        </row>
        <row r="459">
          <cell r="A459" t="str">
            <v>Constituent Power: Law, Popular Rule and Politics</v>
          </cell>
          <cell r="B459" t="str">
            <v>Ebook - pdf</v>
          </cell>
          <cell r="C459">
            <v>9781474454995</v>
          </cell>
        </row>
        <row r="460">
          <cell r="A460" t="str">
            <v>Constituting Scotland: The Scottish National Movement and the Westminster Model</v>
          </cell>
          <cell r="B460" t="str">
            <v>Ebook - pdf</v>
          </cell>
          <cell r="C460">
            <v>9780748697601</v>
          </cell>
        </row>
        <row r="461">
          <cell r="A461" t="str">
            <v>Constitutional Violence: Legitimacy, Democracy and Human Rights</v>
          </cell>
          <cell r="B461" t="str">
            <v>Ebook - pdf</v>
          </cell>
          <cell r="C461">
            <v>9780748669554</v>
          </cell>
        </row>
        <row r="462">
          <cell r="A462" t="str">
            <v>Constructing Presidential Legacy: How we Remember the American President</v>
          </cell>
          <cell r="B462" t="str">
            <v>Ebook - pdf</v>
          </cell>
          <cell r="C462">
            <v>9781474437332</v>
          </cell>
        </row>
        <row r="463">
          <cell r="A463" t="str">
            <v>Construction Grammar and its Application to English</v>
          </cell>
          <cell r="B463" t="str">
            <v>Ebook - pdf</v>
          </cell>
          <cell r="C463">
            <v>9781474433624</v>
          </cell>
        </row>
        <row r="464">
          <cell r="A464" t="str">
            <v>Consuming Images: Film Art and the American Television Commercial</v>
          </cell>
          <cell r="B464" t="str">
            <v>Ebook - pdf</v>
          </cell>
          <cell r="C464">
            <v>9781474460705</v>
          </cell>
        </row>
        <row r="465">
          <cell r="A465" t="str">
            <v>Contact: The Interaction of Closely Related Linguistic Varieties and the History of English</v>
          </cell>
          <cell r="B465" t="str">
            <v>Ebook - pdf</v>
          </cell>
          <cell r="C465">
            <v>9781474409094</v>
          </cell>
        </row>
        <row r="466">
          <cell r="A466" t="str">
            <v>Contaminations: Beyond Dialectics in Modern Literature, Science and Film</v>
          </cell>
          <cell r="B466" t="str">
            <v>Ebook - pdf</v>
          </cell>
          <cell r="C466">
            <v>9781474470490</v>
          </cell>
        </row>
        <row r="467">
          <cell r="A467" t="str">
            <v>Contemporary Action Cinema</v>
          </cell>
          <cell r="B467" t="str">
            <v>Ebook - pdf</v>
          </cell>
          <cell r="C467">
            <v>9780748646128</v>
          </cell>
        </row>
        <row r="468">
          <cell r="A468" t="str">
            <v>Contemporary American Drama</v>
          </cell>
          <cell r="B468" t="str">
            <v>Ebook - pdf</v>
          </cell>
          <cell r="C468">
            <v>9780748630660</v>
          </cell>
        </row>
        <row r="469">
          <cell r="A469" t="str">
            <v>Contemporary American Fiction</v>
          </cell>
          <cell r="B469" t="str">
            <v>Ebook - pdf</v>
          </cell>
          <cell r="C469">
            <v>9780748629817</v>
          </cell>
        </row>
        <row r="470">
          <cell r="A470" t="str">
            <v>Contemporary American Trauma Narratives</v>
          </cell>
          <cell r="B470" t="str">
            <v>Ebook - pdf</v>
          </cell>
          <cell r="C470">
            <v>9780748694082</v>
          </cell>
        </row>
        <row r="471">
          <cell r="A471" t="str">
            <v>Contemporary Arab Broadcast Media</v>
          </cell>
          <cell r="B471" t="str">
            <v>Ebook - pdf</v>
          </cell>
          <cell r="C471">
            <v>9780748646999</v>
          </cell>
        </row>
        <row r="472">
          <cell r="A472" t="str">
            <v>Contemporary Balkan Cinema: Transnational Exchanges and Global Circuits</v>
          </cell>
          <cell r="B472" t="str">
            <v>Ebook - pdf</v>
          </cell>
          <cell r="C472">
            <v>9781474458450</v>
          </cell>
        </row>
        <row r="473">
          <cell r="A473" t="str">
            <v>Contemporary British Drama</v>
          </cell>
          <cell r="B473" t="str">
            <v>Ebook - pdf</v>
          </cell>
          <cell r="C473">
            <v>9780748643240</v>
          </cell>
        </row>
        <row r="474">
          <cell r="A474" t="str">
            <v>Contemporary British Fiction</v>
          </cell>
          <cell r="B474" t="str">
            <v>Ebook - pdf</v>
          </cell>
          <cell r="C474">
            <v>9780748630370</v>
          </cell>
        </row>
        <row r="475">
          <cell r="A475" t="str">
            <v>Contemporary British Horror Cinema: Industry, Genre and Society</v>
          </cell>
          <cell r="B475" t="str">
            <v>Ebook - pdf</v>
          </cell>
          <cell r="C475">
            <v>9780748689743</v>
          </cell>
        </row>
        <row r="476">
          <cell r="A476" t="str">
            <v>Contemporary Cinema</v>
          </cell>
          <cell r="B476" t="str">
            <v>Ebook - pdf</v>
          </cell>
          <cell r="C476">
            <v>9781474471466</v>
          </cell>
        </row>
        <row r="477">
          <cell r="A477" t="str">
            <v>Contemporary Cinema and the Philosophy of Iris Murdoch</v>
          </cell>
          <cell r="B477" t="str">
            <v>Ebook - pdf</v>
          </cell>
          <cell r="C477">
            <v>9781474416405</v>
          </cell>
        </row>
        <row r="478">
          <cell r="A478" t="str">
            <v>Contemporary Critical Theorists: From Lacan to Said</v>
          </cell>
          <cell r="B478" t="str">
            <v>Ebook - pdf</v>
          </cell>
          <cell r="C478">
            <v>9781474472623</v>
          </cell>
        </row>
        <row r="479">
          <cell r="A479" t="str">
            <v>Contemporary Encounters with Ancient Metaphysics</v>
          </cell>
          <cell r="B479" t="str">
            <v>Ebook - pdf</v>
          </cell>
          <cell r="C479">
            <v>9781474431194</v>
          </cell>
        </row>
        <row r="480">
          <cell r="A480" t="str">
            <v>Contemporary Feminism and Women’s Short Stories</v>
          </cell>
          <cell r="B480" t="str">
            <v>Ebook - pdf</v>
          </cell>
          <cell r="C480">
            <v>9781474427753</v>
          </cell>
        </row>
        <row r="481">
          <cell r="A481" t="str">
            <v>Contemporary Feminist Theories</v>
          </cell>
          <cell r="B481" t="str">
            <v>Ebook - pdf</v>
          </cell>
          <cell r="C481">
            <v>9781474469500</v>
          </cell>
        </row>
        <row r="482">
          <cell r="A482" t="str">
            <v>Contemporary Hollywood Animation: Style, Storytelling, Culture and Ideology Since the 1990s</v>
          </cell>
          <cell r="B482" t="str">
            <v>Ebook - pdf</v>
          </cell>
          <cell r="C482">
            <v>9781474410571</v>
          </cell>
        </row>
        <row r="483">
          <cell r="A483" t="str">
            <v>Contemporary Ijtihad: Limits and Controversies</v>
          </cell>
          <cell r="B483" t="str">
            <v>Ebook - pdf</v>
          </cell>
          <cell r="C483">
            <v>9780748646029</v>
          </cell>
        </row>
        <row r="484">
          <cell r="A484" t="str">
            <v>Contemporary Islamic Law in Indonesia: Sharia and Legal Pluralism</v>
          </cell>
          <cell r="B484" t="str">
            <v>Ebook - pdf</v>
          </cell>
          <cell r="C484">
            <v>9780748693481</v>
          </cell>
        </row>
        <row r="485">
          <cell r="A485" t="str">
            <v>Contemporary Issues in Islam</v>
          </cell>
          <cell r="B485" t="str">
            <v>Ebook - pdf</v>
          </cell>
          <cell r="C485">
            <v>9780748632244</v>
          </cell>
        </row>
        <row r="486">
          <cell r="A486" t="str">
            <v>Contemporary Japanese Cinema Since Hana-Bi</v>
          </cell>
          <cell r="B486" t="str">
            <v>Ebook - pdf</v>
          </cell>
          <cell r="C486">
            <v>9780748683741</v>
          </cell>
        </row>
        <row r="487">
          <cell r="A487" t="str">
            <v>Contemporary Morphological Theories: A User's Guide</v>
          </cell>
          <cell r="B487" t="str">
            <v>Ebook - pdf</v>
          </cell>
          <cell r="C487">
            <v>9780748692699</v>
          </cell>
        </row>
        <row r="488">
          <cell r="A488" t="str">
            <v>Contemporary Musical Film</v>
          </cell>
          <cell r="B488" t="str">
            <v>Ebook - pdf</v>
          </cell>
          <cell r="C488">
            <v>9781474413138</v>
          </cell>
        </row>
        <row r="489">
          <cell r="A489" t="str">
            <v>Contemporary Native American Literature</v>
          </cell>
          <cell r="B489" t="str">
            <v>Ebook - pdf</v>
          </cell>
          <cell r="C489">
            <v>9781474473262</v>
          </cell>
        </row>
        <row r="490">
          <cell r="A490" t="str">
            <v>Contemporary Perspectives on Revelation and Qu’ranic Hermeneutics: An Analysis of Four Discourses</v>
          </cell>
          <cell r="B490" t="str">
            <v>Ebook - pdf</v>
          </cell>
          <cell r="C490">
            <v>9781474456180</v>
          </cell>
        </row>
        <row r="491">
          <cell r="A491" t="str">
            <v>Contemporary Poetry</v>
          </cell>
          <cell r="B491" t="str">
            <v>Ebook - pdf</v>
          </cell>
          <cell r="C491">
            <v>9780748646036</v>
          </cell>
        </row>
        <row r="492">
          <cell r="A492" t="str">
            <v>Contemporary Political Cinema</v>
          </cell>
          <cell r="B492" t="str">
            <v>Ebook - pdf</v>
          </cell>
          <cell r="C492">
            <v>9781474423427</v>
          </cell>
        </row>
        <row r="493">
          <cell r="A493" t="str">
            <v xml:space="preserve">Contemporary Political Movements and the Thought of Jacques Rancière: Equality in Action </v>
          </cell>
          <cell r="B493" t="str">
            <v>Ebook - pdf</v>
          </cell>
          <cell r="C493">
            <v>9780748641659</v>
          </cell>
        </row>
        <row r="494">
          <cell r="A494" t="str">
            <v>Contemporary Russian Cinema: Symbols of a New Era</v>
          </cell>
          <cell r="B494" t="str">
            <v>Ebook - pdf</v>
          </cell>
          <cell r="C494">
            <v>9781474407656</v>
          </cell>
        </row>
        <row r="495">
          <cell r="A495" t="str">
            <v>Contemporary Scottish Fictions - Film, Television and the Novel</v>
          </cell>
          <cell r="B495" t="str">
            <v>Ebook - pdf</v>
          </cell>
          <cell r="C495">
            <v>9781474471602</v>
          </cell>
        </row>
        <row r="496">
          <cell r="A496" t="str">
            <v>Contemporary Scottish Poetry and the Natural World: Burnside, Jamie, Robertson and White</v>
          </cell>
          <cell r="B496" t="str">
            <v>Ebook - pdf</v>
          </cell>
          <cell r="C496">
            <v>9781474450621</v>
          </cell>
        </row>
        <row r="497">
          <cell r="A497" t="str">
            <v>Contemporary Scottish Women Writers</v>
          </cell>
          <cell r="B497" t="str">
            <v>Ebook - pdf</v>
          </cell>
          <cell r="C497">
            <v>9781474465717</v>
          </cell>
        </row>
        <row r="498">
          <cell r="A498" t="str">
            <v>Contemporary Spanish Gothic</v>
          </cell>
          <cell r="B498" t="str">
            <v>Ebook - pdf</v>
          </cell>
          <cell r="C498">
            <v>9781474403009</v>
          </cell>
        </row>
        <row r="499">
          <cell r="A499" t="str">
            <v>Contemporary Stylistics: Language, Cognition, Interpretation</v>
          </cell>
          <cell r="B499" t="str">
            <v>Ebook - pdf</v>
          </cell>
          <cell r="C499">
            <v>9780748682782</v>
          </cell>
        </row>
        <row r="500">
          <cell r="A500" t="str">
            <v>Contemporary Turkey in Conflict: Ethnicity, Islam and Politics</v>
          </cell>
          <cell r="B500" t="str">
            <v>Ebook - pdf</v>
          </cell>
          <cell r="C500">
            <v>9781474418003</v>
          </cell>
        </row>
        <row r="501">
          <cell r="A501" t="str">
            <v>Contemporary World Cinema: Europe, the Middle East, East Asia and South Asia</v>
          </cell>
          <cell r="B501" t="str">
            <v>Ebook - pdf</v>
          </cell>
          <cell r="C501">
            <v>9780748680573</v>
          </cell>
        </row>
        <row r="502">
          <cell r="A502" t="str">
            <v>Contested Liberalisms: Martineau, Dickens and the Victorian Press</v>
          </cell>
          <cell r="B502" t="str">
            <v>Ebook - pdf</v>
          </cell>
          <cell r="C502">
            <v>9781474453158</v>
          </cell>
        </row>
        <row r="503">
          <cell r="A503" t="str">
            <v>Continental Realism and Its Discontents</v>
          </cell>
          <cell r="B503" t="str">
            <v>Ebook - pdf</v>
          </cell>
          <cell r="C503">
            <v>9781474421157</v>
          </cell>
        </row>
        <row r="504">
          <cell r="A504" t="str">
            <v>Contract Law Essential Cases</v>
          </cell>
          <cell r="B504" t="str">
            <v>Ebook - pdf</v>
          </cell>
          <cell r="C504">
            <v>9781474470285</v>
          </cell>
        </row>
        <row r="505">
          <cell r="A505" t="str">
            <v>Contributions to Annuals and Gift-Books</v>
          </cell>
          <cell r="B505" t="str">
            <v>Ebook - pdf</v>
          </cell>
          <cell r="C505">
            <v>9781474432672</v>
          </cell>
        </row>
        <row r="506">
          <cell r="A506" t="str">
            <v>Contributions to Blackwood's Edinburgh Magazine: Volume 1, 1817-1828</v>
          </cell>
          <cell r="B506" t="str">
            <v>Ebook - pdf</v>
          </cell>
          <cell r="C506">
            <v>9780748630509</v>
          </cell>
        </row>
        <row r="507">
          <cell r="A507" t="str">
            <v>Contributions to Blackwood's Edinburgh Magazine: Volume 2, 1829-1835</v>
          </cell>
          <cell r="B507" t="str">
            <v>Ebook - pdf</v>
          </cell>
          <cell r="C507">
            <v>9781474479103</v>
          </cell>
        </row>
        <row r="508">
          <cell r="A508" t="str">
            <v>Contributions to Musical Collections and Miscellaneous Songs</v>
          </cell>
          <cell r="B508" t="str">
            <v>Ebook - pdf</v>
          </cell>
          <cell r="C508">
            <v>9781474432986</v>
          </cell>
        </row>
        <row r="509">
          <cell r="A509" t="str">
            <v>Control Culture: Foucault and Deleuze after Discipline</v>
          </cell>
          <cell r="B509" t="str">
            <v>Ebook - pdf</v>
          </cell>
          <cell r="C509">
            <v>9781474436779</v>
          </cell>
        </row>
        <row r="510">
          <cell r="A510" t="str">
            <v>Corpus Linguistics</v>
          </cell>
          <cell r="B510" t="str">
            <v>Ebook - pdf</v>
          </cell>
          <cell r="C510">
            <v>9781474470865</v>
          </cell>
        </row>
        <row r="511">
          <cell r="A511" t="str">
            <v>Corpus Linguistics and the Description of English</v>
          </cell>
          <cell r="B511" t="str">
            <v>Ebook - pdf</v>
          </cell>
          <cell r="C511">
            <v>9781474421713</v>
          </cell>
        </row>
        <row r="512">
          <cell r="A512" t="str">
            <v>Corpus Stylistics: Theory and Practice</v>
          </cell>
          <cell r="B512" t="str">
            <v>Ebook - pdf</v>
          </cell>
          <cell r="C512">
            <v>9781474413220</v>
          </cell>
        </row>
        <row r="513">
          <cell r="A513" t="str">
            <v>Cosmetics in Shakespearean and Renaissance Drama</v>
          </cell>
          <cell r="B513" t="str">
            <v>Ebook - pdf</v>
          </cell>
          <cell r="C513">
            <v>9781474452731</v>
          </cell>
        </row>
        <row r="514">
          <cell r="A514" t="str">
            <v>Cosmo-nationalism: American, French and German Philosophy</v>
          </cell>
          <cell r="B514" t="str">
            <v>Ebook - pdf</v>
          </cell>
          <cell r="C514">
            <v>9781474431170</v>
          </cell>
        </row>
        <row r="515">
          <cell r="A515" t="str">
            <v>Cosmopolitanisms in Muslim Contexts: Perspectives from the Past</v>
          </cell>
          <cell r="B515" t="str">
            <v>Ebook - pdf</v>
          </cell>
          <cell r="C515">
            <v>9780748644575</v>
          </cell>
        </row>
        <row r="516">
          <cell r="A516" t="str">
            <v>Counsel for Kings: Wisdom and Politics in Tenth-Century Iran: Volume I: The Nasihat al-muluk of Pseudo-Mawardi: Contexts and Themes</v>
          </cell>
          <cell r="B516" t="str">
            <v>Ebook - pdf</v>
          </cell>
          <cell r="C516">
            <v>9780748696918</v>
          </cell>
        </row>
        <row r="517">
          <cell r="A517" t="str">
            <v>Counsel for Kings: Wisdom and Politics in Tenth-Century Iran: Volume II: The Nasihat al-muluk of Pseudo-Mawardi: Texts, Sources and Authorities</v>
          </cell>
          <cell r="B517" t="str">
            <v>Ebook - pdf</v>
          </cell>
          <cell r="C517">
            <v>9780748696994</v>
          </cell>
        </row>
        <row r="518">
          <cell r="A518" t="str">
            <v>Count Robert of Paris</v>
          </cell>
          <cell r="B518" t="str">
            <v>Ebook - pdf</v>
          </cell>
          <cell r="C518">
            <v>9780748628360</v>
          </cell>
        </row>
        <row r="519">
          <cell r="A519" t="str">
            <v>Court, Kirk, and Community: Scotland 1470-1625</v>
          </cell>
          <cell r="B519" t="str">
            <v>Ebook - pdf</v>
          </cell>
          <cell r="C519">
            <v>9780748629015</v>
          </cell>
        </row>
        <row r="520">
          <cell r="A520" t="str">
            <v>Courts and Elites in the Hellenistic Empires: The Near East After the Achaemenids, c. 330 to 30 BCE</v>
          </cell>
          <cell r="B520" t="str">
            <v>Ebook - pdf</v>
          </cell>
          <cell r="C520">
            <v>9780748691272</v>
          </cell>
        </row>
        <row r="521">
          <cell r="A521" t="str">
            <v>Cowboy Classics: The Roots of the American Western in the Epic Tradition</v>
          </cell>
          <cell r="B521" t="str">
            <v>Ebook - pdf</v>
          </cell>
          <cell r="C521">
            <v>9781474402477</v>
          </cell>
        </row>
        <row r="522">
          <cell r="A522" t="str">
            <v>Cracking Gilles Deleuze’s Crystal: Narrative Space-time in the Films of Jean Renoir</v>
          </cell>
          <cell r="B522" t="str">
            <v>Ebook - pdf</v>
          </cell>
          <cell r="C522">
            <v>9781474426305</v>
          </cell>
        </row>
        <row r="523">
          <cell r="A523" t="str">
            <v>Creating Worldviews: Metaphor, Ideology and Language</v>
          </cell>
          <cell r="B523" t="str">
            <v>Ebook - pdf</v>
          </cell>
          <cell r="C523">
            <v>9780748647002</v>
          </cell>
        </row>
        <row r="524">
          <cell r="A524" t="str">
            <v>Creative Criticism: An Anthology and Guide</v>
          </cell>
          <cell r="B524" t="str">
            <v>Ebook - pdf</v>
          </cell>
          <cell r="C524">
            <v>9780748674343</v>
          </cell>
        </row>
        <row r="525">
          <cell r="A525" t="str">
            <v>Creative Involution: Bergson, Beckett, Deleuze</v>
          </cell>
          <cell r="B525" t="str">
            <v>Ebook - pdf</v>
          </cell>
          <cell r="C525">
            <v>9780748697335</v>
          </cell>
        </row>
        <row r="526">
          <cell r="A526" t="str">
            <v>Creative Practice Research in the Age of Neoliberal Hopelessness</v>
          </cell>
          <cell r="B526" t="str">
            <v>Ebook - pdf</v>
          </cell>
          <cell r="C526">
            <v>9781474463584</v>
          </cell>
        </row>
        <row r="527">
          <cell r="A527" t="str">
            <v>Crimes of Loyalty: A History of the UDA</v>
          </cell>
          <cell r="B527" t="str">
            <v>Ebook - pdf</v>
          </cell>
          <cell r="C527">
            <v>9780748626878</v>
          </cell>
        </row>
        <row r="528">
          <cell r="A528" t="str">
            <v>Criminality and the Common Law Imagination in the 18th and 19th Centuries</v>
          </cell>
          <cell r="B528" t="str">
            <v>Ebook - pdf</v>
          </cell>
          <cell r="C528">
            <v>9781474450126</v>
          </cell>
        </row>
        <row r="529">
          <cell r="A529" t="str">
            <v>Crisis and the US Avant-Garde: Poetry and Real Politics</v>
          </cell>
          <cell r="B529" t="str">
            <v>Ebook - pdf</v>
          </cell>
          <cell r="C529">
            <v>9780748682867</v>
          </cell>
        </row>
        <row r="530">
          <cell r="A530" t="str">
            <v>Critical Affect: The Politics of Method</v>
          </cell>
          <cell r="B530" t="str">
            <v>Ebook - pdf</v>
          </cell>
          <cell r="C530">
            <v>9781474451352</v>
          </cell>
        </row>
        <row r="531">
          <cell r="A531" t="str">
            <v>Critical and Clinical Cartographies: Architecture, Robotics, Medicine, Philosophy</v>
          </cell>
          <cell r="B531" t="str">
            <v>Ebook - pdf</v>
          </cell>
          <cell r="C531">
            <v>9781474421126</v>
          </cell>
        </row>
        <row r="532">
          <cell r="A532" t="str">
            <v>Critical Discourse Analysis and Language Cognition</v>
          </cell>
          <cell r="B532" t="str">
            <v>Ebook - pdf</v>
          </cell>
          <cell r="C532">
            <v>9781474471411</v>
          </cell>
        </row>
        <row r="533">
          <cell r="A533" t="str">
            <v>Critical Humanisms: Humanist/Anti-Humanist Dialogues</v>
          </cell>
          <cell r="B533" t="str">
            <v>Ebook - pdf</v>
          </cell>
          <cell r="C533">
            <v>9781474468695</v>
          </cell>
        </row>
        <row r="534">
          <cell r="A534" t="str">
            <v>Critical Luxury Studies: Art, Design, Media</v>
          </cell>
          <cell r="B534" t="str">
            <v>Ebook - pdf</v>
          </cell>
          <cell r="C534">
            <v>9781474402620</v>
          </cell>
        </row>
        <row r="535">
          <cell r="A535" t="str">
            <v>Critique of Security</v>
          </cell>
          <cell r="B535" t="str">
            <v>Ebook - pdf</v>
          </cell>
          <cell r="C535">
            <v>9780748632329</v>
          </cell>
        </row>
        <row r="536">
          <cell r="A536" t="str">
            <v>Critiquing Sovereign Violence: Law, Biopolitics and Bio-Juridicalism</v>
          </cell>
          <cell r="B536" t="str">
            <v>Ebook - pdf</v>
          </cell>
          <cell r="C536">
            <v>9781474445306</v>
          </cell>
        </row>
        <row r="537">
          <cell r="A537" t="str">
            <v>Cross-Channel Modernisms</v>
          </cell>
          <cell r="B537" t="str">
            <v>Ebook - pdf</v>
          </cell>
          <cell r="C537">
            <v>9781474441896</v>
          </cell>
        </row>
        <row r="538">
          <cell r="A538" t="str">
            <v>Cruising Culture: Promiscuity, Desire and American Gay Literature</v>
          </cell>
          <cell r="B538" t="str">
            <v>Ebook - pdf</v>
          </cell>
          <cell r="C538">
            <v>9780585441702</v>
          </cell>
        </row>
        <row r="539">
          <cell r="A539" t="str">
            <v>Cultivating Extreme Art Cinema: Text, Paratext and Home Video Culture</v>
          </cell>
          <cell r="B539" t="str">
            <v>Ebook - pdf</v>
          </cell>
          <cell r="C539">
            <v>9781474427395</v>
          </cell>
        </row>
        <row r="540">
          <cell r="A540" t="str">
            <v xml:space="preserve">Cultural Authority in the Age of Whitman : A Transatlantic Perspective </v>
          </cell>
          <cell r="B540" t="str">
            <v>Ebook - pdf</v>
          </cell>
          <cell r="C540">
            <v>9781474470261</v>
          </cell>
        </row>
        <row r="541">
          <cell r="A541" t="str">
            <v>Cultural Encounters with the Arabian Nights in Nineteenth-Century Britain</v>
          </cell>
          <cell r="B541" t="str">
            <v>Ebook - pdf</v>
          </cell>
          <cell r="C541">
            <v>9781474443661</v>
          </cell>
        </row>
        <row r="542">
          <cell r="A542" t="str">
            <v>Cultural Identity and Political Ethics</v>
          </cell>
          <cell r="B542" t="str">
            <v>Ebook - pdf</v>
          </cell>
          <cell r="C542">
            <v>9780748630233</v>
          </cell>
        </row>
        <row r="543">
          <cell r="A543" t="str">
            <v>Cultural Pessimism: Narratives of Decline in the Postmodern World</v>
          </cell>
          <cell r="B543" t="str">
            <v>Ebook - pdf</v>
          </cell>
          <cell r="C543">
            <v>9781474464345</v>
          </cell>
        </row>
        <row r="544">
          <cell r="A544" t="str">
            <v xml:space="preserve">Cultural Studies and the Study of Popular Culture </v>
          </cell>
          <cell r="B544" t="str">
            <v>Ebook - pdf</v>
          </cell>
          <cell r="C544">
            <v>9780748641666</v>
          </cell>
        </row>
        <row r="545">
          <cell r="A545" t="str">
            <v>Culture and Democracy: Media, Space and Representation</v>
          </cell>
          <cell r="B545" t="str">
            <v>Ebook - pdf</v>
          </cell>
          <cell r="C545">
            <v>9781474464192</v>
          </cell>
        </row>
        <row r="546">
          <cell r="A546" t="str">
            <v>Culture and Power in Cultural Studies: The Politics of Signification</v>
          </cell>
          <cell r="B546" t="str">
            <v>Ebook - pdf</v>
          </cell>
          <cell r="C546">
            <v>9780748641673</v>
          </cell>
        </row>
        <row r="547">
          <cell r="A547" t="str">
            <v>Culture Wars: The Media and the British Left</v>
          </cell>
          <cell r="B547" t="str">
            <v>Ebook - pdf</v>
          </cell>
          <cell r="C547">
            <v>9781474465984</v>
          </cell>
        </row>
        <row r="548">
          <cell r="A548" t="str">
            <v>Cybersexualities: A Reader in Feminist Theory, Cyborgs and Cyberspace</v>
          </cell>
          <cell r="B548" t="str">
            <v>Ebook - pdf</v>
          </cell>
          <cell r="C548">
            <v>9781474473668</v>
          </cell>
        </row>
        <row r="549">
          <cell r="A549" t="str">
            <v>Czech and Slovak Cinema: Theme and Tradition</v>
          </cell>
          <cell r="B549" t="str">
            <v>Ebook - pdf</v>
          </cell>
          <cell r="C549">
            <v>9780748629268</v>
          </cell>
        </row>
        <row r="550">
          <cell r="A550" t="str">
            <v>Dark Paradise: Pacific Islands in the Nineteenth-Century British Imagination</v>
          </cell>
          <cell r="B550" t="str">
            <v>Ebook - pdf</v>
          </cell>
          <cell r="C550">
            <v>9781474413855</v>
          </cell>
        </row>
        <row r="551">
          <cell r="A551" t="str">
            <v>Darwin's Bards: British and American Poetry in the Age of Evolution</v>
          </cell>
          <cell r="B551" t="str">
            <v>Ebook - pdf</v>
          </cell>
          <cell r="C551">
            <v>9780748640904</v>
          </cell>
        </row>
        <row r="552">
          <cell r="A552" t="str">
            <v>David Wilkie: The People's Painter</v>
          </cell>
          <cell r="B552" t="str">
            <v>Ebook - pdf</v>
          </cell>
          <cell r="C552">
            <v>9780748630844</v>
          </cell>
        </row>
        <row r="553">
          <cell r="A553" t="str">
            <v>Da'wa: A Global History of Islamic Missionary Thought and Practice</v>
          </cell>
          <cell r="B553" t="str">
            <v>Ebook - pdf</v>
          </cell>
          <cell r="C553">
            <v>9781474451543</v>
          </cell>
        </row>
        <row r="554">
          <cell r="A554" t="str">
            <v>Death and Desire in Hegel, Heidegger and Deleuze</v>
          </cell>
          <cell r="B554" t="str">
            <v>Ebook - pdf</v>
          </cell>
          <cell r="C554">
            <v>9780748631803</v>
          </cell>
        </row>
        <row r="555">
          <cell r="A555" t="str">
            <v>Death and Return of the Author: Criticism and Subjectivity in Barthes, Foucault and Derrida</v>
          </cell>
          <cell r="B555" t="str">
            <v>Ebook - pdf</v>
          </cell>
          <cell r="C555">
            <v>9780748672707</v>
          </cell>
        </row>
        <row r="556">
          <cell r="A556" t="str">
            <v>Death and the Moving Image: Ideology, Iconography and I</v>
          </cell>
          <cell r="B556" t="str">
            <v>Ebook - pdf</v>
          </cell>
          <cell r="C556">
            <v>9780748630479</v>
          </cell>
        </row>
        <row r="557">
          <cell r="A557" t="str">
            <v>Death in Abeyance: Illness and Therapy among the Tabwa of Central Africa</v>
          </cell>
          <cell r="B557" t="str">
            <v>Ebook - pdf</v>
          </cell>
          <cell r="C557">
            <v>9780585445212</v>
          </cell>
        </row>
        <row r="558">
          <cell r="A558" t="str">
            <v>Death in the Diaspora: British and Irish Gravestones</v>
          </cell>
          <cell r="B558" t="str">
            <v>Ebook - pdf</v>
          </cell>
          <cell r="C558">
            <v>9781474473804</v>
          </cell>
        </row>
        <row r="559">
          <cell r="A559" t="str">
            <v>Death, 'Deathlessness' and Existenz in Karl Jaspers' Philosophy</v>
          </cell>
          <cell r="B559" t="str">
            <v>Ebook - pdf</v>
          </cell>
          <cell r="C559">
            <v>9780748630912</v>
          </cell>
        </row>
        <row r="560">
          <cell r="A560" t="str">
            <v>Death-Drive : Freudian Hauntings in Literature and Art</v>
          </cell>
          <cell r="B560" t="str">
            <v>Ebook - pdf</v>
          </cell>
          <cell r="C560">
            <v>9780748641710</v>
          </cell>
        </row>
        <row r="561">
          <cell r="A561" t="str">
            <v>Debating Foreign Policy in the Renaissance: Speeches on War and Peace by Francesco Guicciardini</v>
          </cell>
          <cell r="B561" t="str">
            <v>Ebook - pdf</v>
          </cell>
          <cell r="C561">
            <v>9781474415057</v>
          </cell>
        </row>
        <row r="562">
          <cell r="A562" t="str">
            <v>Debating the Highland Clearances</v>
          </cell>
          <cell r="B562" t="str">
            <v>Ebook - pdf</v>
          </cell>
          <cell r="C562">
            <v>9780748629589</v>
          </cell>
        </row>
        <row r="563">
          <cell r="A563" t="str">
            <v>Deconstructing Energy Law and Policy: The Case of Nuclear Energy</v>
          </cell>
          <cell r="B563" t="str">
            <v>Ebook - pdf</v>
          </cell>
          <cell r="C563">
            <v>9780748696673</v>
          </cell>
        </row>
        <row r="564">
          <cell r="A564" t="str">
            <v>Deconstructing Ireland: Identity, Theory, Culture</v>
          </cell>
          <cell r="B564" t="str">
            <v>Ebook - pdf</v>
          </cell>
          <cell r="C564">
            <v>9781474468619</v>
          </cell>
        </row>
        <row r="565">
          <cell r="A565" t="str">
            <v>Deconstruction, Feminism, Film</v>
          </cell>
          <cell r="B565" t="str">
            <v>Ebook - pdf</v>
          </cell>
          <cell r="C565">
            <v>9781474434201</v>
          </cell>
        </row>
        <row r="566">
          <cell r="A566" t="str">
            <v>Deconstruction:  A Reader</v>
          </cell>
          <cell r="B566" t="str">
            <v>Ebook - pdf</v>
          </cell>
          <cell r="C566">
            <v>9781474470919</v>
          </cell>
        </row>
        <row r="567">
          <cell r="A567" t="str">
            <v>Defining Greek Narrative</v>
          </cell>
          <cell r="B567" t="str">
            <v>Ebook - pdf</v>
          </cell>
          <cell r="C567">
            <v>9780748680115</v>
          </cell>
        </row>
        <row r="568">
          <cell r="A568" t="str">
            <v>Deleuze and Anarchism</v>
          </cell>
          <cell r="B568" t="str">
            <v>Ebook - pdf</v>
          </cell>
          <cell r="C568">
            <v>9781474439091</v>
          </cell>
        </row>
        <row r="569">
          <cell r="A569" t="str">
            <v>Deleuze and Architecture</v>
          </cell>
          <cell r="B569" t="str">
            <v>Ebook - pdf</v>
          </cell>
          <cell r="C569">
            <v>9780748674664</v>
          </cell>
        </row>
        <row r="570">
          <cell r="A570" t="str">
            <v>Deleuze and Baudrillard: From Cyberpunk to Biopunk</v>
          </cell>
          <cell r="B570" t="str">
            <v>Ebook - pdf</v>
          </cell>
          <cell r="C570">
            <v>9781474414395</v>
          </cell>
        </row>
        <row r="571">
          <cell r="A571" t="str">
            <v>Deleuze and Children</v>
          </cell>
          <cell r="B571" t="str">
            <v>Ebook - pdf</v>
          </cell>
          <cell r="C571">
            <v>9781474423618</v>
          </cell>
        </row>
        <row r="572">
          <cell r="A572" t="str">
            <v>Deleuze and Cinema: The Aesthetics of Sensation</v>
          </cell>
          <cell r="B572" t="str">
            <v>Ebook - pdf</v>
          </cell>
          <cell r="C572">
            <v>9780748665914</v>
          </cell>
        </row>
        <row r="573">
          <cell r="A573" t="str">
            <v>Deleuze and Contemporary Art</v>
          </cell>
          <cell r="B573" t="str">
            <v>Ebook - pdf</v>
          </cell>
          <cell r="C573">
            <v>9780748642403</v>
          </cell>
        </row>
        <row r="574">
          <cell r="A574" t="str">
            <v>Deleuze and Derrida: Difference and the Power of the Negative</v>
          </cell>
          <cell r="B574" t="str">
            <v>Ebook - pdf</v>
          </cell>
          <cell r="C574">
            <v>9780748696239</v>
          </cell>
        </row>
        <row r="575">
          <cell r="A575" t="str">
            <v>Deleuze and Design</v>
          </cell>
          <cell r="B575" t="str">
            <v>Ebook - pdf</v>
          </cell>
          <cell r="C575">
            <v>9780748691555</v>
          </cell>
        </row>
        <row r="576">
          <cell r="A576" t="str">
            <v>Deleuze and Education</v>
          </cell>
          <cell r="B576" t="str">
            <v>Ebook - pdf</v>
          </cell>
          <cell r="C576">
            <v>9780748669455</v>
          </cell>
        </row>
        <row r="577">
          <cell r="A577" t="str">
            <v>Deleuze and Ethics</v>
          </cell>
          <cell r="B577" t="str">
            <v>Ebook - pdf</v>
          </cell>
          <cell r="C577">
            <v>9780748646296</v>
          </cell>
        </row>
        <row r="578">
          <cell r="A578" t="str">
            <v>Deleuze and Evolutionary Theory</v>
          </cell>
          <cell r="B578" t="str">
            <v>Ebook - pdf</v>
          </cell>
          <cell r="C578">
            <v>9781474430517</v>
          </cell>
        </row>
        <row r="579">
          <cell r="A579" t="str">
            <v>Deleuze and Feminist Theory</v>
          </cell>
          <cell r="B579" t="str">
            <v>Ebook - pdf</v>
          </cell>
          <cell r="C579">
            <v>9781474400527</v>
          </cell>
        </row>
        <row r="580">
          <cell r="A580" t="str">
            <v>Deleuze and Film</v>
          </cell>
          <cell r="B580" t="str">
            <v>Ebook - pdf</v>
          </cell>
          <cell r="C580">
            <v>9780748647460</v>
          </cell>
        </row>
        <row r="581">
          <cell r="A581" t="str">
            <v>Deleuze and Gender: Deleuze Studies Volume 2: 2008 (Supplement)</v>
          </cell>
          <cell r="B581" t="str">
            <v>Ebook - pdf</v>
          </cell>
          <cell r="C581">
            <v>9781474465823</v>
          </cell>
        </row>
        <row r="582">
          <cell r="A582" t="str">
            <v>Deleuze and Geophilosophy: A Guide and Glossary</v>
          </cell>
          <cell r="B582" t="str">
            <v>Ebook - pdf</v>
          </cell>
          <cell r="C582">
            <v>9781474464543</v>
          </cell>
        </row>
        <row r="583">
          <cell r="A583" t="str">
            <v>Deleuze and Guattari's A Thousand Plateaus: A Critical Introduction and Guide</v>
          </cell>
          <cell r="B583" t="str">
            <v>Ebook - pdf</v>
          </cell>
          <cell r="C583">
            <v>9780748686476</v>
          </cell>
        </row>
        <row r="584">
          <cell r="A584" t="str">
            <v>Deleuze and Guattari's What is Philosophy?: A Critical Introduction and Guide</v>
          </cell>
          <cell r="B584" t="str">
            <v>Ebook - pdf</v>
          </cell>
          <cell r="C584">
            <v>9780748692545</v>
          </cell>
        </row>
        <row r="585">
          <cell r="A585" t="str">
            <v>Deleuze and History</v>
          </cell>
          <cell r="B585" t="str">
            <v>Ebook - pdf</v>
          </cell>
          <cell r="C585">
            <v>9780748636105</v>
          </cell>
        </row>
        <row r="586">
          <cell r="A586" t="str">
            <v>Deleuze and Horror Film</v>
          </cell>
          <cell r="B586" t="str">
            <v>Ebook - pdf</v>
          </cell>
          <cell r="C586">
            <v>9780748628780</v>
          </cell>
        </row>
        <row r="587">
          <cell r="A587" t="str">
            <v>Deleuze and Law</v>
          </cell>
          <cell r="B587" t="str">
            <v>Ebook - pdf</v>
          </cell>
          <cell r="C587">
            <v>9780748664542</v>
          </cell>
        </row>
        <row r="588">
          <cell r="A588" t="str">
            <v>Deleuze and Literature</v>
          </cell>
          <cell r="B588" t="str">
            <v>Ebook - pdf</v>
          </cell>
          <cell r="C588">
            <v>9781474465472</v>
          </cell>
        </row>
        <row r="589">
          <cell r="A589" t="str">
            <v>Deleuze and Marx: Deleuze Studies Volume 3: 2009 (Supplement)</v>
          </cell>
          <cell r="B589" t="str">
            <v>Ebook - pdf</v>
          </cell>
          <cell r="C589">
            <v>9781474469555</v>
          </cell>
        </row>
        <row r="590">
          <cell r="A590" t="str">
            <v>Deleuze and Memorial Culture: Desire, Singular Memory and the Politics of Trauma</v>
          </cell>
          <cell r="B590" t="str">
            <v>Ebook - pdf</v>
          </cell>
          <cell r="C590">
            <v>9780748631582</v>
          </cell>
        </row>
        <row r="591">
          <cell r="A591" t="str">
            <v>Deleuze and Music</v>
          </cell>
          <cell r="B591" t="str">
            <v>Ebook - pdf</v>
          </cell>
          <cell r="C591">
            <v>9781474465489</v>
          </cell>
        </row>
        <row r="592">
          <cell r="A592" t="str">
            <v>Deleuze and New Technology</v>
          </cell>
          <cell r="B592" t="str">
            <v>Ebook - pdf</v>
          </cell>
          <cell r="C592">
            <v>9780748633371</v>
          </cell>
        </row>
        <row r="593">
          <cell r="A593" t="str">
            <v>Deleuze and New Technology</v>
          </cell>
          <cell r="B593" t="str">
            <v>Ebook - pdf</v>
          </cell>
          <cell r="C593">
            <v>9781474472241</v>
          </cell>
        </row>
        <row r="594">
          <cell r="A594" t="str">
            <v>Deleuze and Performance</v>
          </cell>
          <cell r="B594" t="str">
            <v>Ebook - pdf</v>
          </cell>
          <cell r="C594">
            <v>9780748635054</v>
          </cell>
        </row>
        <row r="595">
          <cell r="A595" t="str">
            <v>Deleuze and Philosophy</v>
          </cell>
          <cell r="B595" t="str">
            <v>Ebook - pdf</v>
          </cell>
          <cell r="C595">
            <v>9780748627196</v>
          </cell>
        </row>
        <row r="596">
          <cell r="A596" t="str">
            <v>Deleuze and Politics</v>
          </cell>
          <cell r="B596" t="str">
            <v>Ebook - pdf</v>
          </cell>
          <cell r="C596">
            <v>9780748631964</v>
          </cell>
        </row>
        <row r="597">
          <cell r="A597" t="str">
            <v>Deleuze and Queer Theory</v>
          </cell>
          <cell r="B597" t="str">
            <v>Ebook - pdf</v>
          </cell>
          <cell r="C597">
            <v>9780748634064</v>
          </cell>
        </row>
        <row r="598">
          <cell r="A598" t="str">
            <v>Deleuze and Race</v>
          </cell>
          <cell r="B598" t="str">
            <v>Ebook - pdf</v>
          </cell>
          <cell r="C598">
            <v>9780748669608</v>
          </cell>
        </row>
        <row r="599">
          <cell r="A599" t="str">
            <v>Deleuze and Research Methodologies</v>
          </cell>
          <cell r="B599" t="str">
            <v>Ebook - pdf</v>
          </cell>
          <cell r="C599">
            <v>9780748644124</v>
          </cell>
        </row>
        <row r="600">
          <cell r="A600" t="str">
            <v>Deleuze and Science: Paragraph Volume 29 Number 2</v>
          </cell>
          <cell r="B600" t="str">
            <v>Ebook - pdf</v>
          </cell>
          <cell r="C600">
            <v>9781474470698</v>
          </cell>
        </row>
        <row r="601">
          <cell r="A601" t="str">
            <v>Deleuze and Sex</v>
          </cell>
          <cell r="B601" t="str">
            <v>Ebook - pdf</v>
          </cell>
          <cell r="C601">
            <v>9780748647514</v>
          </cell>
        </row>
        <row r="602">
          <cell r="A602" t="str">
            <v>Deleuze and Space</v>
          </cell>
          <cell r="B602" t="str">
            <v>Ebook - pdf</v>
          </cell>
          <cell r="C602">
            <v>9781474480956</v>
          </cell>
        </row>
        <row r="603">
          <cell r="A603" t="str">
            <v>Deleuze and the Animal</v>
          </cell>
          <cell r="B603" t="str">
            <v>Ebook - pdf</v>
          </cell>
          <cell r="C603">
            <v>9781474422758</v>
          </cell>
        </row>
        <row r="604">
          <cell r="A604" t="str">
            <v>Deleuze and the Body</v>
          </cell>
          <cell r="B604" t="str">
            <v>Ebook - pdf</v>
          </cell>
          <cell r="C604">
            <v>9780748645978</v>
          </cell>
        </row>
        <row r="605">
          <cell r="A605" t="str">
            <v>Deleuze and the Cinemas of Performance: Powers of Affection</v>
          </cell>
          <cell r="B605" t="str">
            <v>Ebook - pdf</v>
          </cell>
          <cell r="C605">
            <v>9780748635269</v>
          </cell>
        </row>
        <row r="606">
          <cell r="A606" t="str">
            <v>Deleuze and the City</v>
          </cell>
          <cell r="B606" t="str">
            <v>Ebook - pdf</v>
          </cell>
          <cell r="C606">
            <v>9781474407601</v>
          </cell>
        </row>
        <row r="607">
          <cell r="A607" t="str">
            <v>Deleuze and the Contemporary World</v>
          </cell>
          <cell r="B607" t="str">
            <v>Ebook - pdf</v>
          </cell>
          <cell r="C607">
            <v>9780748627172</v>
          </cell>
        </row>
        <row r="608">
          <cell r="A608" t="str">
            <v>Deleuze and the Naming of God: Post-Secularism and the Future of Immanence</v>
          </cell>
          <cell r="B608" t="str">
            <v>Ebook - pdf</v>
          </cell>
          <cell r="C608">
            <v>9780748686377</v>
          </cell>
        </row>
        <row r="609">
          <cell r="A609" t="str">
            <v>Deleuze and the Postcolonial</v>
          </cell>
          <cell r="B609" t="str">
            <v>Ebook - pdf</v>
          </cell>
          <cell r="C609">
            <v>9780748637010</v>
          </cell>
        </row>
        <row r="610">
          <cell r="A610" t="str">
            <v>Deleuze and the Problem of Affect</v>
          </cell>
          <cell r="B610" t="str">
            <v>Ebook - pdf</v>
          </cell>
          <cell r="C610">
            <v>9781474485579</v>
          </cell>
        </row>
        <row r="611">
          <cell r="A611" t="str">
            <v>Deleuze and the Social</v>
          </cell>
          <cell r="B611" t="str">
            <v>Ebook - pdf</v>
          </cell>
          <cell r="C611">
            <v>9780748627080</v>
          </cell>
        </row>
        <row r="612">
          <cell r="A612" t="str">
            <v>Deleuze in Children's Literature</v>
          </cell>
          <cell r="B612" t="str">
            <v>Ebook - pdf</v>
          </cell>
          <cell r="C612">
            <v>9781474466707</v>
          </cell>
        </row>
        <row r="613">
          <cell r="A613" t="str">
            <v>Deleuze, A Stoic</v>
          </cell>
          <cell r="B613" t="str">
            <v>Ebook - pdf</v>
          </cell>
          <cell r="C613">
            <v>9781474462181</v>
          </cell>
        </row>
        <row r="614">
          <cell r="A614" t="str">
            <v>Deleuze, Altered States and Film</v>
          </cell>
          <cell r="B614" t="str">
            <v>Ebook - pdf</v>
          </cell>
          <cell r="C614">
            <v>9780748632404</v>
          </cell>
        </row>
        <row r="615">
          <cell r="A615" t="str">
            <v>Deleuze, Cinema and National Identity: Narrative Time in National Contexts</v>
          </cell>
          <cell r="B615" t="str">
            <v>Ebook - pdf</v>
          </cell>
          <cell r="C615">
            <v>9781474470766</v>
          </cell>
        </row>
        <row r="616">
          <cell r="A616" t="str">
            <v>Deleuze, Cinema and the Thought of the World</v>
          </cell>
          <cell r="B616" t="str">
            <v>Ebook - pdf</v>
          </cell>
          <cell r="C616">
            <v>9781474432818</v>
          </cell>
        </row>
        <row r="617">
          <cell r="A617" t="str">
            <v>Deleuze, Guattari and the Art of Multiplicity</v>
          </cell>
          <cell r="B617" t="str">
            <v>Ebook - pdf</v>
          </cell>
          <cell r="C617">
            <v>9781474457675</v>
          </cell>
        </row>
        <row r="618">
          <cell r="A618" t="str">
            <v>Deleuze: A Philosophy of the Event : together with The Vocabulary of Deleuze</v>
          </cell>
          <cell r="B618" t="str">
            <v>Ebook - pdf</v>
          </cell>
          <cell r="C618">
            <v>9780748645633</v>
          </cell>
        </row>
        <row r="619">
          <cell r="A619" t="str">
            <v>Deleuze's Bergsonism</v>
          </cell>
          <cell r="B619" t="str">
            <v>Ebook - pdf</v>
          </cell>
          <cell r="C619">
            <v>9781474414333</v>
          </cell>
        </row>
        <row r="620">
          <cell r="A620" t="str">
            <v>Deleuze's Cinema Books: Three Introductions to the Taxonomy of Images</v>
          </cell>
          <cell r="B620" t="str">
            <v>Ebook - pdf</v>
          </cell>
          <cell r="C620">
            <v>9781474407694</v>
          </cell>
        </row>
        <row r="621">
          <cell r="A621" t="str">
            <v>Deleuze's Difference and Repetition: An Edinburgh Philosophical Guide</v>
          </cell>
          <cell r="B621" t="str">
            <v>Ebook - pdf</v>
          </cell>
          <cell r="C621">
            <v>9780748669677</v>
          </cell>
        </row>
        <row r="622">
          <cell r="A622" t="str">
            <v>Deleuze's Hume: Philosophy, Culture and the Scottish Enlightenment</v>
          </cell>
          <cell r="B622" t="str">
            <v>Ebook - pdf</v>
          </cell>
          <cell r="C622">
            <v>9780748634408</v>
          </cell>
        </row>
        <row r="623">
          <cell r="A623" t="str">
            <v>Deleuze's Kantian Ethos: Critique as a Way of Life</v>
          </cell>
          <cell r="B623" t="str">
            <v>Ebook - pdf</v>
          </cell>
          <cell r="C623">
            <v>9781474407724</v>
          </cell>
        </row>
        <row r="624">
          <cell r="A624" t="str">
            <v>Deleuze's Literary Clinic: Criticism and the Politics of Symptoms</v>
          </cell>
          <cell r="B624" t="str">
            <v>Ebook - pdf</v>
          </cell>
          <cell r="C624">
            <v>9780748650569</v>
          </cell>
        </row>
        <row r="625">
          <cell r="A625" t="str">
            <v>Deleuze's Philosophical Lineage</v>
          </cell>
          <cell r="B625" t="str">
            <v>Ebook - pdf</v>
          </cell>
          <cell r="C625">
            <v>9780748631957</v>
          </cell>
        </row>
        <row r="626">
          <cell r="A626" t="str">
            <v>Deleuze's Philosophical Lineage II</v>
          </cell>
          <cell r="B626" t="str">
            <v>Ebook - pdf</v>
          </cell>
          <cell r="C626">
            <v>9781474449205</v>
          </cell>
        </row>
        <row r="627">
          <cell r="A627" t="str">
            <v>Deleuzian Fabulation and the Scars of History</v>
          </cell>
          <cell r="B627" t="str">
            <v>Ebook - pdf</v>
          </cell>
          <cell r="C627">
            <v>9780748641758</v>
          </cell>
        </row>
        <row r="628">
          <cell r="A628" t="str">
            <v>Deleuzism: A Metacommentary</v>
          </cell>
          <cell r="B628" t="str">
            <v>Ebook - pdf</v>
          </cell>
          <cell r="C628">
            <v>9781474465502</v>
          </cell>
        </row>
        <row r="629">
          <cell r="A629" t="str">
            <v>Deliberative Democracy and Divided Societies</v>
          </cell>
          <cell r="B629" t="str">
            <v>Ebook - pdf</v>
          </cell>
          <cell r="C629">
            <v>9780748627035</v>
          </cell>
        </row>
        <row r="630">
          <cell r="A630" t="str">
            <v>Deliberative Democracy: Issues and Cases</v>
          </cell>
          <cell r="B630" t="str">
            <v>Ebook - pdf</v>
          </cell>
          <cell r="C630">
            <v>9780748643509</v>
          </cell>
        </row>
        <row r="631">
          <cell r="A631" t="str">
            <v>Deliberative Theory and Deconstruction: A Democratic Venture</v>
          </cell>
          <cell r="B631" t="str">
            <v>Ebook - pdf</v>
          </cell>
          <cell r="C631">
            <v>9781474475303</v>
          </cell>
        </row>
        <row r="632">
          <cell r="A632" t="str">
            <v>Delict Essentials</v>
          </cell>
          <cell r="B632" t="str">
            <v>Ebook - pdf</v>
          </cell>
          <cell r="C632">
            <v>9781474466615</v>
          </cell>
        </row>
        <row r="633">
          <cell r="A633" t="str">
            <v>Delict: A Comprehensive Guide to the Law in Scotland</v>
          </cell>
          <cell r="B633" t="str">
            <v>Ebook - pdf</v>
          </cell>
          <cell r="C633">
            <v>9781474462457</v>
          </cell>
        </row>
        <row r="634">
          <cell r="A634" t="str">
            <v>Delivering Energy Law and Policy in the EU and the US: A Reader</v>
          </cell>
          <cell r="B634" t="str">
            <v>Ebook - pdf</v>
          </cell>
          <cell r="C634">
            <v>9780748696802</v>
          </cell>
        </row>
        <row r="635">
          <cell r="A635" t="str">
            <v>Demented Particulars: The Annotated 'Murphy'</v>
          </cell>
          <cell r="B635" t="str">
            <v>Ebook - pdf</v>
          </cell>
          <cell r="C635">
            <v>9780748643257</v>
          </cell>
        </row>
        <row r="636">
          <cell r="A636" t="str">
            <v>Democracy Against Itself: Sustaining an Unsustainable Idea</v>
          </cell>
          <cell r="B636" t="str">
            <v>Ebook - pdf</v>
          </cell>
          <cell r="C636">
            <v>9780748681891</v>
          </cell>
        </row>
        <row r="637">
          <cell r="A637" t="str">
            <v>Democracy and Political Violence</v>
          </cell>
          <cell r="B637" t="str">
            <v>Ebook - pdf</v>
          </cell>
          <cell r="C637">
            <v>9780748645985</v>
          </cell>
        </row>
        <row r="638">
          <cell r="A638" t="str">
            <v>Democracy in Britain</v>
          </cell>
          <cell r="B638" t="str">
            <v>Ebook - pdf</v>
          </cell>
          <cell r="C638">
            <v>9780748626694</v>
          </cell>
        </row>
        <row r="639">
          <cell r="A639" t="str">
            <v>Democracy, Law and the Modernist Avant-Gardes: Writing in the State of Exception</v>
          </cell>
          <cell r="B639" t="str">
            <v>Ebook - pdf</v>
          </cell>
          <cell r="C639">
            <v>9780748641765</v>
          </cell>
        </row>
        <row r="640">
          <cell r="A640" t="str">
            <v>Democracy: A Reader</v>
          </cell>
          <cell r="B640" t="str">
            <v>Ebook - pdf</v>
          </cell>
          <cell r="C640">
            <v>9780748696130</v>
          </cell>
        </row>
        <row r="641">
          <cell r="A641" t="str">
            <v>Democracy: Problems and Perspectives</v>
          </cell>
          <cell r="B641" t="str">
            <v>Ebook - pdf</v>
          </cell>
          <cell r="C641">
            <v>9780748629121</v>
          </cell>
        </row>
        <row r="642">
          <cell r="A642" t="str">
            <v>Democratic Biopolitics: Popular Sovereignty and the Power of Life</v>
          </cell>
          <cell r="B642" t="str">
            <v>Ebook - pdf</v>
          </cell>
          <cell r="C642">
            <v>9781474449366</v>
          </cell>
        </row>
        <row r="643">
          <cell r="A643" t="str">
            <v>Democratic Piety: Complexity, Conflict and Violence</v>
          </cell>
          <cell r="B643" t="str">
            <v>Ebook - pdf</v>
          </cell>
          <cell r="C643">
            <v>9780748633661</v>
          </cell>
        </row>
        <row r="644">
          <cell r="A644" t="str">
            <v>Democratisation in the Maghreb</v>
          </cell>
          <cell r="B644" t="str">
            <v>Ebook - pdf</v>
          </cell>
          <cell r="C644">
            <v>9781474408981</v>
          </cell>
        </row>
        <row r="645">
          <cell r="A645" t="str">
            <v>Denying the Spoils of War: The Politics of Invasion and Non-recognition</v>
          </cell>
          <cell r="B645" t="str">
            <v>Ebook - pdf</v>
          </cell>
          <cell r="C645">
            <v>9781474434447</v>
          </cell>
        </row>
        <row r="646">
          <cell r="A646" t="str">
            <v>Deregulation and Privatisation: Hume Papers on Public Policy 3.3</v>
          </cell>
          <cell r="B646" t="str">
            <v>Ebook - pdf</v>
          </cell>
          <cell r="C646">
            <v>9781474470575</v>
          </cell>
        </row>
        <row r="647">
          <cell r="A647" t="str">
            <v>Derivatives in Islamic Finance: Examining the Market Risk Management Framework</v>
          </cell>
          <cell r="B647" t="str">
            <v>Ebook - pdf</v>
          </cell>
          <cell r="C647">
            <v>9780748695713</v>
          </cell>
        </row>
        <row r="648">
          <cell r="A648" t="str">
            <v>Derrida and Hospitality: Theory and Practice</v>
          </cell>
          <cell r="B648" t="str">
            <v>Ebook - pdf</v>
          </cell>
          <cell r="C648">
            <v>9780748644506</v>
          </cell>
        </row>
        <row r="649">
          <cell r="A649" t="str">
            <v>Derrida and Lacan: Another Writing</v>
          </cell>
          <cell r="B649" t="str">
            <v>Ebook - pdf</v>
          </cell>
          <cell r="C649">
            <v>9780748636044</v>
          </cell>
        </row>
        <row r="650">
          <cell r="A650" t="str">
            <v>Derrida and Other Animals: The Boundaries of the Human</v>
          </cell>
          <cell r="B650" t="str">
            <v>Ebook - pdf</v>
          </cell>
          <cell r="C650">
            <v>9780748680986</v>
          </cell>
        </row>
        <row r="651">
          <cell r="A651" t="str">
            <v>Derrida Reads Shakespeare</v>
          </cell>
          <cell r="B651" t="str">
            <v>Ebook - pdf</v>
          </cell>
          <cell r="C651">
            <v>9781474409889</v>
          </cell>
        </row>
        <row r="652">
          <cell r="A652" t="str">
            <v>Derrida: Negotiating the Legacy</v>
          </cell>
          <cell r="B652" t="str">
            <v>Ebook - pdf</v>
          </cell>
          <cell r="C652">
            <v>9780748631032</v>
          </cell>
        </row>
        <row r="653">
          <cell r="A653" t="str">
            <v>Derrida's Of Grammatology: An Edinburgh Philosophical Guide</v>
          </cell>
          <cell r="B653" t="str">
            <v>Ebook - pdf</v>
          </cell>
          <cell r="C653">
            <v>9780748631391</v>
          </cell>
        </row>
        <row r="654">
          <cell r="A654" t="str">
            <v>Derrida's Secret: Perjury, Testimony, Oath</v>
          </cell>
          <cell r="B654" t="str">
            <v>Ebook - pdf</v>
          </cell>
          <cell r="C654">
            <v>9781474425018</v>
          </cell>
        </row>
        <row r="655">
          <cell r="A655" t="str">
            <v>Derrida's Voice and Phenomenon</v>
          </cell>
          <cell r="B655" t="str">
            <v>Ebook - pdf</v>
          </cell>
          <cell r="C655">
            <v>9780748644223</v>
          </cell>
        </row>
        <row r="656">
          <cell r="A656" t="str">
            <v>Descartes' Meditations on First Philosophy: An Edinburgh Philosophical Guide</v>
          </cell>
          <cell r="B656" t="str">
            <v>Ebook - pdf</v>
          </cell>
          <cell r="C656">
            <v>9780748634811</v>
          </cell>
        </row>
        <row r="657">
          <cell r="A657" t="str">
            <v>Designs on the Past: How Hollywood Created the Ancient World</v>
          </cell>
          <cell r="B657" t="str">
            <v>Ebook - pdf</v>
          </cell>
          <cell r="C657">
            <v>9780748675654</v>
          </cell>
        </row>
        <row r="658">
          <cell r="A658" t="str">
            <v>Determined Spirits: Eugenics, Heredity and Racial Regeneration in Anglo-American Spiritualist Writing, 1848-1930</v>
          </cell>
          <cell r="B658" t="str">
            <v>Ebook - pdf</v>
          </cell>
          <cell r="C658">
            <v>9780748650668</v>
          </cell>
        </row>
        <row r="659">
          <cell r="A659" t="str">
            <v>Development Models in Muslim Contexts: Chinese, 'Islamic' and Neo-liberal Alternatives</v>
          </cell>
          <cell r="B659" t="str">
            <v>Ebook - pdf</v>
          </cell>
          <cell r="C659">
            <v>9780748641772</v>
          </cell>
        </row>
        <row r="660">
          <cell r="A660" t="str">
            <v>Devolution - Scottish Answers to Scottish Questions?</v>
          </cell>
          <cell r="B660" t="str">
            <v>Ebook - pdf</v>
          </cell>
          <cell r="C660">
            <v>9781474465410</v>
          </cell>
        </row>
        <row r="661">
          <cell r="A661" t="str">
            <v>Devolution in the United Kingdom</v>
          </cell>
          <cell r="B661" t="str">
            <v>Ebook - pdf</v>
          </cell>
          <cell r="C661">
            <v>9780748669714</v>
          </cell>
        </row>
        <row r="662">
          <cell r="A662" t="str">
            <v>Devolving English Literature</v>
          </cell>
          <cell r="B662" t="str">
            <v>Ebook - pdf</v>
          </cell>
          <cell r="C662">
            <v>9781474465939</v>
          </cell>
        </row>
        <row r="663">
          <cell r="A663" t="str">
            <v>Diagrammatic Immanence: Category Theory and Philosophy</v>
          </cell>
          <cell r="B663" t="str">
            <v>Ebook - pdf</v>
          </cell>
          <cell r="C663">
            <v>9781474404181</v>
          </cell>
        </row>
        <row r="664">
          <cell r="A664" t="str">
            <v>Dialect Writing and the North of England</v>
          </cell>
          <cell r="B664" t="str">
            <v>Ebook - pdf</v>
          </cell>
          <cell r="C664">
            <v>9781474442572</v>
          </cell>
        </row>
        <row r="665">
          <cell r="A665" t="str">
            <v>Dialectical Encounters: Contemporary Turkish Muslim Thought in Dialogue</v>
          </cell>
          <cell r="B665" t="str">
            <v>Ebook - pdf</v>
          </cell>
          <cell r="C665">
            <v>9781474441551</v>
          </cell>
        </row>
        <row r="666">
          <cell r="A666" t="str">
            <v>Dialectics of Improvement: Scottish Romanticism, 1786-1831</v>
          </cell>
          <cell r="B666" t="str">
            <v>Ebook - pdf</v>
          </cell>
          <cell r="C666">
            <v>9781474441698</v>
          </cell>
        </row>
        <row r="667">
          <cell r="A667" t="str">
            <v>Diaspora Criticism</v>
          </cell>
          <cell r="B667" t="str">
            <v>Ebook - pdf</v>
          </cell>
          <cell r="C667">
            <v>9780748629336</v>
          </cell>
        </row>
        <row r="668">
          <cell r="A668" t="str">
            <v>Diasporas of the Modern Middle East: Contextualising Community</v>
          </cell>
          <cell r="B668" t="str">
            <v>Ebook - pdf</v>
          </cell>
          <cell r="C668">
            <v>9780748686117</v>
          </cell>
        </row>
        <row r="669">
          <cell r="A669" t="str">
            <v>Dickens and Demolition: Literary Afterlives and Mid-Nineteenth Century Urban Development</v>
          </cell>
          <cell r="B669" t="str">
            <v>Ebook - pdf</v>
          </cell>
          <cell r="C669">
            <v>9781474420990</v>
          </cell>
        </row>
        <row r="670">
          <cell r="A670" t="str">
            <v>Dickens's Clowns: Charles Dickens, Joseph Grimaldi and the Pantomime of Life</v>
          </cell>
          <cell r="B670" t="str">
            <v>Ebook - pdf</v>
          </cell>
          <cell r="C670">
            <v>9781474406963</v>
          </cell>
        </row>
        <row r="671">
          <cell r="A671" t="str">
            <v>Dickens's London: Perception, Subjectivity and Phenomenal Urban Multiplicity</v>
          </cell>
          <cell r="B671" t="str">
            <v>Ebook - pdf</v>
          </cell>
          <cell r="C671">
            <v>9780748656035</v>
          </cell>
        </row>
        <row r="672">
          <cell r="A672" t="str">
            <v>Dictionary of American Government and Politics</v>
          </cell>
          <cell r="B672" t="str">
            <v>Ebook - pdf</v>
          </cell>
          <cell r="C672">
            <v>9780748635023</v>
          </cell>
        </row>
        <row r="673">
          <cell r="A673" t="str">
            <v>Difference and Disability in the Medieval Islamic World: Blighted Bodies</v>
          </cell>
          <cell r="B673" t="str">
            <v>Ebook - pdf</v>
          </cell>
          <cell r="C673">
            <v>9780748645084</v>
          </cell>
        </row>
        <row r="674">
          <cell r="A674" t="str">
            <v>Difficult Atheism: Post-Theological Thinking in Alain Badiou, Jean-Luc Nancy and Quentin Meillassoux</v>
          </cell>
          <cell r="B674" t="str">
            <v>Ebook - pdf</v>
          </cell>
          <cell r="C674">
            <v>9780748646302</v>
          </cell>
        </row>
        <row r="675">
          <cell r="A675" t="str">
            <v>Digital Imaging in Popular Cinema</v>
          </cell>
          <cell r="B675" t="str">
            <v>Ebook - pdf</v>
          </cell>
          <cell r="C675">
            <v>9780748646913</v>
          </cell>
        </row>
        <row r="676">
          <cell r="A676" t="str">
            <v>Digital Resistance in the Middle East: New Media Activism in Everyday Life</v>
          </cell>
          <cell r="B676" t="str">
            <v>Ebook - pdf</v>
          </cell>
          <cell r="C676">
            <v>9781474422567</v>
          </cell>
        </row>
        <row r="677">
          <cell r="A677" t="str">
            <v>Dilapidations and Service Charge</v>
          </cell>
          <cell r="B677" t="str">
            <v>Ebook - pdf</v>
          </cell>
          <cell r="C677">
            <v>9781474475440</v>
          </cell>
        </row>
        <row r="678">
          <cell r="A678" t="str">
            <v>Diocletian and the Tetrarchy</v>
          </cell>
          <cell r="B678" t="str">
            <v>Ebook - pdf</v>
          </cell>
          <cell r="C678">
            <v>9781474471909</v>
          </cell>
        </row>
        <row r="679">
          <cell r="A679" t="str">
            <v>Diplomacy Arabic</v>
          </cell>
          <cell r="B679" t="str">
            <v>Ebook - pdf</v>
          </cell>
          <cell r="C679">
            <v>9781474461252</v>
          </cell>
        </row>
        <row r="680">
          <cell r="A680" t="str">
            <v>Disappearing War: Interdisciplinary Perspectives on Cinema and Erasure in the Post 9/11 World</v>
          </cell>
          <cell r="B680" t="str">
            <v>Ebook - pdf</v>
          </cell>
          <cell r="C680">
            <v>9781474416573</v>
          </cell>
        </row>
        <row r="681">
          <cell r="A681" t="str">
            <v>Discourse Analysis: An Introduction</v>
          </cell>
          <cell r="B681" t="str">
            <v>Ebook - pdf</v>
          </cell>
          <cell r="C681">
            <v>9781474468411</v>
          </cell>
        </row>
        <row r="682">
          <cell r="A682" t="str">
            <v>Discourse and Identity</v>
          </cell>
          <cell r="B682" t="str">
            <v>Ebook - pdf</v>
          </cell>
          <cell r="C682">
            <v>9780748626533</v>
          </cell>
        </row>
        <row r="683">
          <cell r="A683" t="str">
            <v>Discourse in Late Modernity: Rethinking Critical Discourse Analysis</v>
          </cell>
          <cell r="B683" t="str">
            <v>Ebook - pdf</v>
          </cell>
          <cell r="C683">
            <v>9780748610839</v>
          </cell>
        </row>
        <row r="684">
          <cell r="A684" t="str">
            <v>Discourses of Disorder: Riots, Strikes and Protests in the Media</v>
          </cell>
          <cell r="B684" t="str">
            <v>Ebook - pdf</v>
          </cell>
          <cell r="C684">
            <v>9781474435420</v>
          </cell>
        </row>
        <row r="685">
          <cell r="A685" t="str">
            <v>Discourses of Regulation and Resistance: Censoring Translation in the the Stalin and Khrushchev Era Soviet Union</v>
          </cell>
          <cell r="B685" t="str">
            <v>Ebook - pdf</v>
          </cell>
          <cell r="C685">
            <v>9780748698035</v>
          </cell>
        </row>
        <row r="686">
          <cell r="A686" t="str">
            <v>Discover Your Scottish Ancestry: Internet and Traditional Resources</v>
          </cell>
          <cell r="B686" t="str">
            <v>Ebook - pdf</v>
          </cell>
          <cell r="C686">
            <v>9780748641789</v>
          </cell>
        </row>
        <row r="687">
          <cell r="A687" t="str">
            <v>Discovering the Footsteps of Time: Geological Travel Writing about Scotland, 1700-1820</v>
          </cell>
          <cell r="B687" t="str">
            <v>Ebook - pdf</v>
          </cell>
          <cell r="C687">
            <v>9781474410021</v>
          </cell>
        </row>
        <row r="688">
          <cell r="A688" t="str">
            <v>Disordered Violence: How Gender, Race and Heteronormativity Structure Terrorism</v>
          </cell>
          <cell r="B688" t="str">
            <v>Ebook - pdf</v>
          </cell>
          <cell r="C688">
            <v>9781474424813</v>
          </cell>
        </row>
        <row r="689">
          <cell r="A689" t="str">
            <v>Dissent After Disruption: Church and State in Scotland, 1843-63</v>
          </cell>
          <cell r="B689" t="str">
            <v>Ebook - pdf</v>
          </cell>
          <cell r="C689">
            <v>9781474482813</v>
          </cell>
        </row>
        <row r="690">
          <cell r="A690" t="str">
            <v>Dissenting Histories: Religious Division and the Politics of Memory in Eighteenth-Century England</v>
          </cell>
          <cell r="B690" t="str">
            <v>Ebook - pdf</v>
          </cell>
          <cell r="C690">
            <v>9780748629480</v>
          </cell>
        </row>
        <row r="691">
          <cell r="A691" t="str">
            <v>Distributed Cognition in Classical Antiquity</v>
          </cell>
          <cell r="B691" t="str">
            <v>Ebook - pdf</v>
          </cell>
          <cell r="C691">
            <v>9781474429764</v>
          </cell>
        </row>
        <row r="692">
          <cell r="A692" t="str">
            <v>Distributed Cognition in Enlightenment and Romantic Culture</v>
          </cell>
          <cell r="B692" t="str">
            <v>Ebook - pdf</v>
          </cell>
          <cell r="C692">
            <v>9781474442305</v>
          </cell>
        </row>
        <row r="693">
          <cell r="A693" t="str">
            <v>Distributed Cognition in Medieval and Renaissance Culture</v>
          </cell>
          <cell r="B693" t="str">
            <v>Ebook - pdf</v>
          </cell>
          <cell r="C693">
            <v>9781474438155</v>
          </cell>
        </row>
        <row r="694">
          <cell r="A694" t="str">
            <v>Distributed Cognition in Victorian Culture and Modernism</v>
          </cell>
          <cell r="B694" t="str">
            <v>Ebook - pdf</v>
          </cell>
          <cell r="C694">
            <v>9781474442268</v>
          </cell>
        </row>
        <row r="695">
          <cell r="A695" t="str">
            <v>Diversity and Integration in Private International Law</v>
          </cell>
          <cell r="B695" t="str">
            <v>Ebook - pdf</v>
          </cell>
          <cell r="C695">
            <v>9781474447874</v>
          </cell>
        </row>
        <row r="696">
          <cell r="A696" t="str">
            <v>Djuna Barnes and Affective Modernism</v>
          </cell>
          <cell r="B696" t="str">
            <v>Ebook - pdf</v>
          </cell>
          <cell r="C696">
            <v>9780748646760</v>
          </cell>
        </row>
        <row r="697">
          <cell r="A697" t="str">
            <v>Domination and Lordship: Scotland, 1070-1230</v>
          </cell>
          <cell r="B697" t="str">
            <v>Ebook - pdf</v>
          </cell>
          <cell r="C697">
            <v>9780748628476</v>
          </cell>
        </row>
        <row r="698">
          <cell r="A698" t="str">
            <v>Don Paterson: Contemporary Critical Essays</v>
          </cell>
          <cell r="B698" t="str">
            <v>Ebook - pdf</v>
          </cell>
          <cell r="C698">
            <v>9780748669424</v>
          </cell>
        </row>
        <row r="699">
          <cell r="A699" t="str">
            <v>Don Quixote in the Archives: Madness and Literature in Early Modern Spain</v>
          </cell>
          <cell r="B699" t="str">
            <v>Ebook - pdf</v>
          </cell>
          <cell r="C699">
            <v>9780748644643</v>
          </cell>
        </row>
        <row r="700">
          <cell r="A700" t="str">
            <v>Donald Trump and American Populism</v>
          </cell>
          <cell r="B700" t="str">
            <v>Ebook - pdf</v>
          </cell>
          <cell r="C700">
            <v>9781474450089</v>
          </cell>
        </row>
        <row r="701">
          <cell r="A701" t="str">
            <v>Doris Lessing and the Forming of History</v>
          </cell>
          <cell r="B701" t="str">
            <v>Ebook - pdf</v>
          </cell>
          <cell r="C701">
            <v>9781474414449</v>
          </cell>
        </row>
        <row r="702">
          <cell r="A702" t="str">
            <v>Douglas Sirk, Aesthetic Modernism and the Culture of Modernity</v>
          </cell>
          <cell r="B702" t="str">
            <v>Ebook - pdf</v>
          </cell>
          <cell r="C702">
            <v>9781474409407</v>
          </cell>
        </row>
        <row r="703">
          <cell r="A703" t="str">
            <v>Drawn from Life: Issues and Themes in Animated Documentary Cinema</v>
          </cell>
          <cell r="B703" t="str">
            <v>Ebook - pdf</v>
          </cell>
          <cell r="C703">
            <v>9780748694129</v>
          </cell>
        </row>
        <row r="704">
          <cell r="A704" t="str">
            <v>Dream I Tell You</v>
          </cell>
          <cell r="B704" t="str">
            <v>Ebook - pdf</v>
          </cell>
          <cell r="C704">
            <v>9781474465731</v>
          </cell>
        </row>
        <row r="705">
          <cell r="A705" t="str">
            <v>Dreaming of Freedom in South Africa: Literature Between Critique and Utopia</v>
          </cell>
          <cell r="B705" t="str">
            <v>Ebook - pdf</v>
          </cell>
          <cell r="C705">
            <v>9781474430234</v>
          </cell>
        </row>
        <row r="706">
          <cell r="A706" t="str">
            <v>Drivetime: Literary Excursions in Automotive Consciousness</v>
          </cell>
          <cell r="B706" t="str">
            <v>Ebook - pdf</v>
          </cell>
          <cell r="C706">
            <v>9780748690855</v>
          </cell>
        </row>
        <row r="707">
          <cell r="A707" t="str">
            <v>Driving to California: An Unconventional Introduction to Philosophy</v>
          </cell>
          <cell r="B707" t="str">
            <v>Ebook - pdf</v>
          </cell>
          <cell r="C707">
            <v>9780585060729</v>
          </cell>
        </row>
        <row r="708">
          <cell r="A708" t="str">
            <v>Dundee and the Empire: ‘Juteopolis’ 1850-1939</v>
          </cell>
          <cell r="B708" t="str">
            <v>Ebook - pdf</v>
          </cell>
          <cell r="C708">
            <v>9780748686155</v>
          </cell>
        </row>
        <row r="709">
          <cell r="A709" t="str">
            <v>Dundee Worthies: Reminiscences, Games and Amusements</v>
          </cell>
          <cell r="B709" t="str">
            <v>Ebook - pdf</v>
          </cell>
          <cell r="C709">
            <v>9781474470735</v>
          </cell>
        </row>
        <row r="710">
          <cell r="A710" t="str">
            <v>Dwelling in the Age of Climate Change: The Ethics of Adaptation</v>
          </cell>
          <cell r="B710" t="str">
            <v>Ebook - pdf</v>
          </cell>
          <cell r="C710">
            <v>9781474422970</v>
          </cell>
        </row>
        <row r="711">
          <cell r="A711" t="str">
            <v>E.L. Doctorow: A Reconsideration</v>
          </cell>
          <cell r="B711" t="str">
            <v>Ebook - pdf</v>
          </cell>
          <cell r="C711">
            <v>9781474458856</v>
          </cell>
        </row>
        <row r="712">
          <cell r="A712" t="str">
            <v>Early Cinema in Scotland</v>
          </cell>
          <cell r="B712" t="str">
            <v>Ebook - pdf</v>
          </cell>
          <cell r="C712">
            <v>9781474420358</v>
          </cell>
        </row>
        <row r="713">
          <cell r="A713" t="str">
            <v>Early Islam</v>
          </cell>
          <cell r="B713" t="str">
            <v>Ebook - pdf</v>
          </cell>
          <cell r="C713">
            <v>9781474473453</v>
          </cell>
        </row>
        <row r="714">
          <cell r="A714" t="str">
            <v>Early Modern English</v>
          </cell>
          <cell r="B714" t="str">
            <v>Ebook - pdf</v>
          </cell>
          <cell r="C714">
            <v>9780748687541</v>
          </cell>
        </row>
        <row r="715">
          <cell r="A715" t="str">
            <v>Early Rome to 290 BC: The Beginnings of the City and the Rise of the Republic</v>
          </cell>
          <cell r="B715" t="str">
            <v>Ebook - pdf</v>
          </cell>
          <cell r="C715">
            <v>9780748629343</v>
          </cell>
        </row>
        <row r="716">
          <cell r="A716" t="str">
            <v>Early Scottish Gardens: A Writer's Odyssey</v>
          </cell>
          <cell r="B716" t="str">
            <v>Ebook - pdf</v>
          </cell>
          <cell r="C716">
            <v>9781474470513</v>
          </cell>
        </row>
        <row r="717">
          <cell r="A717" t="str">
            <v>Earthbound: The Aesthetics of Sovereignty in the Anthropocene</v>
          </cell>
          <cell r="B717" t="str">
            <v>Ebook - pdf</v>
          </cell>
          <cell r="C717">
            <v>9781474455329</v>
          </cell>
        </row>
        <row r="718">
          <cell r="A718" t="str">
            <v>East, West and Centre: Reframing Post-1989 European Cinema</v>
          </cell>
          <cell r="B718" t="str">
            <v>Ebook - pdf</v>
          </cell>
          <cell r="C718">
            <v>9780748694167</v>
          </cell>
        </row>
        <row r="719">
          <cell r="A719" t="str">
            <v>Eastern Influences on Western Philosophy: A Reader</v>
          </cell>
          <cell r="B719" t="str">
            <v>Ebook - pdf</v>
          </cell>
          <cell r="C719">
            <v>9781474470469</v>
          </cell>
        </row>
        <row r="720">
          <cell r="A720" t="str">
            <v>Ebu's-su'ud</v>
          </cell>
          <cell r="B720" t="str">
            <v>Ebook - pdf</v>
          </cell>
          <cell r="C720">
            <v>9781474469449</v>
          </cell>
        </row>
        <row r="721">
          <cell r="A721" t="str">
            <v>Eclipsed Cinema: The Film Culture of Colonial Korea</v>
          </cell>
          <cell r="B721" t="str">
            <v>Ebook - pdf</v>
          </cell>
          <cell r="C721">
            <v>9781474421812</v>
          </cell>
        </row>
        <row r="722">
          <cell r="A722" t="str">
            <v>Ecologies of Architecture: Essays on Territorialisation</v>
          </cell>
          <cell r="B722" t="str">
            <v>Ebook - pdf</v>
          </cell>
          <cell r="C722">
            <v>9781474483032</v>
          </cell>
        </row>
        <row r="723">
          <cell r="A723" t="str">
            <v>Ecologism: An Introduction</v>
          </cell>
          <cell r="B723" t="str">
            <v>Ebook - pdf</v>
          </cell>
          <cell r="C723">
            <v>9781474464307</v>
          </cell>
        </row>
        <row r="724">
          <cell r="A724" t="str">
            <v>Ecology and Empire: Environmental History of Settler Societies</v>
          </cell>
          <cell r="B724" t="str">
            <v>Ebook - pdf</v>
          </cell>
          <cell r="C724">
            <v>9781474468657</v>
          </cell>
        </row>
        <row r="725">
          <cell r="A725" t="str">
            <v>Ecology and Modern Scottish Literature</v>
          </cell>
          <cell r="B725" t="str">
            <v>Ebook - pdf</v>
          </cell>
          <cell r="C725">
            <v>9780748631988</v>
          </cell>
        </row>
        <row r="726">
          <cell r="A726" t="str">
            <v>Economy and Society in Prehistoric Europe: Changing Perspectives</v>
          </cell>
          <cell r="B726" t="str">
            <v>Ebook - pdf</v>
          </cell>
          <cell r="C726">
            <v>9781474472562</v>
          </cell>
        </row>
        <row r="727">
          <cell r="A727" t="str">
            <v>Edinburgh - The Making of a Capital City</v>
          </cell>
          <cell r="B727" t="str">
            <v>Ebook - pdf</v>
          </cell>
          <cell r="C727">
            <v>9781474467988</v>
          </cell>
        </row>
        <row r="728">
          <cell r="A728" t="str">
            <v>Edinburgh Encyclopaedia of Modern Criticism and Theory</v>
          </cell>
          <cell r="B728" t="str">
            <v>Ebook - pdf</v>
          </cell>
          <cell r="C728">
            <v>9780748672554</v>
          </cell>
        </row>
        <row r="729">
          <cell r="A729" t="str">
            <v>Edinburgh Handbook of Evaluative Morphology</v>
          </cell>
          <cell r="B729" t="str">
            <v>Ebook - pdf</v>
          </cell>
          <cell r="C729">
            <v>9780748681754</v>
          </cell>
        </row>
        <row r="730">
          <cell r="A730" t="str">
            <v>Edmund Gosse: Father and Son</v>
          </cell>
          <cell r="B730" t="str">
            <v>Ebook - pdf</v>
          </cell>
          <cell r="C730">
            <v>9781474465816</v>
          </cell>
        </row>
        <row r="731">
          <cell r="A731" t="str">
            <v>Edmund Spenser's 'The Faerie Queene': A Reading Guide</v>
          </cell>
          <cell r="B731" t="str">
            <v>Ebook - pdf</v>
          </cell>
          <cell r="C731">
            <v>9780748646319</v>
          </cell>
        </row>
        <row r="732">
          <cell r="A732" t="str">
            <v>Edwin Muir: Poet, Critic and Novelist</v>
          </cell>
          <cell r="B732" t="str">
            <v>Ebook - pdf</v>
          </cell>
          <cell r="C732">
            <v>9781474471510</v>
          </cell>
        </row>
        <row r="733">
          <cell r="A733" t="str">
            <v>Egypt 1919: The Revolution in Literature and Film</v>
          </cell>
          <cell r="B733" t="str">
            <v>Ebook - pdf</v>
          </cell>
          <cell r="C733">
            <v>9781474458382</v>
          </cell>
        </row>
        <row r="734">
          <cell r="A734" t="str">
            <v>Eighteenth-Century British Literature and Postcolonial Studies</v>
          </cell>
          <cell r="B734" t="str">
            <v>Ebook - pdf</v>
          </cell>
          <cell r="C734">
            <v>9780748634569</v>
          </cell>
        </row>
        <row r="735">
          <cell r="A735" t="str">
            <v>Eleanor of Aquitaine: Queen and Rebel</v>
          </cell>
          <cell r="B735" t="str">
            <v>Ebook - pdf</v>
          </cell>
          <cell r="C735">
            <v>9781474481281</v>
          </cell>
        </row>
        <row r="736">
          <cell r="A736" t="str">
            <v>Electoral Systems and Voting in the United Kingdom</v>
          </cell>
          <cell r="B736" t="str">
            <v>Ebook - pdf</v>
          </cell>
          <cell r="C736">
            <v>9780748631544</v>
          </cell>
        </row>
        <row r="737">
          <cell r="A737" t="str">
            <v>Eleftherios Venizelos: The Trials of Statesmanship</v>
          </cell>
          <cell r="B737" t="str">
            <v>Ebook - pdf</v>
          </cell>
          <cell r="C737">
            <v>9780748627004</v>
          </cell>
        </row>
        <row r="738">
          <cell r="A738" t="str">
            <v>Elements in Political Science</v>
          </cell>
          <cell r="B738" t="str">
            <v>Ebook - pdf</v>
          </cell>
          <cell r="C738">
            <v>9781474400534</v>
          </cell>
        </row>
        <row r="739">
          <cell r="A739" t="str">
            <v>Elements of Formal Semantics: An Introduction to the Mathematical Theory of Meaning in Natural Language</v>
          </cell>
          <cell r="B739" t="str">
            <v>Ebook - pdf</v>
          </cell>
          <cell r="C739">
            <v>9780748677771</v>
          </cell>
        </row>
        <row r="740">
          <cell r="A740" t="str">
            <v>Elements of General Phonetics</v>
          </cell>
          <cell r="B740" t="str">
            <v>Ebook - pdf</v>
          </cell>
          <cell r="C740">
            <v>9781474463775</v>
          </cell>
        </row>
        <row r="741">
          <cell r="A741" t="str">
            <v>Eliot and Beckett’s Low Modernism: Humility and Humiliation</v>
          </cell>
          <cell r="B741" t="str">
            <v>Ebook - pdf</v>
          </cell>
          <cell r="C741">
            <v>9781474479059</v>
          </cell>
        </row>
        <row r="742">
          <cell r="A742" t="str">
            <v>Elizabeth Barrett Browning's 'Aurora Leigh': A Reading Guide</v>
          </cell>
          <cell r="B742" t="str">
            <v>Ebook - pdf</v>
          </cell>
          <cell r="C742">
            <v>9780748654413</v>
          </cell>
        </row>
        <row r="743">
          <cell r="A743" t="str">
            <v>Elizabeth Bishop: Lines of Connection</v>
          </cell>
          <cell r="B743" t="str">
            <v>Ebook - pdf</v>
          </cell>
          <cell r="C743">
            <v>9780748665754</v>
          </cell>
        </row>
        <row r="744">
          <cell r="A744" t="str">
            <v>Elizabeth Bowen: The Shadow Across the Page</v>
          </cell>
          <cell r="B744" t="str">
            <v>Ebook - pdf</v>
          </cell>
          <cell r="C744">
            <v>9781474497114</v>
          </cell>
        </row>
        <row r="745">
          <cell r="A745" t="str">
            <v>Elizabeth Bowen: Theory, Thought and Things</v>
          </cell>
          <cell r="B745" t="str">
            <v>Ebook - pdf</v>
          </cell>
          <cell r="C745">
            <v>9781474458665</v>
          </cell>
        </row>
        <row r="746">
          <cell r="A746" t="str">
            <v>Elizabeth Bowen’s Psychoanalytic Fiction</v>
          </cell>
          <cell r="B746" t="str">
            <v>Ebook - pdf</v>
          </cell>
          <cell r="C746">
            <v>9781474480512</v>
          </cell>
        </row>
        <row r="747">
          <cell r="A747" t="str">
            <v>Elizabeth Cary: The Tragedy of Mariam</v>
          </cell>
          <cell r="B747" t="str">
            <v>Ebook - pdf</v>
          </cell>
          <cell r="C747">
            <v>9781474469180</v>
          </cell>
        </row>
        <row r="748">
          <cell r="A748" t="str">
            <v>Elizabeth Robins Pennell: Critical Essays</v>
          </cell>
          <cell r="B748" t="str">
            <v>Ebook - pdf</v>
          </cell>
          <cell r="C748">
            <v>9781474475389</v>
          </cell>
        </row>
        <row r="749">
          <cell r="A749" t="str">
            <v>Emergence of Modern Humans: An Archaeological Perspective</v>
          </cell>
          <cell r="B749" t="str">
            <v>Ebook - pdf</v>
          </cell>
          <cell r="C749">
            <v>9781474470957</v>
          </cell>
        </row>
        <row r="750">
          <cell r="A750" t="str">
            <v>Empathy and the Psychology of Literary Modernism</v>
          </cell>
          <cell r="B750" t="str">
            <v>Ebook - pdf</v>
          </cell>
          <cell r="C750">
            <v>9780748690992</v>
          </cell>
        </row>
        <row r="751">
          <cell r="A751" t="str">
            <v>Empathy and the Strangeness of Fiction: Readings in French Realism</v>
          </cell>
          <cell r="B751" t="str">
            <v>Ebook - pdf</v>
          </cell>
          <cell r="C751">
            <v>9781474463058</v>
          </cell>
        </row>
        <row r="752">
          <cell r="A752" t="str">
            <v>Empire and Scottish Society: The Impact of Foreign Missions at Home, c. 1790 to c. 1914</v>
          </cell>
          <cell r="B752" t="str">
            <v>Ebook - pdf</v>
          </cell>
          <cell r="C752">
            <v>9780748636211</v>
          </cell>
        </row>
        <row r="753">
          <cell r="A753" t="str">
            <v>Empires of Belief: Why We Need More Scepticism and Doubt in the Twenty-First Century</v>
          </cell>
          <cell r="B753" t="str">
            <v>Ebook - pdf</v>
          </cell>
          <cell r="C753">
            <v>9780748626946</v>
          </cell>
        </row>
        <row r="754">
          <cell r="A754" t="str">
            <v>Employment Law Essentials</v>
          </cell>
          <cell r="B754" t="str">
            <v>Ebook - pdf</v>
          </cell>
          <cell r="C754">
            <v>9780748698158</v>
          </cell>
        </row>
        <row r="755">
          <cell r="A755" t="str">
            <v xml:space="preserve">Encyclopedias about Muslim Civilisations </v>
          </cell>
          <cell r="B755" t="str">
            <v>Ebook - pdf</v>
          </cell>
          <cell r="C755">
            <v>9781474469821</v>
          </cell>
        </row>
        <row r="756">
          <cell r="A756" t="str">
            <v>Engaging Dialogue: Cinematic Verbalism in American Independent Cinema</v>
          </cell>
          <cell r="B756" t="str">
            <v>Ebook - pdf</v>
          </cell>
          <cell r="C756">
            <v>9781474420631</v>
          </cell>
        </row>
        <row r="757">
          <cell r="A757" t="str">
            <v>English Historical Pragmatics</v>
          </cell>
          <cell r="B757" t="str">
            <v>Ebook - pdf</v>
          </cell>
          <cell r="C757">
            <v>9780748644704</v>
          </cell>
        </row>
        <row r="758">
          <cell r="A758" t="str">
            <v>English Historical Semantics</v>
          </cell>
          <cell r="B758" t="str">
            <v>Ebook - pdf</v>
          </cell>
          <cell r="C758">
            <v>9780748644797</v>
          </cell>
        </row>
        <row r="759">
          <cell r="A759" t="str">
            <v>English Historical Sociolinguistics</v>
          </cell>
          <cell r="B759" t="str">
            <v>Ebook - pdf</v>
          </cell>
          <cell r="C759">
            <v>9780748664382</v>
          </cell>
        </row>
        <row r="760">
          <cell r="A760" t="str">
            <v>English Literature of the 1920s</v>
          </cell>
          <cell r="B760" t="str">
            <v>Ebook - pdf</v>
          </cell>
          <cell r="C760">
            <v>9781474400503</v>
          </cell>
        </row>
        <row r="761">
          <cell r="A761" t="str">
            <v>English Syntax: A Minimalist Approach to Structure and Variation</v>
          </cell>
          <cell r="B761" t="str">
            <v>Ebook - pdf</v>
          </cell>
          <cell r="C761">
            <v>9781474425537</v>
          </cell>
        </row>
        <row r="762">
          <cell r="A762" t="str">
            <v xml:space="preserve">Englishness: Twentieth-Century Popular Culture and the Forming of English Identity </v>
          </cell>
          <cell r="B762" t="str">
            <v>Ebook - pdf</v>
          </cell>
          <cell r="C762">
            <v>9780748632541</v>
          </cell>
        </row>
        <row r="763">
          <cell r="A763" t="str">
            <v>Enlightenment and Change: Scotland 1746-1832</v>
          </cell>
          <cell r="B763" t="str">
            <v>Ebook - pdf</v>
          </cell>
          <cell r="C763">
            <v>9780748630790</v>
          </cell>
        </row>
        <row r="764">
          <cell r="A764" t="str">
            <v>Enlightenment and Change: Scotland 1746-1832</v>
          </cell>
          <cell r="B764" t="str">
            <v>Ebook - pdf</v>
          </cell>
          <cell r="C764">
            <v>9781474470216</v>
          </cell>
        </row>
        <row r="765">
          <cell r="A765" t="str">
            <v>Enlightenment in a Smart City: Edinburgh's Civic Development, 1660-1750</v>
          </cell>
          <cell r="B765" t="str">
            <v>Ebook - pdf</v>
          </cell>
          <cell r="C765">
            <v>9781474416610</v>
          </cell>
        </row>
        <row r="766">
          <cell r="A766" t="str">
            <v>Enlightenment, Legal Education, and Critique: Selected Essays on the History of Scots Law, Volume 2</v>
          </cell>
          <cell r="B766" t="str">
            <v>Ebook - pdf</v>
          </cell>
          <cell r="C766">
            <v>9780748682140</v>
          </cell>
        </row>
        <row r="767">
          <cell r="A767" t="str">
            <v>Ensemblance: The Transnational Genealogy of Esprit de Corps</v>
          </cell>
          <cell r="B767" t="str">
            <v>Ebook - pdf</v>
          </cell>
          <cell r="C767">
            <v>9781474454223</v>
          </cell>
        </row>
        <row r="768">
          <cell r="A768" t="str">
            <v>Environmental Law in Scotland: An Introduction and Guide</v>
          </cell>
          <cell r="B768" t="str">
            <v>Ebook - pdf</v>
          </cell>
          <cell r="C768">
            <v>9780748668991</v>
          </cell>
        </row>
        <row r="769">
          <cell r="A769" t="str">
            <v>Envy, Spite and Jealousy: The Rivalrous Emotions in Ancient Greece</v>
          </cell>
          <cell r="B769" t="str">
            <v>Ebook - pdf</v>
          </cell>
          <cell r="C769">
            <v>9781474469937</v>
          </cell>
        </row>
        <row r="770">
          <cell r="A770" t="str">
            <v>Epic Heroes on Screen</v>
          </cell>
          <cell r="B770" t="str">
            <v>Ebook - pdf</v>
          </cell>
          <cell r="C770">
            <v>9781474424523</v>
          </cell>
        </row>
        <row r="771">
          <cell r="A771" t="str">
            <v>Epistemology A–Z</v>
          </cell>
          <cell r="B771" t="str">
            <v>Ebook - pdf</v>
          </cell>
          <cell r="C771">
            <v>9780748680825</v>
          </cell>
        </row>
        <row r="772">
          <cell r="A772" t="str">
            <v>Erdoğan: The Making of an Autocrat</v>
          </cell>
          <cell r="B772" t="str">
            <v>Ebook - pdf</v>
          </cell>
          <cell r="C772">
            <v>9781474483278</v>
          </cell>
        </row>
        <row r="773">
          <cell r="A773" t="str">
            <v>Espionage and Exile: Fascism and Anti-Fascism in British Spy Fiction and Film</v>
          </cell>
          <cell r="B773" t="str">
            <v>Ebook - pdf</v>
          </cell>
          <cell r="C773">
            <v>9781474401111</v>
          </cell>
        </row>
        <row r="774">
          <cell r="A774" t="str">
            <v>Essays I: Virginibus Puerisque and Other Papers</v>
          </cell>
          <cell r="B774" t="str">
            <v>Ebook - pdf</v>
          </cell>
          <cell r="C774">
            <v>9780748643851</v>
          </cell>
        </row>
        <row r="775">
          <cell r="A775" t="str">
            <v>Essays in Criminal Law in Honour of Sir Gerald Gordon</v>
          </cell>
          <cell r="B775" t="str">
            <v>Ebook - pdf</v>
          </cell>
          <cell r="C775">
            <v>9780748679294</v>
          </cell>
        </row>
        <row r="776">
          <cell r="A776" t="str">
            <v>Essays on Deleuze</v>
          </cell>
          <cell r="B776" t="str">
            <v>Ebook - pdf</v>
          </cell>
          <cell r="C776">
            <v>9780748643349</v>
          </cell>
        </row>
        <row r="777">
          <cell r="A777" t="str">
            <v>Essays on Hume, Smith and the Scottish Enlightenment</v>
          </cell>
          <cell r="B777" t="str">
            <v>Ebook - pdf</v>
          </cell>
          <cell r="C777">
            <v>9781474415026</v>
          </cell>
        </row>
        <row r="778">
          <cell r="A778" t="str">
            <v>Essays on Politics and Literature</v>
          </cell>
          <cell r="B778" t="str">
            <v>Ebook - pdf</v>
          </cell>
          <cell r="C778">
            <v>9780748672615</v>
          </cell>
        </row>
        <row r="779">
          <cell r="A779" t="str">
            <v>Essays on Women, Medicine &amp; Health</v>
          </cell>
          <cell r="B779" t="str">
            <v>Ebook - pdf</v>
          </cell>
          <cell r="C779">
            <v>9781474471398</v>
          </cell>
        </row>
        <row r="780">
          <cell r="A780" t="str">
            <v>Essays, Moral, Political and Economic: Hume Papers on Public Policy Volume 6 No 4</v>
          </cell>
          <cell r="B780" t="str">
            <v>Ebook - pdf</v>
          </cell>
          <cell r="C780">
            <v>9780585159027</v>
          </cell>
        </row>
        <row r="781">
          <cell r="A781" t="str">
            <v>Essential Programming for Linguistics</v>
          </cell>
          <cell r="B781" t="str">
            <v>Ebook - pdf</v>
          </cell>
          <cell r="C781">
            <v>9780748641833</v>
          </cell>
        </row>
        <row r="782">
          <cell r="A782" t="str">
            <v>Essential Skills in Arabic: From Intermediate to Advanced</v>
          </cell>
          <cell r="B782" t="str">
            <v>Ebook - pdf</v>
          </cell>
          <cell r="C782">
            <v>9781474401517</v>
          </cell>
        </row>
        <row r="783">
          <cell r="A783" t="str">
            <v>Ethical Criticism: Reading After Levinas</v>
          </cell>
          <cell r="B783" t="str">
            <v>Ebook - pdf</v>
          </cell>
          <cell r="C783">
            <v>9781474467957</v>
          </cell>
        </row>
        <row r="784">
          <cell r="A784" t="str">
            <v>Ethical Issues in Six Religious Traditions</v>
          </cell>
          <cell r="B784" t="str">
            <v>Ebook - pdf</v>
          </cell>
          <cell r="C784">
            <v>9780748630028</v>
          </cell>
        </row>
        <row r="785">
          <cell r="A785" t="str">
            <v>Ethical Subjects in Contemporary Culture</v>
          </cell>
          <cell r="B785" t="str">
            <v>Ebook - pdf</v>
          </cell>
          <cell r="C785">
            <v>9780748681662</v>
          </cell>
        </row>
        <row r="786">
          <cell r="A786" t="str">
            <v>Ethics and Politics after Poststructuralism: Levinas, Derrida and Nancy</v>
          </cell>
          <cell r="B786" t="str">
            <v>Ebook - pdf</v>
          </cell>
          <cell r="C786">
            <v>9780748685141</v>
          </cell>
        </row>
        <row r="787">
          <cell r="A787" t="str">
            <v>Ethics A–Z</v>
          </cell>
          <cell r="B787" t="str">
            <v>Ebook - pdf</v>
          </cell>
          <cell r="C787">
            <v>9781474469548</v>
          </cell>
        </row>
        <row r="788">
          <cell r="A788" t="str">
            <v>Ethics in Public Service</v>
          </cell>
          <cell r="B788" t="str">
            <v>Ebook - pdf</v>
          </cell>
          <cell r="C788">
            <v>9781474465663</v>
          </cell>
        </row>
        <row r="789">
          <cell r="A789" t="str">
            <v>Ethics of Drone Strikes: Restraining Remote-Control Killing</v>
          </cell>
          <cell r="B789" t="str">
            <v>Ebook - pdf</v>
          </cell>
          <cell r="C789">
            <v>9781474483599</v>
          </cell>
        </row>
        <row r="790">
          <cell r="A790" t="str">
            <v>Ethics, Economics and International Relations</v>
          </cell>
          <cell r="B790" t="str">
            <v>Ebook - pdf</v>
          </cell>
          <cell r="C790">
            <v>9780748633982</v>
          </cell>
        </row>
        <row r="791">
          <cell r="A791" t="str">
            <v>Ethnicity and Cultural Authority: From Arnold to Du Bois</v>
          </cell>
          <cell r="B791" t="str">
            <v>Ebook - pdf</v>
          </cell>
          <cell r="C791">
            <v>9780748626274</v>
          </cell>
        </row>
        <row r="792">
          <cell r="A792" t="str">
            <v>Ethnicity and the Making of History in Northern Ghana</v>
          </cell>
          <cell r="B792" t="str">
            <v>Ebook - pdf</v>
          </cell>
          <cell r="C792">
            <v>9780748626847</v>
          </cell>
        </row>
        <row r="793">
          <cell r="A793" t="str">
            <v>Ethnographies of Islam: Ritual Performances and Everyday Practices</v>
          </cell>
          <cell r="B793" t="str">
            <v>Ebook - pdf</v>
          </cell>
          <cell r="C793">
            <v>9780748645510</v>
          </cell>
        </row>
        <row r="794">
          <cell r="A794" t="str">
            <v>EU Diplomacy and the Israeli–Arab Conflict, 1967–2019</v>
          </cell>
          <cell r="B794" t="str">
            <v>Ebook - pdf</v>
          </cell>
          <cell r="C794">
            <v>9781474474757</v>
          </cell>
        </row>
        <row r="795">
          <cell r="A795" t="str">
            <v>Europe after Derrida: Crisis and Potentiality</v>
          </cell>
          <cell r="B795" t="str">
            <v>Ebook - pdf</v>
          </cell>
          <cell r="C795">
            <v>9780748683376</v>
          </cell>
        </row>
        <row r="796">
          <cell r="A796" t="str">
            <v>European Cinemas in the Television Age</v>
          </cell>
          <cell r="B796" t="str">
            <v>Ebook - pdf</v>
          </cell>
          <cell r="C796">
            <v>9780748629947</v>
          </cell>
        </row>
        <row r="797">
          <cell r="A797" t="str">
            <v>European Contract Law: Scots and South African Perspectives</v>
          </cell>
          <cell r="B797" t="str">
            <v>Ebook - pdf</v>
          </cell>
          <cell r="C797">
            <v>9781474470582</v>
          </cell>
        </row>
        <row r="798">
          <cell r="A798" t="str">
            <v>European Film Remakes</v>
          </cell>
          <cell r="B798" t="str">
            <v>Ebook - pdf</v>
          </cell>
          <cell r="C798">
            <v>9781474460668</v>
          </cell>
        </row>
        <row r="799">
          <cell r="A799" t="str">
            <v>European Film Theory and Cinema: A Critical Introduction</v>
          </cell>
          <cell r="B799" t="str">
            <v>Ebook - pdf</v>
          </cell>
          <cell r="C799">
            <v>9780748673346</v>
          </cell>
        </row>
        <row r="800">
          <cell r="A800" t="str">
            <v>European Integration: Historical Trajectories, Geopolitical Contexts</v>
          </cell>
          <cell r="B800" t="str">
            <v>Ebook - pdf</v>
          </cell>
          <cell r="C800">
            <v>9781474455916</v>
          </cell>
        </row>
        <row r="801">
          <cell r="A801" t="str">
            <v>European Law Essentials</v>
          </cell>
          <cell r="B801" t="str">
            <v>Ebook - pdf</v>
          </cell>
          <cell r="C801">
            <v>9780748698165</v>
          </cell>
        </row>
        <row r="802">
          <cell r="A802" t="str">
            <v>European Multiculturalisms: Cultural, Religious and Ethnic Challenges</v>
          </cell>
          <cell r="B802" t="str">
            <v>Ebook - pdf</v>
          </cell>
          <cell r="C802">
            <v>9780748644537</v>
          </cell>
        </row>
        <row r="803">
          <cell r="A803" t="str">
            <v>Euthanasia - Choice and Death</v>
          </cell>
          <cell r="B803" t="str">
            <v>Ebook - pdf</v>
          </cell>
          <cell r="C803">
            <v>9781474473354</v>
          </cell>
        </row>
        <row r="804">
          <cell r="A804" t="str">
            <v>Evaluating Shelley</v>
          </cell>
          <cell r="B804" t="str">
            <v>Ebook - pdf</v>
          </cell>
          <cell r="C804">
            <v>9781474465762</v>
          </cell>
        </row>
        <row r="805">
          <cell r="A805" t="str">
            <v>Ever to Excel: An Illustrated History of the University of St Andrews</v>
          </cell>
          <cell r="B805" t="str">
            <v>Ebook - pdf</v>
          </cell>
          <cell r="C805">
            <v>9781474471930</v>
          </cell>
        </row>
        <row r="806">
          <cell r="A806" t="str">
            <v>Everyday English 1500-1700: A Reader</v>
          </cell>
          <cell r="B806" t="str">
            <v>Ebook - pdf</v>
          </cell>
          <cell r="C806">
            <v>9781474466004</v>
          </cell>
        </row>
        <row r="807">
          <cell r="A807" t="str">
            <v>Evictions in Scotland</v>
          </cell>
          <cell r="B807" t="str">
            <v>Ebook - pdf</v>
          </cell>
          <cell r="C807">
            <v>9781474482707</v>
          </cell>
        </row>
        <row r="808">
          <cell r="A808" t="str">
            <v>Evidence and Proof in Scotland: Context and Critique</v>
          </cell>
          <cell r="B808" t="str">
            <v>Ebook - pdf</v>
          </cell>
          <cell r="C808">
            <v>9781474412018</v>
          </cell>
        </row>
        <row r="809">
          <cell r="A809" t="str">
            <v>Evil in Contemporary Political Theory</v>
          </cell>
          <cell r="B809" t="str">
            <v>Ebook - pdf</v>
          </cell>
          <cell r="C809">
            <v>9780748654123</v>
          </cell>
        </row>
        <row r="810">
          <cell r="A810" t="str">
            <v>Evil in the Western Philosophical Tradition</v>
          </cell>
          <cell r="B810" t="str">
            <v>Ebook - pdf</v>
          </cell>
          <cell r="C810">
            <v>9781474445344</v>
          </cell>
        </row>
        <row r="811">
          <cell r="A811" t="str">
            <v>Evolution Before Darwin: Theories of the Transmutation of Species in Edinburgh, 1804–1834</v>
          </cell>
          <cell r="B811" t="str">
            <v>Ebook - pdf</v>
          </cell>
          <cell r="C811">
            <v>9781474445801</v>
          </cell>
        </row>
        <row r="812">
          <cell r="A812" t="str">
            <v>Experience and Eternity in Spinoza</v>
          </cell>
          <cell r="B812" t="str">
            <v>Ebook - pdf</v>
          </cell>
          <cell r="C812">
            <v>9781474438919</v>
          </cell>
        </row>
        <row r="813">
          <cell r="A813" t="str">
            <v>Experimental and Independent Italian Cinema: Legacies and Transformations into the Twenty-First Century</v>
          </cell>
          <cell r="B813" t="str">
            <v>Ebook - pdf</v>
          </cell>
          <cell r="C813">
            <v>9781474474054</v>
          </cell>
        </row>
        <row r="814">
          <cell r="A814" t="str">
            <v>Exploring Arab Folk Literature</v>
          </cell>
          <cell r="B814" t="str">
            <v>Ebook - pdf</v>
          </cell>
          <cell r="C814">
            <v>9780748654055</v>
          </cell>
        </row>
        <row r="815">
          <cell r="A815" t="str">
            <v>Exploring Environmental History: Selected Essays</v>
          </cell>
          <cell r="B815" t="str">
            <v>Ebook - pdf</v>
          </cell>
          <cell r="C815">
            <v>9780748635146</v>
          </cell>
        </row>
        <row r="816">
          <cell r="A816" t="str">
            <v>Exploring Gender Diversity in the Ancient World</v>
          </cell>
          <cell r="B816" t="str">
            <v>Ebook - pdf</v>
          </cell>
          <cell r="C816">
            <v>9781474447065</v>
          </cell>
        </row>
        <row r="817">
          <cell r="A817" t="str">
            <v>Exploring the Ecology of World Englishes in the Twenty-first Century: Language, Society and Culture</v>
          </cell>
          <cell r="B817" t="str">
            <v>Ebook - pdf</v>
          </cell>
          <cell r="C817">
            <v>9781474462877</v>
          </cell>
        </row>
        <row r="818">
          <cell r="A818" t="str">
            <v>Exploring the Law of Succession: Studies National, Historical and Comparative</v>
          </cell>
          <cell r="B818" t="str">
            <v>Ebook - pdf</v>
          </cell>
          <cell r="C818">
            <v>9781474471947</v>
          </cell>
        </row>
        <row r="819">
          <cell r="A819" t="str">
            <v>Exploring Victorian Travel Literature: Disease, Race and Climate</v>
          </cell>
          <cell r="B819" t="str">
            <v>Ebook - pdf</v>
          </cell>
          <cell r="C819">
            <v>9780748692965</v>
          </cell>
        </row>
        <row r="820">
          <cell r="A820" t="str">
            <v>Exploring Visual Culture: Definitions, Concepts, Contexts</v>
          </cell>
          <cell r="B820" t="str">
            <v>Ebook - pdf</v>
          </cell>
          <cell r="C820">
            <v>9781474471879</v>
          </cell>
        </row>
        <row r="821">
          <cell r="A821" t="str">
            <v>Expressionism in the Cinema</v>
          </cell>
          <cell r="B821" t="str">
            <v>Ebook - pdf</v>
          </cell>
          <cell r="C821">
            <v>9781474403269</v>
          </cell>
        </row>
        <row r="822">
          <cell r="A822" t="str">
            <v>Extraterritoriality: Locating Hong Kong Cinema and Media</v>
          </cell>
          <cell r="B822" t="str">
            <v>Ebook - pdf</v>
          </cell>
          <cell r="C822">
            <v>9781474440448</v>
          </cell>
        </row>
        <row r="823">
          <cell r="A823" t="str">
            <v>Extreme Asia: The Rise of Cult Cinema from the Far East</v>
          </cell>
          <cell r="B823" t="str">
            <v>Ebook - pdf</v>
          </cell>
          <cell r="C823">
            <v>9780748697465</v>
          </cell>
        </row>
        <row r="824">
          <cell r="A824" t="str">
            <v>Extreme Cinema: Affective Strategies in Transnational Media</v>
          </cell>
          <cell r="B824" t="str">
            <v>Ebook - pdf</v>
          </cell>
          <cell r="C824">
            <v>9781474402910</v>
          </cell>
        </row>
        <row r="825">
          <cell r="A825" t="str">
            <v>Ezra Pound's Early Verse and Lyric Tradition: A Jargoner's Apprenticeship</v>
          </cell>
          <cell r="B825" t="str">
            <v>Ebook - pdf</v>
          </cell>
          <cell r="C825">
            <v>9780748646180</v>
          </cell>
        </row>
        <row r="826">
          <cell r="A826" t="str">
            <v>F. Scott Fitzgerald’s Short Fiction: From Ragtime to Swing Time</v>
          </cell>
          <cell r="B826" t="str">
            <v>Ebook - pdf</v>
          </cell>
          <cell r="C826">
            <v>9781474424691</v>
          </cell>
        </row>
        <row r="827">
          <cell r="A827" t="str">
            <v>Face-to-Face in Shakespearean Drama: Ethics, Performance, Philosophy</v>
          </cell>
          <cell r="B827" t="str">
            <v>Ebook - pdf</v>
          </cell>
          <cell r="C827">
            <v>9781474435703</v>
          </cell>
        </row>
        <row r="828">
          <cell r="A828" t="str">
            <v>Faith Beyond Reason</v>
          </cell>
          <cell r="B828" t="str">
            <v>Ebook - pdf</v>
          </cell>
          <cell r="C828">
            <v>9780585159096</v>
          </cell>
        </row>
        <row r="829">
          <cell r="A829" t="str">
            <v>Famine in Scotland - the 'Ill Years' of the 1690s</v>
          </cell>
          <cell r="B829" t="str">
            <v>Ebook - pdf</v>
          </cell>
          <cell r="C829">
            <v>9780748641840</v>
          </cell>
        </row>
        <row r="830">
          <cell r="A830" t="str">
            <v>Far from Heaven</v>
          </cell>
          <cell r="B830" t="str">
            <v>Ebook - pdf</v>
          </cell>
          <cell r="C830">
            <v>9780748647026</v>
          </cell>
        </row>
        <row r="831">
          <cell r="A831" t="str">
            <v>Far-Flung Families in Film: The Diasporic Family in Contemporary European Cinema</v>
          </cell>
          <cell r="B831" t="str">
            <v>Ebook - pdf</v>
          </cell>
          <cell r="C831">
            <v>9780748677856</v>
          </cell>
        </row>
        <row r="832">
          <cell r="A832" t="str">
            <v>Fashion and Materialism</v>
          </cell>
          <cell r="B832" t="str">
            <v>Ebook - pdf</v>
          </cell>
          <cell r="C832">
            <v>9781474407922</v>
          </cell>
        </row>
        <row r="833">
          <cell r="A833" t="str">
            <v>Fashion on the Red Carpet: A History of the Oscars®, Fashion and Globalisation</v>
          </cell>
          <cell r="B833" t="str">
            <v>Ebook - pdf</v>
          </cell>
          <cell r="C833">
            <v>9781474461825</v>
          </cell>
        </row>
        <row r="834">
          <cell r="A834" t="str">
            <v>Fear and the Making of Foreign Policy: Europe and Beyond</v>
          </cell>
          <cell r="B834" t="str">
            <v>Ebook - pdf</v>
          </cell>
          <cell r="C834">
            <v>9780748699025</v>
          </cell>
        </row>
        <row r="835">
          <cell r="A835" t="str">
            <v>Félix Guattari in the Age of Semiocapitalism: Deleuze Studies Volume 6, Issue 2</v>
          </cell>
          <cell r="B835" t="str">
            <v>Ebook - pdf</v>
          </cell>
          <cell r="C835">
            <v>9781474468404</v>
          </cell>
        </row>
        <row r="836">
          <cell r="A836" t="str">
            <v>Felix Guattari's Schizoanalytic Ecology</v>
          </cell>
          <cell r="B836" t="str">
            <v>Ebook - pdf</v>
          </cell>
          <cell r="C836">
            <v>9781474450782</v>
          </cell>
        </row>
        <row r="837">
          <cell r="A837" t="str">
            <v>Female Agency and Documentary Strategies: Subjectivities, Identity and Activism</v>
          </cell>
          <cell r="B837" t="str">
            <v>Ebook - pdf</v>
          </cell>
          <cell r="C837">
            <v>9781474419482</v>
          </cell>
        </row>
        <row r="838">
          <cell r="A838" t="str">
            <v>Female Authorship and the Documentary Image: Theory, Practice and Aesthetics</v>
          </cell>
          <cell r="B838" t="str">
            <v>Ebook - pdf</v>
          </cell>
          <cell r="C838">
            <v>9781474419451</v>
          </cell>
        </row>
        <row r="839">
          <cell r="A839" t="str">
            <v>Female Stars of British Cinema: The Women in Question</v>
          </cell>
          <cell r="B839" t="str">
            <v>Ebook - pdf</v>
          </cell>
          <cell r="C839">
            <v>9781474405652</v>
          </cell>
        </row>
        <row r="840">
          <cell r="A840" t="str">
            <v>Feminism and Film</v>
          </cell>
          <cell r="B840" t="str">
            <v>Ebook - pdf</v>
          </cell>
          <cell r="C840">
            <v>9781474469388</v>
          </cell>
        </row>
        <row r="841">
          <cell r="A841" t="str">
            <v>Feminism and Sexuality: A Reader</v>
          </cell>
          <cell r="B841" t="str">
            <v>Ebook - pdf</v>
          </cell>
          <cell r="C841">
            <v>9781474469517</v>
          </cell>
        </row>
        <row r="842">
          <cell r="A842" t="str">
            <v>Feminism and the Biological Body</v>
          </cell>
          <cell r="B842" t="str">
            <v>Ebook - pdf</v>
          </cell>
          <cell r="C842">
            <v>9781474464437</v>
          </cell>
        </row>
        <row r="843">
          <cell r="A843" t="str">
            <v>Feminism and Women’s Writing: An Introduction</v>
          </cell>
          <cell r="B843" t="str">
            <v>Ebook - pdf</v>
          </cell>
          <cell r="C843">
            <v>9781474415613</v>
          </cell>
        </row>
        <row r="844">
          <cell r="A844" t="str">
            <v>Feminist Destinations and Further Essays on Virginia Woolf</v>
          </cell>
          <cell r="B844" t="str">
            <v>Ebook - pdf</v>
          </cell>
          <cell r="C844">
            <v>9780748672622</v>
          </cell>
        </row>
        <row r="845">
          <cell r="A845" t="str">
            <v>Feminist Film Theory: A Reader</v>
          </cell>
          <cell r="B845" t="str">
            <v>Ebook - pdf</v>
          </cell>
          <cell r="C845">
            <v>9781474473224</v>
          </cell>
        </row>
        <row r="846">
          <cell r="A846" t="str">
            <v>Feminist Philosophies A–Z</v>
          </cell>
          <cell r="B846" t="str">
            <v>Ebook - pdf</v>
          </cell>
          <cell r="C846">
            <v>9780748629497</v>
          </cell>
        </row>
        <row r="847">
          <cell r="A847" t="str">
            <v>Feminist Postcolonial Theory: A Reader</v>
          </cell>
          <cell r="B847" t="str">
            <v>Ebook - pdf</v>
          </cell>
          <cell r="C847">
            <v>9781474470254</v>
          </cell>
        </row>
        <row r="848">
          <cell r="A848" t="str">
            <v>Feminist Theory and the Body: A Reader</v>
          </cell>
          <cell r="B848" t="str">
            <v>Ebook - pdf</v>
          </cell>
          <cell r="C848">
            <v>9781474471770</v>
          </cell>
        </row>
        <row r="849">
          <cell r="A849" t="str">
            <v>Feminist Visual Culture</v>
          </cell>
          <cell r="B849" t="str">
            <v>Ebook - pdf</v>
          </cell>
          <cell r="C849">
            <v>9781474465649</v>
          </cell>
        </row>
        <row r="850">
          <cell r="A850" t="str">
            <v>Feuds, Forays and Rebellions: History of the Highland Clans 1475-1625</v>
          </cell>
          <cell r="B850" t="str">
            <v>Ebook - pdf</v>
          </cell>
          <cell r="C850">
            <v>9781474472067</v>
          </cell>
        </row>
        <row r="851">
          <cell r="A851" t="str">
            <v>Fictioning: The Myth-Functions of Contemporary Art and Philosophy</v>
          </cell>
          <cell r="B851" t="str">
            <v>Ebook - pdf</v>
          </cell>
          <cell r="C851">
            <v>9781474432412</v>
          </cell>
        </row>
        <row r="852">
          <cell r="A852" t="str">
            <v>Fictions of India: Narrative and Power</v>
          </cell>
          <cell r="B852" t="str">
            <v>Ebook - pdf</v>
          </cell>
          <cell r="C852">
            <v>9780585450827</v>
          </cell>
        </row>
        <row r="853">
          <cell r="A853" t="str">
            <v>Fields of Sense: A New Realist Ontology</v>
          </cell>
          <cell r="B853" t="str">
            <v>Ebook - pdf</v>
          </cell>
          <cell r="C853">
            <v>9780748692903</v>
          </cell>
        </row>
        <row r="854">
          <cell r="A854" t="str">
            <v>Fighting France: From Dunkerque to Belfort</v>
          </cell>
          <cell r="B854" t="str">
            <v>Ebook - pdf</v>
          </cell>
          <cell r="C854">
            <v>9781474406932</v>
          </cell>
        </row>
        <row r="855">
          <cell r="A855" t="str">
            <v>Figurations of Exile in Hitchcock and Nabokov</v>
          </cell>
          <cell r="B855" t="str">
            <v>Ebook - pdf</v>
          </cell>
          <cell r="C855">
            <v>9780748636471</v>
          </cell>
        </row>
        <row r="856">
          <cell r="A856" t="str">
            <v>Film and Domestic Space: Architectures, Representations, Dispositif</v>
          </cell>
          <cell r="B856" t="str">
            <v>Ebook - pdf</v>
          </cell>
          <cell r="C856">
            <v>9781474428941</v>
          </cell>
        </row>
        <row r="857">
          <cell r="A857" t="str">
            <v>Film and the Imagined Image</v>
          </cell>
          <cell r="B857" t="str">
            <v>Ebook - pdf</v>
          </cell>
          <cell r="C857">
            <v>9781474452809</v>
          </cell>
        </row>
        <row r="858">
          <cell r="A858" t="str">
            <v>Film and Urban Space: Critical Possibilities</v>
          </cell>
          <cell r="B858" t="str">
            <v>Ebook - pdf</v>
          </cell>
          <cell r="C858">
            <v>9780748630202</v>
          </cell>
        </row>
        <row r="859">
          <cell r="A859" t="str">
            <v>Film and Video Censorship in Modern Britain</v>
          </cell>
          <cell r="B859" t="str">
            <v>Ebook - pdf</v>
          </cell>
          <cell r="C859">
            <v>9780748630936</v>
          </cell>
        </row>
        <row r="860">
          <cell r="A860" t="str">
            <v>Film Genre: Hollywood and Beyond</v>
          </cell>
          <cell r="B860" t="str">
            <v>Ebook - pdf</v>
          </cell>
          <cell r="C860">
            <v>9781474470131</v>
          </cell>
        </row>
        <row r="861">
          <cell r="A861" t="str">
            <v>Film Histories: An Introduction and Reader</v>
          </cell>
          <cell r="B861" t="str">
            <v>Ebook - pdf</v>
          </cell>
          <cell r="C861">
            <v>9780748628940</v>
          </cell>
        </row>
        <row r="862">
          <cell r="A862" t="str">
            <v>Film Music: Critical Approaches</v>
          </cell>
          <cell r="B862" t="str">
            <v>Ebook - pdf</v>
          </cell>
          <cell r="C862">
            <v>9781474467810</v>
          </cell>
        </row>
        <row r="863">
          <cell r="A863" t="str">
            <v>Film Noir</v>
          </cell>
          <cell r="B863" t="str">
            <v>Ebook - pdf</v>
          </cell>
          <cell r="C863">
            <v>9780748691081</v>
          </cell>
        </row>
        <row r="864">
          <cell r="A864" t="str">
            <v>Film Noir and the Cinema of Paranoia</v>
          </cell>
          <cell r="B864" t="str">
            <v>Ebook - pdf</v>
          </cell>
          <cell r="C864">
            <v>9781474467766</v>
          </cell>
        </row>
        <row r="865">
          <cell r="A865" t="str">
            <v>Film Reboots</v>
          </cell>
          <cell r="B865" t="str">
            <v>Ebook - pdf</v>
          </cell>
          <cell r="C865">
            <v>9781474451383</v>
          </cell>
        </row>
        <row r="866">
          <cell r="A866" t="str">
            <v>Film Remakes</v>
          </cell>
          <cell r="B866" t="str">
            <v>Ebook - pdf</v>
          </cell>
          <cell r="C866">
            <v>9780748626250</v>
          </cell>
        </row>
        <row r="867">
          <cell r="A867" t="str">
            <v>Film Sequels: Theory and Practice from Hollywood to Bollywood</v>
          </cell>
          <cell r="B867" t="str">
            <v>Ebook - pdf</v>
          </cell>
          <cell r="C867">
            <v>9780748631339</v>
          </cell>
        </row>
        <row r="868">
          <cell r="A868" t="str">
            <v>Filming the Children's Book: Adapting Metafiction</v>
          </cell>
          <cell r="B868" t="str">
            <v>Ebook - pdf</v>
          </cell>
          <cell r="C868">
            <v>9781474413572</v>
          </cell>
        </row>
        <row r="869">
          <cell r="A869" t="str">
            <v>Film's Musical Moments</v>
          </cell>
          <cell r="B869" t="str">
            <v>Ebook - pdf</v>
          </cell>
          <cell r="C869">
            <v>9780748627271</v>
          </cell>
        </row>
        <row r="870">
          <cell r="A870" t="str">
            <v>Films on Ice: Cinemas of the Arctic</v>
          </cell>
          <cell r="B870" t="str">
            <v>Ebook - pdf</v>
          </cell>
          <cell r="C870">
            <v>9780748694181</v>
          </cell>
        </row>
        <row r="871">
          <cell r="A871" t="str">
            <v>Flora of Turkey, Volume 1</v>
          </cell>
          <cell r="B871" t="str">
            <v>Ebook - pdf</v>
          </cell>
          <cell r="C871">
            <v>9781474466059</v>
          </cell>
        </row>
        <row r="872">
          <cell r="A872" t="str">
            <v>Flora of Turkey, Volume 2</v>
          </cell>
          <cell r="B872" t="str">
            <v>Ebook - pdf</v>
          </cell>
          <cell r="C872">
            <v>9781474466073</v>
          </cell>
        </row>
        <row r="873">
          <cell r="A873" t="str">
            <v>Flora of Turkey, Volume 3</v>
          </cell>
          <cell r="B873" t="str">
            <v>Ebook - pdf</v>
          </cell>
          <cell r="C873">
            <v>9781474466080</v>
          </cell>
        </row>
        <row r="874">
          <cell r="A874" t="str">
            <v>Flora of Turkey, Volume 4</v>
          </cell>
          <cell r="B874" t="str">
            <v>Ebook - pdf</v>
          </cell>
          <cell r="C874">
            <v>9781474466097</v>
          </cell>
        </row>
        <row r="875">
          <cell r="A875" t="str">
            <v>Flora of Turkey, Volume 5</v>
          </cell>
          <cell r="B875" t="str">
            <v>Ebook - pdf</v>
          </cell>
          <cell r="C875">
            <v>9781474466103</v>
          </cell>
        </row>
        <row r="876">
          <cell r="A876" t="str">
            <v>Flora of Turkey, Volume 6</v>
          </cell>
          <cell r="B876" t="str">
            <v>Ebook - pdf</v>
          </cell>
          <cell r="C876">
            <v>9781474466110</v>
          </cell>
        </row>
        <row r="877">
          <cell r="A877" t="str">
            <v>Flora of Turkey, Volume 7</v>
          </cell>
          <cell r="B877" t="str">
            <v>Ebook - pdf</v>
          </cell>
          <cell r="C877">
            <v>9781474466127</v>
          </cell>
        </row>
        <row r="878">
          <cell r="A878" t="str">
            <v>Flora of Turkey, Volume 8</v>
          </cell>
          <cell r="B878" t="str">
            <v>Ebook - pdf</v>
          </cell>
          <cell r="C878">
            <v>9781474466134</v>
          </cell>
        </row>
        <row r="879">
          <cell r="A879" t="str">
            <v>Flora of Turkey, Volume 9</v>
          </cell>
          <cell r="B879" t="str">
            <v>Ebook - pdf</v>
          </cell>
          <cell r="C879">
            <v>9781474466141</v>
          </cell>
        </row>
        <row r="880">
          <cell r="A880" t="str">
            <v>For A' That: A Celebration of Burns</v>
          </cell>
          <cell r="B880" t="str">
            <v>Ebook - pdf</v>
          </cell>
          <cell r="C880">
            <v>9781474468671</v>
          </cell>
        </row>
        <row r="881">
          <cell r="A881" t="str">
            <v>Force Short of War in Modern Conflict: Jus Ad Vim</v>
          </cell>
          <cell r="B881" t="str">
            <v>Ebook - pdf</v>
          </cell>
          <cell r="C881">
            <v>9781474444231</v>
          </cell>
        </row>
        <row r="882">
          <cell r="A882" t="str">
            <v>Forgetting Differences: Tragedy, Historiography, and the French Wars of Religion</v>
          </cell>
          <cell r="B882" t="str">
            <v>Ebook - pdf</v>
          </cell>
          <cell r="C882">
            <v>9780748694402</v>
          </cell>
        </row>
        <row r="883">
          <cell r="A883" t="str">
            <v>Forging Peace: Intervention, Human Rights and the Management of Media Space</v>
          </cell>
          <cell r="B883" t="str">
            <v>Ebook - pdf</v>
          </cell>
          <cell r="C883">
            <v>9781474471787</v>
          </cell>
        </row>
        <row r="884">
          <cell r="A884" t="str">
            <v>Form and Object: A Treatise on Things</v>
          </cell>
          <cell r="B884" t="str">
            <v>Ebook - pdf</v>
          </cell>
          <cell r="C884">
            <v>9780748681518</v>
          </cell>
        </row>
        <row r="885">
          <cell r="A885" t="str">
            <v>Foucault and Politics: A Critical Introduction</v>
          </cell>
          <cell r="B885" t="str">
            <v>Ebook - pdf</v>
          </cell>
          <cell r="C885">
            <v>9780748676873</v>
          </cell>
        </row>
        <row r="886">
          <cell r="A886" t="str">
            <v>Foucault's Archaeology: Science and Transformation</v>
          </cell>
          <cell r="B886" t="str">
            <v>Ebook - pdf</v>
          </cell>
          <cell r="C886">
            <v>9780748630387</v>
          </cell>
        </row>
        <row r="887">
          <cell r="A887" t="str">
            <v>Foucault's History of Sexuality Volume I, The Will to Knowledge: An Edinburgh Philosophical Guide</v>
          </cell>
          <cell r="B887" t="str">
            <v>Ebook - pdf</v>
          </cell>
          <cell r="C887">
            <v>9780748648917</v>
          </cell>
        </row>
        <row r="888">
          <cell r="A888" t="str">
            <v>Fragile Land: The State of the Scottish Environment</v>
          </cell>
          <cell r="B888" t="str">
            <v>Ebook - pdf</v>
          </cell>
          <cell r="C888">
            <v>9781474465915</v>
          </cell>
        </row>
        <row r="889">
          <cell r="A889" t="str">
            <v>Framing Empire: Postcolonial Adaptations of Victorian Literature in Hollywood</v>
          </cell>
          <cell r="B889" t="str">
            <v>Ebook - pdf</v>
          </cell>
          <cell r="C889">
            <v>9781474429962</v>
          </cell>
        </row>
        <row r="890">
          <cell r="A890" t="str">
            <v>Framing Pictures: Film and the Visual Arts</v>
          </cell>
          <cell r="B890" t="str">
            <v>Ebook - pdf</v>
          </cell>
          <cell r="C890">
            <v>9780748647033</v>
          </cell>
        </row>
        <row r="891">
          <cell r="A891" t="str">
            <v>François Laruelle’s Philosophies of Difference: A Critical Introduction and Guide</v>
          </cell>
          <cell r="B891" t="str">
            <v>Ebook - pdf</v>
          </cell>
          <cell r="C891">
            <v>9780748668144</v>
          </cell>
        </row>
        <row r="892">
          <cell r="A892" t="str">
            <v>Francois Laruelle's Principles of Non-Philosophy: A Critical Introduction and Guide</v>
          </cell>
          <cell r="B892" t="str">
            <v>Ebook - pdf</v>
          </cell>
          <cell r="C892">
            <v>9780748685288</v>
          </cell>
        </row>
        <row r="893">
          <cell r="A893" t="str">
            <v>Francophone Belgian Cinema</v>
          </cell>
          <cell r="B893" t="str">
            <v>Ebook - pdf</v>
          </cell>
          <cell r="C893">
            <v>9781474420778</v>
          </cell>
        </row>
        <row r="894">
          <cell r="A894" t="str">
            <v>Frederick Douglass and Scotland, 1846: Living an Antislavery Life</v>
          </cell>
          <cell r="B894" t="str">
            <v>Ebook - pdf</v>
          </cell>
          <cell r="C894">
            <v>9781474444279</v>
          </cell>
        </row>
        <row r="895">
          <cell r="A895" t="str">
            <v>Frederick Douglass in Britain and Ireland, 1845-1895</v>
          </cell>
          <cell r="B895" t="str">
            <v>Ebook - pdf</v>
          </cell>
          <cell r="C895">
            <v>9781474460422</v>
          </cell>
        </row>
        <row r="896">
          <cell r="A896" t="str">
            <v>Freedom from Past Injustices: A Critical Evaluation of Claims for Inter-Generational Reparations</v>
          </cell>
          <cell r="B896" t="str">
            <v>Ebook - pdf</v>
          </cell>
          <cell r="C896">
            <v>9780748649648</v>
          </cell>
        </row>
        <row r="897">
          <cell r="A897" t="str">
            <v>Freedom of Information in Scotland in Practice</v>
          </cell>
          <cell r="B897" t="str">
            <v>Ebook - pdf</v>
          </cell>
          <cell r="C897">
            <v>9780748699353</v>
          </cell>
        </row>
        <row r="898">
          <cell r="A898" t="str">
            <v>French and Russian in Imperial Russia: Language Attitudes and Identity</v>
          </cell>
          <cell r="B898" t="str">
            <v>Ebook - pdf</v>
          </cell>
          <cell r="C898">
            <v>9780748695546</v>
          </cell>
        </row>
        <row r="899">
          <cell r="A899" t="str">
            <v>French and Russian in Imperial Russia: Language Use among the Russian Elite</v>
          </cell>
          <cell r="B899" t="str">
            <v>Ebook - pdf</v>
          </cell>
          <cell r="C899">
            <v>9780748695522</v>
          </cell>
        </row>
        <row r="900">
          <cell r="A900" t="str">
            <v>French and Spanish Queer Film: Audiences, Communities and Cultural Exchange</v>
          </cell>
          <cell r="B900" t="str">
            <v>Ebook - pdf</v>
          </cell>
          <cell r="C900">
            <v>9780748699209</v>
          </cell>
        </row>
        <row r="901">
          <cell r="A901" t="str">
            <v>French Blockbusters: Cultural Politics of a Transnational Cinema</v>
          </cell>
          <cell r="B901" t="str">
            <v>Ebook - pdf</v>
          </cell>
          <cell r="C901">
            <v>9781474424240</v>
          </cell>
        </row>
        <row r="902">
          <cell r="A902" t="str">
            <v>French Philosophy Today: New Figures of the Human in Badiou, Meillassoux, Malabou, Serres and Latour</v>
          </cell>
          <cell r="B902" t="str">
            <v>Ebook - pdf</v>
          </cell>
          <cell r="C902">
            <v>9781474414746</v>
          </cell>
        </row>
        <row r="903">
          <cell r="A903" t="str">
            <v>French Queer Cinema</v>
          </cell>
          <cell r="B903" t="str">
            <v>Ebook - pdf</v>
          </cell>
          <cell r="C903">
            <v>9780748634194</v>
          </cell>
        </row>
        <row r="904">
          <cell r="A904" t="str">
            <v>French Revolutions, 1815-1914: An Introduction</v>
          </cell>
          <cell r="B904" t="str">
            <v>Ebook - pdf</v>
          </cell>
          <cell r="C904">
            <v>9780585060590</v>
          </cell>
        </row>
        <row r="905">
          <cell r="A905" t="str">
            <v>French-language Road Cinema: Borders, Diasporas, Migration and 'New Europe'</v>
          </cell>
          <cell r="B905" t="str">
            <v>Ebook - pdf</v>
          </cell>
          <cell r="C905">
            <v>9780748698684</v>
          </cell>
        </row>
        <row r="906">
          <cell r="A906" t="str">
            <v>Friends in York: The Dynamics of Quaker Revival,1780-1860</v>
          </cell>
          <cell r="B906" t="str">
            <v>Ebook - pdf</v>
          </cell>
          <cell r="C906">
            <v>9781474473675</v>
          </cell>
        </row>
        <row r="907">
          <cell r="A907" t="str">
            <v>Friendship's Shadows: Women's Friendship and the Politics of Betrayal in England, 1640-1705</v>
          </cell>
          <cell r="B907" t="str">
            <v>Ebook - pdf</v>
          </cell>
          <cell r="C907">
            <v>9780748655830</v>
          </cell>
        </row>
        <row r="908">
          <cell r="A908" t="str">
            <v>From Agamben to Zizek: Contemporary Critical Theorists</v>
          </cell>
          <cell r="B908" t="str">
            <v>Ebook - pdf</v>
          </cell>
          <cell r="C908">
            <v>9780748643264</v>
          </cell>
        </row>
        <row r="909">
          <cell r="A909" t="str">
            <v>From Caledonia to Pictland: Scotland to 795</v>
          </cell>
          <cell r="B909" t="str">
            <v>Ebook - pdf</v>
          </cell>
          <cell r="C909">
            <v>9780748628209</v>
          </cell>
        </row>
        <row r="910">
          <cell r="A910" t="str">
            <v>From Chiefs to Landlords: Social and Economic Change in the Western Highlands &amp; Islands</v>
          </cell>
          <cell r="B910" t="str">
            <v>Ebook - pdf</v>
          </cell>
          <cell r="C910">
            <v>9781474467780</v>
          </cell>
        </row>
        <row r="911">
          <cell r="A911" t="str">
            <v>From Empire to the World: Migrant London and Paris in the Cinema</v>
          </cell>
          <cell r="B911" t="str">
            <v>Ebook - pdf</v>
          </cell>
          <cell r="C911">
            <v>9780748656479</v>
          </cell>
        </row>
        <row r="912">
          <cell r="A912" t="str">
            <v>From Film Practice to Data Process: Production Aesthetics and Representational Practices of a Film Industry in Transition</v>
          </cell>
          <cell r="B912" t="str">
            <v>Ebook - pdf</v>
          </cell>
          <cell r="C912">
            <v>9780748693597</v>
          </cell>
        </row>
        <row r="913">
          <cell r="A913" t="str">
            <v>From Kant to Lévi-Strauss: The Background to Contemporary Critical Theory</v>
          </cell>
          <cell r="B913" t="str">
            <v>Ebook - pdf</v>
          </cell>
          <cell r="C913">
            <v>9781474472630</v>
          </cell>
        </row>
        <row r="914">
          <cell r="A914" t="str">
            <v xml:space="preserve">From Pictland to Alba, 789-1070 </v>
          </cell>
          <cell r="B914" t="str">
            <v>Ebook - pdf</v>
          </cell>
          <cell r="C914">
            <v>9780748628216</v>
          </cell>
        </row>
        <row r="915">
          <cell r="A915" t="str">
            <v>From Rome to Byzantium AD 363 to 565: The Transformation of Ancient Rome</v>
          </cell>
          <cell r="B915" t="str">
            <v>Ebook - pdf</v>
          </cell>
          <cell r="C915">
            <v>9780748631759</v>
          </cell>
        </row>
        <row r="916">
          <cell r="A916" t="str">
            <v>From Tartan to Tartanry: Scottish Culture, History and Myth</v>
          </cell>
          <cell r="B916" t="str">
            <v>Ebook - pdf</v>
          </cell>
          <cell r="C916">
            <v>9780748644490</v>
          </cell>
        </row>
        <row r="917">
          <cell r="A917" t="str">
            <v>From Trocchi to Trainspotting – Scottish Critical Theory Since 1960</v>
          </cell>
          <cell r="B917" t="str">
            <v>Ebook - pdf</v>
          </cell>
          <cell r="C917">
            <v>9780748627110</v>
          </cell>
        </row>
        <row r="918">
          <cell r="A918" t="str">
            <v>From Violence to Speaking Out: Apocalypse and Expression in Foucault, Derrida and Deleuze</v>
          </cell>
          <cell r="B918" t="str">
            <v>Ebook - pdf</v>
          </cell>
          <cell r="C918">
            <v>9781474418263</v>
          </cell>
        </row>
        <row r="919">
          <cell r="A919" t="str">
            <v>From War to Peace on the Mozambique-Malawi Borderland</v>
          </cell>
          <cell r="B919" t="str">
            <v>Ebook - pdf</v>
          </cell>
          <cell r="C919">
            <v>9780585443874</v>
          </cell>
        </row>
        <row r="920">
          <cell r="A920" t="str">
            <v>Fundamental Concepts in Phonology: Sameness and Difference</v>
          </cell>
          <cell r="B920" t="str">
            <v>Ebook - pdf</v>
          </cell>
          <cell r="C920">
            <v>9780748631100</v>
          </cell>
        </row>
        <row r="921">
          <cell r="A921" t="str">
            <v>Future Law: Emerging Technology, Regulation and Ethics</v>
          </cell>
          <cell r="B921" t="str">
            <v>Ebook - pdf</v>
          </cell>
          <cell r="C921">
            <v>9781474417631</v>
          </cell>
        </row>
        <row r="922">
          <cell r="A922" t="str">
            <v>Gadda Goes to War: Translational Provocations Around An Emergency</v>
          </cell>
          <cell r="B922" t="str">
            <v>Ebook - pdf</v>
          </cell>
          <cell r="C922">
            <v>9780748668731</v>
          </cell>
        </row>
        <row r="923">
          <cell r="A923" t="str">
            <v>Gaelic in Contemporary Scotland: The Revitalisation of an Endangered Language</v>
          </cell>
          <cell r="B923" t="str">
            <v>Ebook - pdf</v>
          </cell>
          <cell r="C923">
            <v>9781474420662</v>
          </cell>
        </row>
        <row r="924">
          <cell r="A924" t="str">
            <v>Gaelic in Scotland: Policies, Movements, Ideologies</v>
          </cell>
          <cell r="B924" t="str">
            <v>Ebook - pdf</v>
          </cell>
          <cell r="C924">
            <v>9781474462419</v>
          </cell>
        </row>
        <row r="925">
          <cell r="A925" t="str">
            <v>Gandhi's Interpreter: A Life of Horace Alexander</v>
          </cell>
          <cell r="B925" t="str">
            <v>Ebook - pdf</v>
          </cell>
          <cell r="C925">
            <v>9780748641857</v>
          </cell>
        </row>
        <row r="926">
          <cell r="A926" t="str">
            <v>Garcian Meditations: The Dialectics of Persistence in Form and Object</v>
          </cell>
          <cell r="B926" t="str">
            <v>Ebook - pdf</v>
          </cell>
          <cell r="C926">
            <v>9781474415927</v>
          </cell>
        </row>
        <row r="927">
          <cell r="A927" t="str">
            <v>Gender and Enlightenment Culture in Eighteenth-Century Scotland</v>
          </cell>
          <cell r="B927" t="str">
            <v>Ebook - pdf</v>
          </cell>
          <cell r="C927">
            <v>9780748646432</v>
          </cell>
        </row>
        <row r="928">
          <cell r="A928" t="str">
            <v>Gender and Language: Towards a Feminist Pragmatics</v>
          </cell>
          <cell r="B928" t="str">
            <v>Ebook - pdf</v>
          </cell>
          <cell r="C928">
            <v>9780585468013</v>
          </cell>
        </row>
        <row r="929">
          <cell r="A929" t="str">
            <v>Gender and Political Identities in Scotland, 1919-1939</v>
          </cell>
          <cell r="B929" t="str">
            <v>Ebook - pdf</v>
          </cell>
          <cell r="C929">
            <v>9780748641864</v>
          </cell>
        </row>
        <row r="930">
          <cell r="A930" t="str">
            <v>Gender and Seriality: Practices and Politics of Contemporary US Television</v>
          </cell>
          <cell r="B930" t="str">
            <v>Ebook - pdf</v>
          </cell>
          <cell r="C930">
            <v>9781474473972</v>
          </cell>
        </row>
        <row r="931">
          <cell r="A931" t="str">
            <v>Gender and Sexuality: Paragraph Volume 17 Number 1</v>
          </cell>
          <cell r="B931" t="str">
            <v>Ebook - pdf</v>
          </cell>
          <cell r="C931">
            <v>9781474472524</v>
          </cell>
        </row>
        <row r="932">
          <cell r="A932" t="str">
            <v>Gender in Scottish History Since 1700</v>
          </cell>
          <cell r="B932" t="str">
            <v>Ebook - pdf</v>
          </cell>
          <cell r="C932">
            <v>9780748626397</v>
          </cell>
        </row>
        <row r="933">
          <cell r="A933" t="str">
            <v>Gender, Ethnicity and Sexuality in Contemporary American Film</v>
          </cell>
          <cell r="B933" t="str">
            <v>Ebook - pdf</v>
          </cell>
          <cell r="C933">
            <v>9780748674428</v>
          </cell>
        </row>
        <row r="934">
          <cell r="A934" t="str">
            <v>Gender, Governance and Islam</v>
          </cell>
          <cell r="B934" t="str">
            <v>Ebook - pdf</v>
          </cell>
          <cell r="C934">
            <v>9781474455459</v>
          </cell>
        </row>
        <row r="935">
          <cell r="A935" t="str">
            <v>Gender, Nation, and the Arabic Novel: Egypt, 1892-2008</v>
          </cell>
          <cell r="B935" t="str">
            <v>Ebook - pdf</v>
          </cell>
          <cell r="C935">
            <v>9780748669189</v>
          </cell>
        </row>
        <row r="936">
          <cell r="A936" t="str">
            <v>Gender, Technology and the New Woman</v>
          </cell>
          <cell r="B936" t="str">
            <v>Ebook - pdf</v>
          </cell>
          <cell r="C936">
            <v>9781474416276</v>
          </cell>
        </row>
        <row r="937">
          <cell r="A937" t="str">
            <v>Gendering the Nation: Studies in Modern Scottish Literature</v>
          </cell>
          <cell r="B937" t="str">
            <v>Ebook - pdf</v>
          </cell>
          <cell r="C937">
            <v>9781474473583</v>
          </cell>
        </row>
        <row r="938">
          <cell r="A938" t="str">
            <v>Genealogy and Knowledge in Muslim Societies: Understanding the Past</v>
          </cell>
          <cell r="B938" t="str">
            <v>Ebook - pdf</v>
          </cell>
          <cell r="C938">
            <v>9780748644988</v>
          </cell>
        </row>
        <row r="939">
          <cell r="A939" t="str">
            <v>Genre, Authorship and Contemporary Women Filmmakers</v>
          </cell>
          <cell r="B939" t="str">
            <v>Ebook - pdf</v>
          </cell>
          <cell r="C939">
            <v>9781474425278</v>
          </cell>
        </row>
        <row r="940">
          <cell r="A940" t="str">
            <v>George Cukor: Hollywood Master</v>
          </cell>
          <cell r="B940" t="str">
            <v>Ebook - pdf</v>
          </cell>
          <cell r="C940">
            <v>9780748693573</v>
          </cell>
        </row>
        <row r="941">
          <cell r="A941" t="str">
            <v>George Mackay Brown and the Philosophy of Community</v>
          </cell>
          <cell r="B941" t="str">
            <v>Ebook - pdf</v>
          </cell>
          <cell r="C941">
            <v>9780748640935</v>
          </cell>
        </row>
        <row r="942">
          <cell r="A942" t="str">
            <v>George Mackay Brown and the Scottish Catholic Imagination</v>
          </cell>
          <cell r="B942" t="str">
            <v>Ebook - pdf</v>
          </cell>
          <cell r="C942">
            <v>9781474411660</v>
          </cell>
        </row>
        <row r="943">
          <cell r="A943" t="str">
            <v>George Strachan of the Mearns: Sixteenth Century Orientalist</v>
          </cell>
          <cell r="B943" t="str">
            <v>Ebook - pdf</v>
          </cell>
          <cell r="C943">
            <v>9781474466240</v>
          </cell>
        </row>
        <row r="944">
          <cell r="A944" t="str">
            <v>Geraldine Chaplin: The Gift of Film Performance</v>
          </cell>
          <cell r="B944" t="str">
            <v>Ebook - pdf</v>
          </cell>
          <cell r="C944">
            <v>9781474427982</v>
          </cell>
        </row>
        <row r="945">
          <cell r="A945" t="str">
            <v>Gerard Manley Hopkins and the Spell of John Duns Scotus</v>
          </cell>
          <cell r="B945" t="str">
            <v>Ebook - pdf</v>
          </cell>
          <cell r="C945">
            <v>9781474408950</v>
          </cell>
        </row>
        <row r="946">
          <cell r="A946" t="str">
            <v>German Idealism: An Anthology and Guide</v>
          </cell>
          <cell r="B946" t="str">
            <v>Ebook - pdf</v>
          </cell>
          <cell r="C946">
            <v>9781474471404</v>
          </cell>
        </row>
        <row r="947">
          <cell r="A947" t="str">
            <v>Gertrude Stein, Modernism, and the Problem of 'Genius'</v>
          </cell>
          <cell r="B947" t="str">
            <v>Ebook - pdf</v>
          </cell>
          <cell r="C947">
            <v>9780748699346</v>
          </cell>
        </row>
        <row r="948">
          <cell r="A948" t="str">
            <v>Gertrude Stein's Transmasculinity</v>
          </cell>
          <cell r="B948" t="str">
            <v>Ebook - pdf</v>
          </cell>
          <cell r="C948">
            <v>9781474438117</v>
          </cell>
        </row>
        <row r="949">
          <cell r="A949" t="str">
            <v>Get Set for American Studies</v>
          </cell>
          <cell r="B949" t="str">
            <v>Ebook - pdf</v>
          </cell>
          <cell r="C949">
            <v>9781474463980</v>
          </cell>
        </row>
        <row r="950">
          <cell r="A950" t="str">
            <v>Get Set for Communication Studies</v>
          </cell>
          <cell r="B950" t="str">
            <v>Ebook - pdf</v>
          </cell>
          <cell r="C950">
            <v>9780748680634</v>
          </cell>
        </row>
        <row r="951">
          <cell r="A951" t="str">
            <v>Get Set for Computer Science</v>
          </cell>
          <cell r="B951" t="str">
            <v>Ebook - pdf</v>
          </cell>
          <cell r="C951">
            <v>9780748626458</v>
          </cell>
        </row>
        <row r="952">
          <cell r="A952" t="str">
            <v>Get Set for English Language</v>
          </cell>
          <cell r="B952" t="str">
            <v>Ebook - pdf</v>
          </cell>
          <cell r="C952">
            <v>9781474472111</v>
          </cell>
        </row>
        <row r="953">
          <cell r="A953" t="str">
            <v>Get Set for English Literature</v>
          </cell>
          <cell r="B953" t="str">
            <v>Ebook - pdf</v>
          </cell>
          <cell r="C953">
            <v>9781474463911</v>
          </cell>
        </row>
        <row r="954">
          <cell r="A954" t="str">
            <v>Get Set for Media and Cultural Studies</v>
          </cell>
          <cell r="B954" t="str">
            <v>Ebook - pdf</v>
          </cell>
          <cell r="C954">
            <v>9780748626472</v>
          </cell>
        </row>
        <row r="955">
          <cell r="A955" t="str">
            <v>Get Set for Nursing</v>
          </cell>
          <cell r="B955" t="str">
            <v>Ebook - pdf</v>
          </cell>
          <cell r="C955">
            <v>9781474472678</v>
          </cell>
        </row>
        <row r="956">
          <cell r="A956" t="str">
            <v>Get Set for Philosophy</v>
          </cell>
          <cell r="B956" t="str">
            <v>Ebook - pdf</v>
          </cell>
          <cell r="C956">
            <v>9781474465533</v>
          </cell>
        </row>
        <row r="957">
          <cell r="A957" t="str">
            <v>Get Set for Politics</v>
          </cell>
          <cell r="B957" t="str">
            <v>Ebook - pdf</v>
          </cell>
          <cell r="C957">
            <v>9781474468169</v>
          </cell>
        </row>
        <row r="958">
          <cell r="A958" t="str">
            <v>Get Set for Psychology</v>
          </cell>
          <cell r="B958" t="str">
            <v>Ebook - pdf</v>
          </cell>
          <cell r="C958">
            <v>9780748626960</v>
          </cell>
        </row>
        <row r="959">
          <cell r="A959" t="str">
            <v>Get Set for Religious Studies</v>
          </cell>
          <cell r="B959" t="str">
            <v>Ebook - pdf</v>
          </cell>
          <cell r="C959">
            <v>9780748626830</v>
          </cell>
        </row>
        <row r="960">
          <cell r="A960" t="str">
            <v>Get Set for Sociology</v>
          </cell>
          <cell r="B960" t="str">
            <v>Ebook - pdf</v>
          </cell>
          <cell r="C960">
            <v>9781474470889</v>
          </cell>
        </row>
        <row r="961">
          <cell r="A961" t="str">
            <v>Get Set for Study Abroad</v>
          </cell>
          <cell r="B961" t="str">
            <v>Ebook - pdf</v>
          </cell>
          <cell r="C961">
            <v>9780748626403</v>
          </cell>
        </row>
        <row r="962">
          <cell r="A962" t="str">
            <v>Get Set for Teacher Training</v>
          </cell>
          <cell r="B962" t="str">
            <v>Ebook - pdf</v>
          </cell>
          <cell r="C962">
            <v>9780748626205</v>
          </cell>
        </row>
        <row r="963">
          <cell r="A963" t="str">
            <v>Gilbert Simondon: Being and Technology</v>
          </cell>
          <cell r="B963" t="str">
            <v>Ebook - pdf</v>
          </cell>
          <cell r="C963">
            <v>9780748645268</v>
          </cell>
        </row>
        <row r="964">
          <cell r="A964" t="str">
            <v>Gilbert Simondon's Psychic and Collective Individuation: A Critical Introduction and Guide</v>
          </cell>
          <cell r="B964" t="str">
            <v>Ebook - pdf</v>
          </cell>
          <cell r="C964">
            <v>9780748654512</v>
          </cell>
        </row>
        <row r="965">
          <cell r="A965" t="str">
            <v>Gilles Deleuze's Difference and Repetition: A Critical Introduction and Guide</v>
          </cell>
          <cell r="B965" t="str">
            <v>Ebook - pdf</v>
          </cell>
          <cell r="C965">
            <v>9780748668946</v>
          </cell>
        </row>
        <row r="966">
          <cell r="A966" t="str">
            <v>Gilles Deleuze's Empiricism and Subjectivity: A Critical Introduction and Guide</v>
          </cell>
          <cell r="B966" t="str">
            <v>Ebook - pdf</v>
          </cell>
          <cell r="C966">
            <v>9781474405843</v>
          </cell>
        </row>
        <row r="967">
          <cell r="A967" t="str">
            <v>Gilles Deleuze's Logic of Sense: A Critical Introduction and Guide</v>
          </cell>
          <cell r="B967" t="str">
            <v>Ebook - pdf</v>
          </cell>
          <cell r="C967">
            <v>9780748631384</v>
          </cell>
        </row>
        <row r="968">
          <cell r="A968" t="str">
            <v>Gilles Deleuze's Luminous Philosophy</v>
          </cell>
          <cell r="B968" t="str">
            <v>Ebook - pdf</v>
          </cell>
          <cell r="C968">
            <v>9781474450737</v>
          </cell>
        </row>
        <row r="969">
          <cell r="A969" t="str">
            <v>Gilles Deleuze's Philosophy of Time: A Critical Introduction and Guide</v>
          </cell>
          <cell r="B969" t="str">
            <v>Ebook - pdf</v>
          </cell>
          <cell r="C969">
            <v>9780748645428</v>
          </cell>
        </row>
        <row r="970">
          <cell r="A970" t="str">
            <v>Gilles Deleuze's Transcendental Empiricism: From Tradition to Difference</v>
          </cell>
          <cell r="B970" t="str">
            <v>Ebook - pdf</v>
          </cell>
          <cell r="C970">
            <v>9781474414890</v>
          </cell>
        </row>
        <row r="971">
          <cell r="A971" t="str">
            <v>Gillian Armstrong: Popular, Sensual &amp; Ethical Cinema</v>
          </cell>
          <cell r="B971" t="str">
            <v>Ebook - pdf</v>
          </cell>
          <cell r="C971">
            <v>9781474434331</v>
          </cell>
        </row>
        <row r="972">
          <cell r="A972" t="str">
            <v>Gillian Rose: A Good Enough Justice</v>
          </cell>
          <cell r="B972" t="str">
            <v>Ebook - pdf</v>
          </cell>
          <cell r="C972">
            <v>9780748655588</v>
          </cell>
        </row>
        <row r="973">
          <cell r="A973" t="str">
            <v>Glasgow</v>
          </cell>
          <cell r="B973" t="str">
            <v>Ebook - pdf</v>
          </cell>
          <cell r="C973">
            <v>9781474470797</v>
          </cell>
        </row>
        <row r="974">
          <cell r="A974" t="str">
            <v>Glasgow: The Forming of the City</v>
          </cell>
          <cell r="B974" t="str">
            <v>Ebook - pdf</v>
          </cell>
          <cell r="C974">
            <v>9780585122618</v>
          </cell>
        </row>
        <row r="975">
          <cell r="A975" t="str">
            <v>Global Citizenship: A Critical Reader</v>
          </cell>
          <cell r="B975" t="str">
            <v>Ebook - pdf</v>
          </cell>
          <cell r="C975">
            <v>9781474496865</v>
          </cell>
        </row>
        <row r="976">
          <cell r="A976" t="str">
            <v>Global Democracy: The Case for a World Government</v>
          </cell>
          <cell r="B976" t="str">
            <v>Ebook - pdf</v>
          </cell>
          <cell r="C976">
            <v>9781474473040</v>
          </cell>
        </row>
        <row r="977">
          <cell r="A977" t="str">
            <v>Global Environmental History: 10,000 BC to AD 2000</v>
          </cell>
          <cell r="B977" t="str">
            <v>Ebook - pdf</v>
          </cell>
          <cell r="C977">
            <v>9780748629510</v>
          </cell>
        </row>
        <row r="978">
          <cell r="A978" t="str">
            <v>Global Ethics and Climate Change</v>
          </cell>
          <cell r="B978" t="str">
            <v>Ebook - pdf</v>
          </cell>
          <cell r="C978">
            <v>9781474404846</v>
          </cell>
        </row>
        <row r="979">
          <cell r="A979" t="str">
            <v>Global Justice and Climate Governance: Bridging Theory and Practice</v>
          </cell>
          <cell r="B979" t="str">
            <v>Ebook - pdf</v>
          </cell>
          <cell r="C979">
            <v>9781474437936</v>
          </cell>
        </row>
        <row r="980">
          <cell r="A980" t="str">
            <v>Global Migrations: The Scottish Diaspora since 1600</v>
          </cell>
          <cell r="B980" t="str">
            <v>Ebook - pdf</v>
          </cell>
          <cell r="C980">
            <v>9781474410052</v>
          </cell>
        </row>
        <row r="981">
          <cell r="A981" t="str">
            <v>Global Solidarity</v>
          </cell>
          <cell r="B981" t="str">
            <v>Ebook - pdf</v>
          </cell>
          <cell r="C981">
            <v>9780748674541</v>
          </cell>
        </row>
        <row r="982">
          <cell r="A982" t="str">
            <v>Global Statesman: How Gordon Brown Took New Labour to te World</v>
          </cell>
          <cell r="B982" t="str">
            <v>Ebook - pdf</v>
          </cell>
          <cell r="C982">
            <v>9781474423571</v>
          </cell>
        </row>
        <row r="983">
          <cell r="A983" t="str">
            <v>Global Sustainable Development in the Twenty-First Century</v>
          </cell>
          <cell r="B983" t="str">
            <v>Ebook - pdf</v>
          </cell>
          <cell r="C983">
            <v>9781474496902</v>
          </cell>
        </row>
        <row r="984">
          <cell r="A984" t="str">
            <v>Glossalalia - An Alphabet of Critical Keywords</v>
          </cell>
          <cell r="B984" t="str">
            <v>Ebook - pdf</v>
          </cell>
          <cell r="C984">
            <v>9781474473620</v>
          </cell>
        </row>
        <row r="985">
          <cell r="A985" t="str">
            <v>Gnostic Wars: The Cold War in the Context of a History of Western Spirituality</v>
          </cell>
          <cell r="B985" t="str">
            <v>Ebook - pdf</v>
          </cell>
          <cell r="C985">
            <v>9781474472180</v>
          </cell>
        </row>
        <row r="986">
          <cell r="A986" t="str">
            <v>God, Reason and Theistic Proofs</v>
          </cell>
          <cell r="B986" t="str">
            <v>Ebook - pdf</v>
          </cell>
          <cell r="C986">
            <v>9780585159089</v>
          </cell>
        </row>
        <row r="987">
          <cell r="A987" t="str">
            <v>Godwin and the Book: Imagining Media, 1783-1836</v>
          </cell>
          <cell r="B987" t="str">
            <v>Ebook - pdf</v>
          </cell>
          <cell r="C987">
            <v>9781474475785</v>
          </cell>
        </row>
        <row r="988">
          <cell r="A988" t="str">
            <v>Gold Rush Societies and Migrant Networks in the Tasman World</v>
          </cell>
          <cell r="B988" t="str">
            <v>Ebook - pdf</v>
          </cell>
          <cell r="C988">
            <v>9781474477369</v>
          </cell>
        </row>
        <row r="989">
          <cell r="A989" t="str">
            <v>Gothic Film: An Edinburgh Companion</v>
          </cell>
          <cell r="B989" t="str">
            <v>Ebook - pdf</v>
          </cell>
          <cell r="C989">
            <v>9781474448055</v>
          </cell>
        </row>
        <row r="990">
          <cell r="A990" t="str">
            <v>Gothic Literature</v>
          </cell>
          <cell r="B990" t="str">
            <v>Ebook - pdf</v>
          </cell>
          <cell r="C990">
            <v>9780748647439</v>
          </cell>
        </row>
        <row r="991">
          <cell r="A991" t="str">
            <v>Governing Taiwan and Tibet: Democratic Approaches</v>
          </cell>
          <cell r="B991" t="str">
            <v>Ebook - pdf</v>
          </cell>
          <cell r="C991">
            <v>9780748699728</v>
          </cell>
        </row>
        <row r="992">
          <cell r="A992" t="str">
            <v>Greek Athletics</v>
          </cell>
          <cell r="B992" t="str">
            <v>Ebook - pdf</v>
          </cell>
          <cell r="C992">
            <v>9781474469920</v>
          </cell>
        </row>
        <row r="993">
          <cell r="A993" t="str">
            <v>Greek Cinema and Migration, 1991-2016</v>
          </cell>
          <cell r="B993" t="str">
            <v>Ebook - pdf</v>
          </cell>
          <cell r="C993">
            <v>9781474437059</v>
          </cell>
        </row>
        <row r="994">
          <cell r="A994" t="str">
            <v>Greek Laughter and Tears: Antiquity and After</v>
          </cell>
          <cell r="B994" t="str">
            <v>Ebook - pdf</v>
          </cell>
          <cell r="C994">
            <v>9781474403801</v>
          </cell>
        </row>
        <row r="995">
          <cell r="A995" t="str">
            <v>Greek Notions of the Past in the Archaic and Classical Eras: History without Historians</v>
          </cell>
          <cell r="B995" t="str">
            <v>Ebook - pdf</v>
          </cell>
          <cell r="C995">
            <v>9780748643974</v>
          </cell>
        </row>
        <row r="996">
          <cell r="A996" t="str">
            <v>Greek Perspectives on the Achaemenid Empire: Persia Through the Looking Glass</v>
          </cell>
          <cell r="B996" t="str">
            <v>Ebook - pdf</v>
          </cell>
          <cell r="C996">
            <v>9780748647248</v>
          </cell>
        </row>
        <row r="997">
          <cell r="A997" t="str">
            <v>'Greek' Thomson: Neo-classical Architectural Theory, Buildings &amp; Interiors</v>
          </cell>
          <cell r="B997" t="str">
            <v>Ebook - pdf</v>
          </cell>
          <cell r="C997">
            <v>9781474472821</v>
          </cell>
        </row>
        <row r="998">
          <cell r="A998" t="str">
            <v>Greek Tragedy and Modernist Performance: Hellenism as Theatricality</v>
          </cell>
          <cell r="B998" t="str">
            <v>Ebook - pdf</v>
          </cell>
          <cell r="C998">
            <v>9781474415576</v>
          </cell>
        </row>
        <row r="999">
          <cell r="A999" t="str">
            <v>Greek Weird Wave: A Cinema of Biopolitics</v>
          </cell>
          <cell r="B999" t="str">
            <v>Ebook - pdf</v>
          </cell>
          <cell r="C999">
            <v>9781474436335</v>
          </cell>
        </row>
        <row r="1000">
          <cell r="A1000" t="str">
            <v>Greeks And Barbarians</v>
          </cell>
          <cell r="B1000" t="str">
            <v>Ebook - pdf</v>
          </cell>
          <cell r="C1000">
            <v>9781474468916</v>
          </cell>
        </row>
        <row r="1001">
          <cell r="A1001" t="str">
            <v>Grindhouse Nostalgia: Memory, Home Video and Exploitation Film Fandom</v>
          </cell>
          <cell r="B1001" t="str">
            <v>Ebook - pdf</v>
          </cell>
          <cell r="C1001">
            <v>9780748699117</v>
          </cell>
        </row>
        <row r="1002">
          <cell r="A1002" t="str">
            <v>Grounding Cosmopolitanism: From Kant to the Idea of a Cosmopolitan Constitution</v>
          </cell>
          <cell r="B1002" t="str">
            <v>Ebook - pdf</v>
          </cell>
          <cell r="C1002">
            <v>9780748640928</v>
          </cell>
        </row>
        <row r="1003">
          <cell r="A1003" t="str">
            <v>Guardians of Shi’ism: Sacred Authority and Transnational Family Networks</v>
          </cell>
          <cell r="B1003" t="str">
            <v>Ebook - pdf</v>
          </cell>
          <cell r="C1003">
            <v>9780748691456</v>
          </cell>
        </row>
        <row r="1004">
          <cell r="A1004" t="str">
            <v>Guy Mannering</v>
          </cell>
          <cell r="B1004" t="str">
            <v>Ebook - pdf</v>
          </cell>
          <cell r="C1004">
            <v>9780748698578</v>
          </cell>
        </row>
        <row r="1005">
          <cell r="A1005" t="str">
            <v>Habermas and Politics: A Critical Introduction</v>
          </cell>
          <cell r="B1005" t="str">
            <v>Ebook - pdf</v>
          </cell>
          <cell r="C1005">
            <v>9781474420297</v>
          </cell>
        </row>
        <row r="1006">
          <cell r="A1006" t="str">
            <v>Hamlet Lives in Hollywood: John Barrymore and the Acting Tradition Onscreen</v>
          </cell>
          <cell r="B1006" t="str">
            <v>Ebook - pdf</v>
          </cell>
          <cell r="C1006">
            <v>9781474411400</v>
          </cell>
        </row>
        <row r="1007">
          <cell r="A1007" t="str">
            <v>Handbook for British and Irish Archaeology: Sources and Resources</v>
          </cell>
          <cell r="B1007" t="str">
            <v>Ebook - pdf</v>
          </cell>
          <cell r="C1007">
            <v>9781474470148</v>
          </cell>
        </row>
        <row r="1008">
          <cell r="A1008" t="str">
            <v>Hannah Arendt and Political Theory: Challenging the Tradition</v>
          </cell>
          <cell r="B1008" t="str">
            <v>Ebook - pdf</v>
          </cell>
          <cell r="C1008">
            <v>9780748646326</v>
          </cell>
        </row>
        <row r="1009">
          <cell r="A1009" t="str">
            <v>Hans Kelsen's Political Realism</v>
          </cell>
          <cell r="B1009" t="str">
            <v>Ebook - pdf</v>
          </cell>
          <cell r="C1009">
            <v>9781474481700</v>
          </cell>
        </row>
        <row r="1010">
          <cell r="A1010" t="str">
            <v>Happy Endings in Hollywood Cinema: Cliché, Convention and the Final Couple</v>
          </cell>
          <cell r="B1010" t="str">
            <v>Ebook - pdf</v>
          </cell>
          <cell r="C1010">
            <v>9780748680184</v>
          </cell>
        </row>
        <row r="1011">
          <cell r="A1011" t="str">
            <v>Haptic Modernism: Touch and the Tactile in Modernist Writing</v>
          </cell>
          <cell r="B1011" t="str">
            <v>Ebook - pdf</v>
          </cell>
          <cell r="C1011">
            <v>9780748682539</v>
          </cell>
        </row>
        <row r="1012">
          <cell r="A1012" t="str">
            <v>Hardy, Conrad and the Senses</v>
          </cell>
          <cell r="B1012" t="str">
            <v>Ebook - pdf</v>
          </cell>
          <cell r="C1012">
            <v>9781474449885</v>
          </cell>
        </row>
        <row r="1013">
          <cell r="A1013" t="str">
            <v>Harold Hobson: The Complete Catalogue</v>
          </cell>
          <cell r="B1013" t="str">
            <v>Ebook - pdf</v>
          </cell>
          <cell r="C1013">
            <v>9781474472531</v>
          </cell>
        </row>
        <row r="1014">
          <cell r="A1014" t="str">
            <v>Harriet Beecher Stowe: Dred: A Tale of the Great Dismal Swamp</v>
          </cell>
          <cell r="B1014" t="str">
            <v>Ebook - pdf</v>
          </cell>
          <cell r="C1014">
            <v>9781474402989</v>
          </cell>
        </row>
        <row r="1015">
          <cell r="A1015" t="str">
            <v>Has Devolution Delivered?</v>
          </cell>
          <cell r="B1015" t="str">
            <v>Ebook - pdf</v>
          </cell>
          <cell r="C1015">
            <v>9780748627011</v>
          </cell>
        </row>
        <row r="1016">
          <cell r="A1016" t="str">
            <v>Hazarding All: Shakespeare and the Drama of Consciousness</v>
          </cell>
          <cell r="B1016" t="str">
            <v>Ebook - pdf</v>
          </cell>
          <cell r="C1016">
            <v>9781474493178</v>
          </cell>
        </row>
        <row r="1017">
          <cell r="A1017" t="str">
            <v>Healing the Nation: Prisoners of War, Medicine and Nationalism in Turkey, 1914-1939</v>
          </cell>
          <cell r="B1017" t="str">
            <v>Ebook - pdf</v>
          </cell>
          <cell r="C1017">
            <v>9780748665792</v>
          </cell>
        </row>
        <row r="1018">
          <cell r="A1018" t="str">
            <v>Health Inequalities and Global Justice</v>
          </cell>
          <cell r="B1018" t="str">
            <v>Ebook - pdf</v>
          </cell>
          <cell r="C1018">
            <v>9780748646937</v>
          </cell>
        </row>
        <row r="1019">
          <cell r="A1019" t="str">
            <v>Hedonistic Utilitarianism</v>
          </cell>
          <cell r="B1019" t="str">
            <v>Ebook - pdf</v>
          </cell>
          <cell r="C1019">
            <v>9781474473057</v>
          </cell>
        </row>
        <row r="1020">
          <cell r="A1020" t="str">
            <v>Hegel and Marx: The Concept of Need</v>
          </cell>
          <cell r="B1020" t="str">
            <v>Ebook - pdf</v>
          </cell>
          <cell r="C1020">
            <v>9780585086828</v>
          </cell>
        </row>
        <row r="1021">
          <cell r="A1021" t="str">
            <v>Hegel: The Logic of Self-Consciousness and the Legacy of Subjective Freedom</v>
          </cell>
          <cell r="B1021" t="str">
            <v>Ebook - pdf</v>
          </cell>
          <cell r="C1021">
            <v>9781474473408</v>
          </cell>
        </row>
        <row r="1022">
          <cell r="A1022" t="str">
            <v>Hegel's Political Philosophy: A Systematic Reading of the Philosophy of Right</v>
          </cell>
          <cell r="B1022" t="str">
            <v>Ebook - pdf</v>
          </cell>
          <cell r="C1022">
            <v>9780748645114</v>
          </cell>
        </row>
        <row r="1023">
          <cell r="A1023" t="str">
            <v>Heidegger’s Ontology of Events</v>
          </cell>
          <cell r="B1023" t="str">
            <v>Ebook - pdf</v>
          </cell>
          <cell r="C1023">
            <v>9781474443708</v>
          </cell>
        </row>
        <row r="1024">
          <cell r="A1024" t="str">
            <v>Heidegger's Being and Time: An Edinburgh Philosophical Guide</v>
          </cell>
          <cell r="B1024" t="str">
            <v>Ebook - pdf</v>
          </cell>
          <cell r="C1024">
            <v>9780748631452</v>
          </cell>
        </row>
        <row r="1025">
          <cell r="A1025" t="str">
            <v>Hell in Contemporary Literature: Western Descent Narratives Since 1945</v>
          </cell>
          <cell r="B1025" t="str">
            <v>Ebook - pdf</v>
          </cell>
          <cell r="C1025">
            <v>9781474468138</v>
          </cell>
        </row>
        <row r="1026">
          <cell r="A1026" t="str">
            <v>Henrietta Liston's Travels: The Turkish Journals, 1812-1820</v>
          </cell>
          <cell r="B1026" t="str">
            <v>Ebook - pdf</v>
          </cell>
          <cell r="C1026">
            <v>9781474467384</v>
          </cell>
        </row>
        <row r="1027">
          <cell r="A1027" t="str">
            <v>Henry James, Oscar Wilde and Aesthetic Culture</v>
          </cell>
          <cell r="B1027" t="str">
            <v>Ebook - pdf</v>
          </cell>
          <cell r="C1027">
            <v>9780748630219</v>
          </cell>
        </row>
        <row r="1028">
          <cell r="A1028" t="str">
            <v>Henry Miller and How He Got That Way</v>
          </cell>
          <cell r="B1028" t="str">
            <v>Ebook - pdf</v>
          </cell>
          <cell r="C1028">
            <v>9780748645466</v>
          </cell>
        </row>
        <row r="1029">
          <cell r="A1029" t="str">
            <v>Henry Raeburn: Context, Reception and Reputation</v>
          </cell>
          <cell r="B1029" t="str">
            <v>Ebook - pdf</v>
          </cell>
          <cell r="C1029">
            <v>9781474465847</v>
          </cell>
        </row>
        <row r="1030">
          <cell r="A1030" t="str">
            <v>Heritage Film Audiences: Period Films and Contemporary Audiences in the UK</v>
          </cell>
          <cell r="B1030" t="str">
            <v>Ebook - pdf</v>
          </cell>
          <cell r="C1030">
            <v>9780748647040</v>
          </cell>
        </row>
        <row r="1031">
          <cell r="A1031" t="str">
            <v>Hezbollah: Socialisation and its Tragic Ironies</v>
          </cell>
          <cell r="B1031" t="str">
            <v>Ebook - pdf</v>
          </cell>
          <cell r="C1031">
            <v>9781474419529</v>
          </cell>
        </row>
        <row r="1032">
          <cell r="A1032" t="str">
            <v>Hieroglyphic Modernisms: Writing and New Media in the Twentieth Century</v>
          </cell>
          <cell r="B1032" t="str">
            <v>Ebook - pdf</v>
          </cell>
          <cell r="C1032">
            <v>9781474424783</v>
          </cell>
        </row>
        <row r="1033">
          <cell r="A1033" t="str">
            <v>Higher Education in Scotland and the UK: Diverging or Converging Systems?</v>
          </cell>
          <cell r="B1033" t="str">
            <v>Ebook - pdf</v>
          </cell>
          <cell r="C1033">
            <v>9781474404594</v>
          </cell>
        </row>
        <row r="1034">
          <cell r="A1034" t="str">
            <v>Ḥikāyat Abī al-Qāsim: A Literary Banquet</v>
          </cell>
          <cell r="B1034" t="str">
            <v>Ebook - pdf</v>
          </cell>
          <cell r="C1034">
            <v>9781474402323</v>
          </cell>
        </row>
        <row r="1035">
          <cell r="A1035" t="str">
            <v>Historic New Lanark: The Dale and Owen Industrial Community since 1785</v>
          </cell>
          <cell r="B1035" t="str">
            <v>Ebook - pdf</v>
          </cell>
          <cell r="C1035">
            <v>9781474407823</v>
          </cell>
        </row>
        <row r="1036">
          <cell r="A1036" t="str">
            <v>Historical Dialectology in the Digital Age</v>
          </cell>
          <cell r="B1036" t="str">
            <v>Ebook - pdf</v>
          </cell>
          <cell r="C1036">
            <v>9781474430555</v>
          </cell>
        </row>
        <row r="1037">
          <cell r="A1037" t="str">
            <v>Historical Linguistics: An Introduction</v>
          </cell>
          <cell r="B1037" t="str">
            <v>Ebook - pdf</v>
          </cell>
          <cell r="C1037">
            <v>9781474463133</v>
          </cell>
        </row>
        <row r="1038">
          <cell r="A1038" t="str">
            <v>Historicising Ancient Slavery</v>
          </cell>
          <cell r="B1038" t="str">
            <v>Ebook - pdf</v>
          </cell>
          <cell r="C1038">
            <v>9781474487238</v>
          </cell>
        </row>
        <row r="1039">
          <cell r="A1039" t="str">
            <v>History and Becoming: Deleuze's Philosophy of Creativity</v>
          </cell>
          <cell r="B1039" t="str">
            <v>Ebook - pdf</v>
          </cell>
          <cell r="C1039">
            <v>9780748645312</v>
          </cell>
        </row>
        <row r="1040">
          <cell r="A1040" t="str">
            <v>History and Event: From Marxism to Contemporary French Theory</v>
          </cell>
          <cell r="B1040" t="str">
            <v>Ebook - pdf</v>
          </cell>
          <cell r="C1040">
            <v>9780748699001</v>
          </cell>
        </row>
        <row r="1041">
          <cell r="A1041" t="str">
            <v>History of Ancient Egypt: Translated by David Lorton</v>
          </cell>
          <cell r="B1041" t="str">
            <v>Ebook - pdf</v>
          </cell>
          <cell r="C1041">
            <v>9781474469326</v>
          </cell>
        </row>
        <row r="1042">
          <cell r="A1042" t="str">
            <v>History of the Social-Democratic Federation</v>
          </cell>
          <cell r="B1042" t="str">
            <v>Ebook - pdf</v>
          </cell>
          <cell r="C1042">
            <v>9781474465953</v>
          </cell>
        </row>
        <row r="1043">
          <cell r="A1043" t="str">
            <v>Hobbes and Modern Political Thought</v>
          </cell>
          <cell r="B1043" t="str">
            <v>Ebook - pdf</v>
          </cell>
          <cell r="C1043">
            <v>9781474401203</v>
          </cell>
        </row>
        <row r="1044">
          <cell r="A1044" t="str">
            <v>Hölderlin's Philosophy of Nature</v>
          </cell>
          <cell r="B1044" t="str">
            <v>Ebook - pdf</v>
          </cell>
          <cell r="C1044">
            <v>9781474454186</v>
          </cell>
        </row>
        <row r="1045">
          <cell r="A1045" t="str">
            <v>Hollywood and the Great Depression: American Film, Politics and Society in the 1930s</v>
          </cell>
          <cell r="B1045" t="str">
            <v>Ebook - pdf</v>
          </cell>
          <cell r="C1045">
            <v>9780748699933</v>
          </cell>
        </row>
        <row r="1046">
          <cell r="A1046" t="str">
            <v>Hollywood's Blacklists: A Political and Cultural History</v>
          </cell>
          <cell r="B1046" t="str">
            <v>Ebook - pdf</v>
          </cell>
          <cell r="C1046">
            <v>9780748630523</v>
          </cell>
        </row>
        <row r="1047">
          <cell r="A1047" t="str">
            <v>Hollywood's Cold War</v>
          </cell>
          <cell r="B1047" t="str">
            <v>Ebook - pdf</v>
          </cell>
          <cell r="C1047">
            <v>9780748630738</v>
          </cell>
        </row>
        <row r="1048">
          <cell r="A1048" t="str">
            <v>Hollywood's Indies: Classics Divisions, Specialty Labels and American Independent Cinema</v>
          </cell>
          <cell r="B1048" t="str">
            <v>Ebook - pdf</v>
          </cell>
          <cell r="C1048">
            <v>9780748649594</v>
          </cell>
        </row>
        <row r="1049">
          <cell r="A1049" t="str">
            <v>Holocaust Poetry: Awkward Poetics in the Work of Sylvia Plath, Geoffrey Hill, Tony Harrison and Ted Hughes</v>
          </cell>
          <cell r="B1049" t="str">
            <v>Ebook - pdf</v>
          </cell>
          <cell r="C1049">
            <v>9781474472210</v>
          </cell>
        </row>
        <row r="1050">
          <cell r="A1050" t="str">
            <v>Holyrood: The Inside Story</v>
          </cell>
          <cell r="B1050" t="str">
            <v>Ebook - pdf</v>
          </cell>
          <cell r="C1050">
            <v>9781474464086</v>
          </cell>
        </row>
        <row r="1051">
          <cell r="A1051" t="str">
            <v>Home and Identity in Nineteenth-Century Literary London</v>
          </cell>
          <cell r="B1051" t="str">
            <v>Ebook - pdf</v>
          </cell>
          <cell r="C1051">
            <v>9781474457903</v>
          </cell>
        </row>
        <row r="1052">
          <cell r="A1052" t="str">
            <v>Homer's 'Odyssey': A Reading Guide</v>
          </cell>
          <cell r="B1052" t="str">
            <v>Ebook - pdf</v>
          </cell>
          <cell r="C1052">
            <v>9781474471749</v>
          </cell>
        </row>
        <row r="1053">
          <cell r="A1053" t="str">
            <v>Homo Natura: Nietzsche, Philosophical Anthropology and Biopolitics</v>
          </cell>
          <cell r="B1053" t="str">
            <v>Ebook - pdf</v>
          </cell>
          <cell r="C1053">
            <v>9781474466738</v>
          </cell>
        </row>
        <row r="1054">
          <cell r="A1054" t="str">
            <v>Hong Kong Documentary Film</v>
          </cell>
          <cell r="B1054" t="str">
            <v>Ebook - pdf</v>
          </cell>
          <cell r="C1054">
            <v>9780748664702</v>
          </cell>
        </row>
        <row r="1055">
          <cell r="A1055" t="str">
            <v>Hong Kong English</v>
          </cell>
          <cell r="B1055" t="str">
            <v>Ebook - pdf</v>
          </cell>
          <cell r="C1055">
            <v>9780748635979</v>
          </cell>
        </row>
        <row r="1056">
          <cell r="A1056" t="str">
            <v>Hong Kong Horror Cinema</v>
          </cell>
          <cell r="B1056" t="str">
            <v>Ebook - pdf</v>
          </cell>
          <cell r="C1056">
            <v>9781474424608</v>
          </cell>
        </row>
        <row r="1057">
          <cell r="A1057" t="str">
            <v>Hong Kong Neo-Noir</v>
          </cell>
          <cell r="B1057" t="str">
            <v>Ebook - pdf</v>
          </cell>
          <cell r="C1057">
            <v>9781474412674</v>
          </cell>
        </row>
        <row r="1058">
          <cell r="A1058" t="str">
            <v>Hotel Modernity: Corporate Space in Literature and Film</v>
          </cell>
          <cell r="B1058" t="str">
            <v>Ebook - pdf</v>
          </cell>
          <cell r="C1058">
            <v>9781474456678</v>
          </cell>
        </row>
        <row r="1059">
          <cell r="A1059" t="str">
            <v>Housing Law in Scotland</v>
          </cell>
          <cell r="B1059" t="str">
            <v>Ebook - pdf</v>
          </cell>
          <cell r="C1059">
            <v>9780748699384</v>
          </cell>
        </row>
        <row r="1060">
          <cell r="A1060" t="str">
            <v>How Information Warfare Shaped the Arab Spring: The Politics of Narrative in Egypt and Tunisia</v>
          </cell>
          <cell r="B1060" t="str">
            <v>Ebook - pdf</v>
          </cell>
          <cell r="C1060">
            <v>9781474453974</v>
          </cell>
        </row>
        <row r="1061">
          <cell r="A1061" t="str">
            <v>How ISIS Fights: Military Tactics in Iraq, Syria, Libya and Egypt</v>
          </cell>
          <cell r="B1061" t="str">
            <v>Ebook - pdf</v>
          </cell>
          <cell r="C1061">
            <v>9781474438230</v>
          </cell>
        </row>
        <row r="1062">
          <cell r="A1062" t="str">
            <v>How Literature Comes to Matter: Post-Anthropocentric Approaches to Fiction</v>
          </cell>
          <cell r="B1062" t="str">
            <v>Ebook - pdf</v>
          </cell>
          <cell r="C1062">
            <v>9781474461344</v>
          </cell>
        </row>
        <row r="1063">
          <cell r="A1063" t="str">
            <v>How Much For A Leg?: Assessing the Process of Assessment of Non-Pecuniary Personal Injury Damages in Scotland</v>
          </cell>
          <cell r="B1063" t="str">
            <v>Ebook - pdf</v>
          </cell>
          <cell r="C1063">
            <v>9780748698523</v>
          </cell>
        </row>
        <row r="1064">
          <cell r="A1064" t="str">
            <v>How to Read the Qur'an: A New Guide, with Select Translations</v>
          </cell>
          <cell r="B1064" t="str">
            <v>Ebook - pdf</v>
          </cell>
          <cell r="C1064">
            <v>9781474468077</v>
          </cell>
        </row>
        <row r="1065">
          <cell r="A1065" t="str">
            <v>How to Write in Arabic: Developing Your Academic Writing Style</v>
          </cell>
          <cell r="B1065" t="str">
            <v>Ebook - pdf</v>
          </cell>
          <cell r="C1065">
            <v>9781474457392</v>
          </cell>
        </row>
        <row r="1066">
          <cell r="A1066" t="str">
            <v>Hubert Crackanthorpe, Wreckage: Seven Studies</v>
          </cell>
          <cell r="B1066" t="str">
            <v>Ebook - pdf</v>
          </cell>
          <cell r="C1066">
            <v>9781474448376</v>
          </cell>
        </row>
        <row r="1067">
          <cell r="A1067" t="str">
            <v>Hugh MacDiarmid's Epic Poetry</v>
          </cell>
          <cell r="B1067" t="str">
            <v>Ebook - pdf</v>
          </cell>
          <cell r="C1067">
            <v>9781474471992</v>
          </cell>
        </row>
        <row r="1068">
          <cell r="A1068" t="str">
            <v>Hugh MacDiarmid's Poetry and Politics of Place: Imagining a Scottish Republic</v>
          </cell>
          <cell r="B1068" t="str">
            <v>Ebook - pdf</v>
          </cell>
          <cell r="C1068">
            <v>9780748630059</v>
          </cell>
        </row>
        <row r="1069">
          <cell r="A1069" t="str">
            <v>Human Rights and Community-led Development: Lessons from Tostan</v>
          </cell>
          <cell r="B1069" t="str">
            <v>Ebook - pdf</v>
          </cell>
          <cell r="C1069">
            <v>9781474419802</v>
          </cell>
        </row>
        <row r="1070">
          <cell r="A1070" t="str">
            <v>Human Rights and Cultural Diversity: Core Issues and Cases</v>
          </cell>
          <cell r="B1070" t="str">
            <v>Ebook - pdf</v>
          </cell>
          <cell r="C1070">
            <v>9781474401173</v>
          </cell>
        </row>
        <row r="1071">
          <cell r="A1071" t="str">
            <v>Human Rights and Reformist Islam</v>
          </cell>
          <cell r="B1071" t="str">
            <v>Ebook - pdf</v>
          </cell>
          <cell r="C1071">
            <v>9781474449335</v>
          </cell>
        </row>
        <row r="1072">
          <cell r="A1072" t="str">
            <v>Human Rights from Community: A Rights-Based Approach to Development</v>
          </cell>
          <cell r="B1072" t="str">
            <v>Ebook - pdf</v>
          </cell>
          <cell r="C1072">
            <v>9780748654680</v>
          </cell>
        </row>
        <row r="1073">
          <cell r="A1073" t="str">
            <v>Human Rights Law Essentials</v>
          </cell>
          <cell r="B1073" t="str">
            <v>Ebook - pdf</v>
          </cell>
          <cell r="C1073">
            <v>9780748698387</v>
          </cell>
        </row>
        <row r="1074">
          <cell r="A1074" t="str">
            <v>Human Trafficking: The Complexities of Exploitation</v>
          </cell>
          <cell r="B1074" t="str">
            <v>Ebook - pdf</v>
          </cell>
          <cell r="C1074">
            <v>9781474401135</v>
          </cell>
        </row>
        <row r="1075">
          <cell r="A1075" t="str">
            <v>Humanitarian Intervention and the United Nations</v>
          </cell>
          <cell r="B1075" t="str">
            <v>Ebook - pdf</v>
          </cell>
          <cell r="C1075">
            <v>9780748636983</v>
          </cell>
        </row>
        <row r="1076">
          <cell r="A1076" t="str">
            <v>Humboldt, Worldview and Language</v>
          </cell>
          <cell r="B1076" t="str">
            <v>Ebook - pdf</v>
          </cell>
          <cell r="C1076">
            <v>9780748640225</v>
          </cell>
        </row>
        <row r="1077">
          <cell r="A1077" t="str">
            <v>Hume's Sceptical Enlightenment</v>
          </cell>
          <cell r="B1077" t="str">
            <v>Ebook - pdf</v>
          </cell>
          <cell r="C1077">
            <v>9780748699810</v>
          </cell>
        </row>
        <row r="1078">
          <cell r="A1078" t="str">
            <v>Hume's Scepticism: Pyrrhonian and Academic</v>
          </cell>
          <cell r="B1078" t="str">
            <v>Ebook - pdf</v>
          </cell>
          <cell r="C1078">
            <v>9781474451147</v>
          </cell>
        </row>
        <row r="1079">
          <cell r="A1079" t="str">
            <v>Hydrofictions: Water, Power and Politics in Israeli and Palestinian Literature</v>
          </cell>
          <cell r="B1079" t="str">
            <v>Ebook - pdf</v>
          </cell>
          <cell r="C1079">
            <v>9781474443821</v>
          </cell>
        </row>
        <row r="1080">
          <cell r="A1080" t="str">
            <v>I Am: A Philosophical Inquiry into First-Person Being</v>
          </cell>
          <cell r="B1080" t="str">
            <v>Ebook - pdf</v>
          </cell>
          <cell r="C1080">
            <v>9781474473002</v>
          </cell>
        </row>
        <row r="1081">
          <cell r="A1081" t="str">
            <v>I Could Speak Until Tomorrow: Oriki, Women &amp; the Past in a Yoruba Town</v>
          </cell>
          <cell r="B1081" t="str">
            <v>Ebook - pdf</v>
          </cell>
          <cell r="C1081">
            <v>9780748699186</v>
          </cell>
        </row>
        <row r="1082">
          <cell r="A1082" t="str">
            <v>Ibn Khaldun: Life and Times</v>
          </cell>
          <cell r="B1082" t="str">
            <v>Ebook - pdf</v>
          </cell>
          <cell r="C1082">
            <v>9780748642267</v>
          </cell>
        </row>
        <row r="1083">
          <cell r="A1083" t="str">
            <v>Ibn'Aqil: Religion and Culture in Classical Islam</v>
          </cell>
          <cell r="B1083" t="str">
            <v>Ebook - pdf</v>
          </cell>
          <cell r="C1083">
            <v>9781474470636</v>
          </cell>
        </row>
        <row r="1084">
          <cell r="A1084" t="str">
            <v>Iconoclastic Theology: Gilles Deleuze and the Secretion of Atheism</v>
          </cell>
          <cell r="B1084" t="str">
            <v>Ebook - pdf</v>
          </cell>
          <cell r="C1084">
            <v>9780748684144</v>
          </cell>
        </row>
        <row r="1085">
          <cell r="A1085" t="str">
            <v>Identity, Culture and the Postmodern World</v>
          </cell>
          <cell r="B1085" t="str">
            <v>Ebook - pdf</v>
          </cell>
          <cell r="C1085">
            <v>9781474472272</v>
          </cell>
        </row>
        <row r="1086">
          <cell r="A1086" t="str">
            <v>Ideology, Rhetoric, Aesthetics: For De Man</v>
          </cell>
          <cell r="B1086" t="str">
            <v>Ebook - pdf</v>
          </cell>
          <cell r="C1086">
            <v>9780748681273</v>
          </cell>
        </row>
        <row r="1087">
          <cell r="A1087" t="str">
            <v>If I Survive: Frederick Douglass and Family in the Walter O. Evans Collection</v>
          </cell>
          <cell r="B1087" t="str">
            <v>Ebook - pdf</v>
          </cell>
          <cell r="C1087">
            <v>9781474439732</v>
          </cell>
        </row>
        <row r="1088">
          <cell r="A1088" t="str">
            <v>Illicit and Unnatural Practices: The Law, Sex and Society in Scotland since 1900</v>
          </cell>
          <cell r="B1088" t="str">
            <v>Ebook - pdf</v>
          </cell>
          <cell r="C1088">
            <v>9781474441216</v>
          </cell>
        </row>
        <row r="1089">
          <cell r="A1089" t="str">
            <v>Illness as Many Narratives: Arts, Medicine and Culture</v>
          </cell>
          <cell r="B1089" t="str">
            <v>Ebook - pdf</v>
          </cell>
          <cell r="C1089">
            <v>9781474402439</v>
          </cell>
        </row>
        <row r="1090">
          <cell r="A1090" t="str">
            <v>Images of Apartheid: Filmmaking on the Fringe in the Old South Africa</v>
          </cell>
          <cell r="B1090" t="str">
            <v>Ebook - pdf</v>
          </cell>
          <cell r="C1090">
            <v>9781474450041</v>
          </cell>
        </row>
        <row r="1091">
          <cell r="A1091" t="str">
            <v>Imagined States: Law and Literature in Nigeria</v>
          </cell>
          <cell r="B1091" t="str">
            <v>Ebook - pdf</v>
          </cell>
          <cell r="C1091">
            <v>9781474420846</v>
          </cell>
        </row>
        <row r="1092">
          <cell r="A1092" t="str">
            <v>Imagining Surveillance: Eutopian and Dystopian Literature and Film</v>
          </cell>
          <cell r="B1092" t="str">
            <v>Ebook - pdf</v>
          </cell>
          <cell r="C1092">
            <v>9781474400206</v>
          </cell>
        </row>
        <row r="1093">
          <cell r="A1093" t="str">
            <v>Imagining the Arabs: Arab Identity and the Rise of Islam</v>
          </cell>
          <cell r="B1093" t="str">
            <v>Ebook - pdf</v>
          </cell>
          <cell r="C1093">
            <v>9781474408271</v>
          </cell>
        </row>
        <row r="1094">
          <cell r="A1094" t="str">
            <v>Imagining the Cape Colony: History, Literature, and the South African Nation</v>
          </cell>
          <cell r="B1094" t="str">
            <v>Ebook - pdf</v>
          </cell>
          <cell r="C1094">
            <v>9780748650873</v>
          </cell>
        </row>
        <row r="1095">
          <cell r="A1095" t="str">
            <v>Immanence - Deleuze and Philosophy</v>
          </cell>
          <cell r="B1095" t="str">
            <v>Ebook - pdf</v>
          </cell>
          <cell r="C1095">
            <v>9780748638314</v>
          </cell>
        </row>
        <row r="1096">
          <cell r="A1096" t="str">
            <v>Immanence and Micropolitics: Sartre, Merleau-Ponty, Foucault and Deleuze</v>
          </cell>
          <cell r="B1096" t="str">
            <v>Ebook - pdf</v>
          </cell>
          <cell r="C1096">
            <v>9781474417891</v>
          </cell>
        </row>
        <row r="1097">
          <cell r="A1097" t="str">
            <v>Immanence and the Vertigo of Philosophy: From Kant to Deleuze</v>
          </cell>
          <cell r="B1097" t="str">
            <v>Ebook - pdf</v>
          </cell>
          <cell r="C1097">
            <v>9781474469807</v>
          </cell>
        </row>
        <row r="1098">
          <cell r="A1098" t="str">
            <v>Immateriality and Early Modern English Literature: Shakespeare, Donne, Herbert</v>
          </cell>
          <cell r="B1098" t="str">
            <v>Ebook - pdf</v>
          </cell>
          <cell r="C1098">
            <v>9781474457125</v>
          </cell>
        </row>
        <row r="1099">
          <cell r="A1099" t="str">
            <v>Immigration Justice</v>
          </cell>
          <cell r="B1099" t="str">
            <v>Ebook - pdf</v>
          </cell>
          <cell r="C1099">
            <v>9780748670277</v>
          </cell>
        </row>
        <row r="1100">
          <cell r="A1100" t="str">
            <v>Impaled Upon a Thistle: Scotland since 1880</v>
          </cell>
          <cell r="B1100" t="str">
            <v>Ebook - pdf</v>
          </cell>
          <cell r="C1100">
            <v>9781474481014</v>
          </cell>
        </row>
        <row r="1101">
          <cell r="A1101" t="str">
            <v>Impartiality, Neutrality and Justice: Re-Reading Brian Barry's Justice as Impartiality</v>
          </cell>
          <cell r="B1101" t="str">
            <v>Ebook - pdf</v>
          </cell>
          <cell r="C1101">
            <v>9781474469739</v>
          </cell>
        </row>
        <row r="1102">
          <cell r="A1102" t="str">
            <v>Imperial Muslims: Islam, Community and Authority in the Indian Ocean, 1839-1937</v>
          </cell>
          <cell r="B1102" t="str">
            <v>Ebook - pdf</v>
          </cell>
          <cell r="C1102">
            <v>9780748697663</v>
          </cell>
        </row>
        <row r="1103">
          <cell r="A1103" t="str">
            <v>Imperial Rome AD 193 to 284: The Critical Century</v>
          </cell>
          <cell r="B1103" t="str">
            <v>Ebook - pdf</v>
          </cell>
          <cell r="C1103">
            <v>9780748629206</v>
          </cell>
        </row>
        <row r="1104">
          <cell r="A1104" t="str">
            <v>Imperial Rome AD 284 to 363: The New Empire</v>
          </cell>
          <cell r="B1104" t="str">
            <v>Ebook - pdf</v>
          </cell>
          <cell r="C1104">
            <v>9780748629213</v>
          </cell>
        </row>
        <row r="1105">
          <cell r="A1105" t="str">
            <v>Imperial Visions of Late Byzantium: Manuel II Palaiologos and Rhetoric in Purple</v>
          </cell>
          <cell r="B1105" t="str">
            <v>Ebook - pdf</v>
          </cell>
          <cell r="C1105">
            <v>9781474441056</v>
          </cell>
        </row>
        <row r="1106">
          <cell r="A1106" t="str">
            <v>Impossible Puzzle Films: A Cognitive Approach to Contemporary Complex Cinema</v>
          </cell>
          <cell r="B1106" t="str">
            <v>Ebook - pdf</v>
          </cell>
          <cell r="C1106">
            <v>9781474406734</v>
          </cell>
        </row>
        <row r="1107">
          <cell r="A1107" t="str">
            <v>Improving Passions: Sentimental Aesthetics and American Film</v>
          </cell>
          <cell r="B1107" t="str">
            <v>Ebook - pdf</v>
          </cell>
          <cell r="C1107">
            <v>9780748698202</v>
          </cell>
        </row>
        <row r="1108">
          <cell r="A1108" t="str">
            <v>In Lady Audley's Shadow: Mary Elizabeth Braddon and Victorian Literary Genres</v>
          </cell>
          <cell r="B1108" t="str">
            <v>Ebook - pdf</v>
          </cell>
          <cell r="C1108">
            <v>9780748643677</v>
          </cell>
        </row>
        <row r="1109">
          <cell r="A1109" t="str">
            <v>In Memory of Jacques Derrida</v>
          </cell>
          <cell r="B1109" t="str">
            <v>Ebook - pdf</v>
          </cell>
          <cell r="C1109">
            <v>9780748632282</v>
          </cell>
        </row>
        <row r="1110">
          <cell r="A1110" t="str">
            <v>In Search of Scotland</v>
          </cell>
          <cell r="B1110" t="str">
            <v>Ebook - pdf</v>
          </cell>
          <cell r="C1110">
            <v>9780585441764</v>
          </cell>
        </row>
        <row r="1111">
          <cell r="A1111" t="str">
            <v>In Search of the Way: Legal Philosophy of the Classic Chinese Thinkers</v>
          </cell>
          <cell r="B1111" t="str">
            <v>Ebook - pdf</v>
          </cell>
          <cell r="C1111">
            <v>9780748669578</v>
          </cell>
        </row>
        <row r="1112">
          <cell r="A1112" t="str">
            <v>In Secrecy's Shadow: The OSS and CIA in Hollywood Cinema 1941-1979</v>
          </cell>
          <cell r="B1112" t="str">
            <v>Ebook - pdf</v>
          </cell>
          <cell r="C1112">
            <v>9780748693009</v>
          </cell>
        </row>
        <row r="1113">
          <cell r="A1113" t="str">
            <v>In the Archive of Longing: Susan Sontag's Critical Modernism</v>
          </cell>
          <cell r="B1113" t="str">
            <v>Ebook - pdf</v>
          </cell>
          <cell r="C1113">
            <v>9781474414357</v>
          </cell>
        </row>
        <row r="1114">
          <cell r="A1114" t="str">
            <v>In the Company of Nurses: The History of the British Army Nursing Service in the Great War</v>
          </cell>
          <cell r="B1114" t="str">
            <v>Ebook - pdf</v>
          </cell>
          <cell r="C1114">
            <v>9780748679126</v>
          </cell>
        </row>
        <row r="1115">
          <cell r="A1115" t="str">
            <v>Indefinite Visions: Cinema and the Attractions of Uncertainty</v>
          </cell>
          <cell r="B1115" t="str">
            <v>Ebook - pdf</v>
          </cell>
          <cell r="C1115">
            <v>9781474407137</v>
          </cell>
        </row>
        <row r="1116">
          <cell r="A1116" t="str">
            <v>Independence and Nationhood: Scotland 1306-1469</v>
          </cell>
          <cell r="B1116" t="str">
            <v>Ebook - pdf</v>
          </cell>
          <cell r="C1116">
            <v>9781474468633</v>
          </cell>
        </row>
        <row r="1117">
          <cell r="A1117" t="str">
            <v>Independent African: John Chilembwe and the origins, setting and significance of the Nyasaland native rising of 1915</v>
          </cell>
          <cell r="B1117" t="str">
            <v>Ebook - pdf</v>
          </cell>
          <cell r="C1117">
            <v>9780748673520</v>
          </cell>
        </row>
        <row r="1118">
          <cell r="A1118" t="str">
            <v>Independent Chinese Documentary: Alternative Visions, Alternative Publics</v>
          </cell>
          <cell r="B1118" t="str">
            <v>Ebook - pdf</v>
          </cell>
          <cell r="C1118">
            <v>9780748695638</v>
          </cell>
        </row>
        <row r="1119">
          <cell r="A1119" t="str">
            <v>Indexicalism: The Metaphysics of Paradox</v>
          </cell>
          <cell r="B1119" t="str">
            <v>Ebook - pdf</v>
          </cell>
          <cell r="C1119">
            <v>9781474480321</v>
          </cell>
        </row>
        <row r="1120">
          <cell r="A1120" t="str">
            <v>Indian Documentary Film and Filmmakers: Independence in Practice</v>
          </cell>
          <cell r="B1120" t="str">
            <v>Ebook - pdf</v>
          </cell>
          <cell r="C1120">
            <v>9781474433082</v>
          </cell>
        </row>
        <row r="1121">
          <cell r="A1121" t="str">
            <v>Indian English</v>
          </cell>
          <cell r="B1121" t="str">
            <v>Ebook - pdf</v>
          </cell>
          <cell r="C1121">
            <v>9780748631254</v>
          </cell>
        </row>
        <row r="1122">
          <cell r="A1122" t="str">
            <v>Indian Philosophy A–Z</v>
          </cell>
          <cell r="B1122" t="str">
            <v>Ebook - pdf</v>
          </cell>
          <cell r="C1122">
            <v>9780748680849</v>
          </cell>
        </row>
        <row r="1123">
          <cell r="A1123" t="str">
            <v>Indian Philosophy: An Introduction to Hindu and Buddhist Thought</v>
          </cell>
          <cell r="B1123" t="str">
            <v>Ebook - pdf</v>
          </cell>
          <cell r="C1123">
            <v>9781474469890</v>
          </cell>
        </row>
        <row r="1124">
          <cell r="A1124" t="str">
            <v>Indie Reframed: Women’s Filmmaking and Contemporary American Independent Cinema</v>
          </cell>
          <cell r="B1124" t="str">
            <v>Ebook - pdf</v>
          </cell>
          <cell r="C1124">
            <v>9781474403931</v>
          </cell>
        </row>
        <row r="1125">
          <cell r="A1125" t="str">
            <v>Indigenising Anthropology with Guattari and Deleuze</v>
          </cell>
          <cell r="B1125" t="str">
            <v>Ebook - pdf</v>
          </cell>
          <cell r="C1125">
            <v>9781474450324</v>
          </cell>
        </row>
        <row r="1126">
          <cell r="A1126" t="str">
            <v>Industrial Nation: Work, Culture and Society in Scotland, 1800 - present</v>
          </cell>
          <cell r="B1126" t="str">
            <v>Ebook - pdf</v>
          </cell>
          <cell r="C1126">
            <v>9781474469906</v>
          </cell>
        </row>
        <row r="1127">
          <cell r="A1127" t="str">
            <v>Industry and Ethos: Scotland 1832-1914</v>
          </cell>
          <cell r="B1127" t="str">
            <v>Ebook - pdf</v>
          </cell>
          <cell r="C1127">
            <v>9781474465694</v>
          </cell>
        </row>
        <row r="1128">
          <cell r="A1128" t="str">
            <v>Industry, Reform and Empire: Scotland, 1790-1880</v>
          </cell>
          <cell r="B1128" t="str">
            <v>Ebook - pdf</v>
          </cell>
          <cell r="C1128">
            <v>9780748628483</v>
          </cell>
        </row>
        <row r="1129">
          <cell r="A1129" t="str">
            <v>Inheriting Gadamer: New Directions in Philosophical Hermeneutics</v>
          </cell>
          <cell r="B1129" t="str">
            <v>Ebook - pdf</v>
          </cell>
          <cell r="C1129">
            <v>9780748698981</v>
          </cell>
        </row>
        <row r="1130">
          <cell r="A1130" t="str">
            <v>Innovation, Incentive and Reward: Intellectual Property Law and Policy: Hume Papers on Public Policy  5.3</v>
          </cell>
          <cell r="B1130" t="str">
            <v>Ebook - pdf</v>
          </cell>
          <cell r="C1130">
            <v>9780585156408</v>
          </cell>
        </row>
        <row r="1131">
          <cell r="A1131" t="str">
            <v>Inside the IRA: Dissident Republicans and the War for Legitimacy</v>
          </cell>
          <cell r="B1131" t="str">
            <v>Ebook - pdf</v>
          </cell>
          <cell r="C1131">
            <v>9780748646043</v>
          </cell>
        </row>
        <row r="1132">
          <cell r="A1132" t="str">
            <v>Institutions in Global Distributive Justice</v>
          </cell>
          <cell r="B1132" t="str">
            <v>Ebook - pdf</v>
          </cell>
          <cell r="C1132">
            <v>9780748644728</v>
          </cell>
        </row>
        <row r="1133">
          <cell r="A1133" t="str">
            <v>Intellectual Property Law Essentials</v>
          </cell>
          <cell r="B1133" t="str">
            <v>Ebook - pdf</v>
          </cell>
          <cell r="C1133">
            <v>9780748698394</v>
          </cell>
        </row>
        <row r="1134">
          <cell r="A1134" t="str">
            <v>Intellectual Property Law Essentials</v>
          </cell>
          <cell r="B1134" t="str">
            <v>Ebook - pdf</v>
          </cell>
          <cell r="C1134">
            <v>9781474472791</v>
          </cell>
        </row>
        <row r="1135">
          <cell r="A1135" t="str">
            <v>Intelligence and Metadrama in the Early Modern Theatre</v>
          </cell>
          <cell r="B1135" t="str">
            <v>Ebook - pdf</v>
          </cell>
          <cell r="C1135">
            <v>9781474432931</v>
          </cell>
        </row>
        <row r="1136">
          <cell r="A1136" t="str">
            <v>Intelligence Arabic</v>
          </cell>
          <cell r="B1136" t="str">
            <v>Ebook - pdf</v>
          </cell>
          <cell r="C1136">
            <v>9781474401470</v>
          </cell>
        </row>
        <row r="1137">
          <cell r="A1137" t="str">
            <v>Intelligence Studies in Britain and the US: Historiography since 1945</v>
          </cell>
          <cell r="B1137" t="str">
            <v>Ebook - pdf</v>
          </cell>
          <cell r="C1137">
            <v>9780748677566</v>
          </cell>
        </row>
        <row r="1138">
          <cell r="A1138" t="str">
            <v>Intending Scotland: Explorations in Scottish Culture since the Enlightenment</v>
          </cell>
          <cell r="B1138" t="str">
            <v>Ebook - pdf</v>
          </cell>
          <cell r="C1138">
            <v>9780748679331</v>
          </cell>
        </row>
        <row r="1139">
          <cell r="A1139" t="str">
            <v>Intercultural Communication: A Critical Introduction</v>
          </cell>
          <cell r="B1139" t="str">
            <v>Ebook - pdf</v>
          </cell>
          <cell r="C1139">
            <v>9781474412926</v>
          </cell>
        </row>
        <row r="1140">
          <cell r="A1140" t="str">
            <v>Intercultural Screen Adaptation: British and Global Case Studies</v>
          </cell>
          <cell r="B1140" t="str">
            <v>Ebook - pdf</v>
          </cell>
          <cell r="C1140">
            <v>9781474452052</v>
          </cell>
        </row>
        <row r="1141">
          <cell r="A1141" t="str">
            <v>Intermedial Dialogues: The French New Wave and the Other Arts</v>
          </cell>
          <cell r="B1141" t="str">
            <v>Ebook - pdf</v>
          </cell>
          <cell r="C1141">
            <v>9781474410649</v>
          </cell>
        </row>
        <row r="1142">
          <cell r="A1142" t="str">
            <v>Intermittency: The Concept of Historical Reason in Recent French Philosophy</v>
          </cell>
          <cell r="B1142" t="str">
            <v>Ebook - pdf</v>
          </cell>
          <cell r="C1142">
            <v>9780748637584</v>
          </cell>
        </row>
        <row r="1143">
          <cell r="A1143" t="str">
            <v>Intermodernism: Literary Culture in Mid-Twentieth-Century Britain</v>
          </cell>
          <cell r="B1143" t="str">
            <v>Ebook - pdf</v>
          </cell>
          <cell r="C1143">
            <v>9780748635108</v>
          </cell>
        </row>
        <row r="1144">
          <cell r="A1144" t="str">
            <v>International Commercial Agreements: An Edinburgh Law Guide</v>
          </cell>
          <cell r="B1144" t="str">
            <v>Ebook - pdf</v>
          </cell>
          <cell r="C1144">
            <v>9780748679058</v>
          </cell>
        </row>
        <row r="1145">
          <cell r="A1145" t="str">
            <v>International Development and Human Aid: Principles, Norms and Institutions for the Global Sphere</v>
          </cell>
          <cell r="B1145" t="str">
            <v>Ebook - pdf</v>
          </cell>
          <cell r="C1145">
            <v>9781474414487</v>
          </cell>
        </row>
        <row r="1146">
          <cell r="A1146" t="str">
            <v>International Law Essentials</v>
          </cell>
          <cell r="B1146" t="str">
            <v>Ebook - pdf</v>
          </cell>
          <cell r="C1146">
            <v>9780748698400</v>
          </cell>
        </row>
        <row r="1147">
          <cell r="A1147" t="str">
            <v>International Noir</v>
          </cell>
          <cell r="B1147" t="str">
            <v>Ebook - pdf</v>
          </cell>
          <cell r="C1147">
            <v>9780748691111</v>
          </cell>
        </row>
        <row r="1148">
          <cell r="A1148" t="str">
            <v>International Politics: An Introductory Guide</v>
          </cell>
          <cell r="B1148" t="str">
            <v>Ebook - pdf</v>
          </cell>
          <cell r="C1148">
            <v>9780748630301</v>
          </cell>
        </row>
        <row r="1149">
          <cell r="A1149" t="str">
            <v>Internet Arabic</v>
          </cell>
          <cell r="B1149" t="str">
            <v>Ebook - pdf</v>
          </cell>
          <cell r="C1149">
            <v>9780748644933</v>
          </cell>
        </row>
        <row r="1150">
          <cell r="A1150" t="str">
            <v>Interpassivity: The Aesthetics of Delegated Enjoyment</v>
          </cell>
          <cell r="B1150" t="str">
            <v>Ebook - pdf</v>
          </cell>
          <cell r="C1150">
            <v>9781474422949</v>
          </cell>
        </row>
        <row r="1151">
          <cell r="A1151" t="str">
            <v>Interpretations of Law and Ethics in Muslim Contexts</v>
          </cell>
          <cell r="B1151" t="str">
            <v>Ebook - pdf</v>
          </cell>
          <cell r="C1151">
            <v>9781474469838</v>
          </cell>
        </row>
        <row r="1152">
          <cell r="A1152" t="str">
            <v>Interventions in Contemporary Thought: History, Politics, Aesthetics</v>
          </cell>
          <cell r="B1152" t="str">
            <v>Ebook - pdf</v>
          </cell>
          <cell r="C1152">
            <v>9781474405379</v>
          </cell>
        </row>
        <row r="1153">
          <cell r="A1153" t="str">
            <v>Introducing Criticism in the 21st Century</v>
          </cell>
          <cell r="B1153" t="str">
            <v>Ebook - pdf</v>
          </cell>
          <cell r="C1153">
            <v>9780748695300</v>
          </cell>
        </row>
        <row r="1154">
          <cell r="A1154" t="str">
            <v>Introducing Linguistic Morphology</v>
          </cell>
          <cell r="B1154" t="str">
            <v>Ebook - pdf</v>
          </cell>
          <cell r="C1154">
            <v>9781474464284</v>
          </cell>
        </row>
        <row r="1155">
          <cell r="A1155" t="str">
            <v>Introducing Literary Theories: A Guide and Glossary</v>
          </cell>
          <cell r="B1155" t="str">
            <v>Ebook - pdf</v>
          </cell>
          <cell r="C1155">
            <v>9781474473637</v>
          </cell>
        </row>
        <row r="1156">
          <cell r="A1156" t="str">
            <v>Introducing Sociolinguistics</v>
          </cell>
          <cell r="B1156" t="str">
            <v>Ebook - pdf</v>
          </cell>
          <cell r="C1156">
            <v>9780748632497</v>
          </cell>
        </row>
        <row r="1157">
          <cell r="A1157" t="str">
            <v>Introduction to Japanese Horror Film</v>
          </cell>
          <cell r="B1157" t="str">
            <v>Ebook - pdf</v>
          </cell>
          <cell r="C1157">
            <v>9780748630592</v>
          </cell>
        </row>
        <row r="1158">
          <cell r="A1158" t="str">
            <v>Introduction to Law and Legal Obligations</v>
          </cell>
          <cell r="B1158" t="str">
            <v>Ebook - pdf</v>
          </cell>
          <cell r="C1158">
            <v>9780748699438</v>
          </cell>
        </row>
        <row r="1159">
          <cell r="A1159" t="str">
            <v>Introduction to the Qur'an</v>
          </cell>
          <cell r="B1159" t="str">
            <v>Ebook - pdf</v>
          </cell>
          <cell r="C1159">
            <v>9781474497008</v>
          </cell>
        </row>
        <row r="1160">
          <cell r="A1160" t="str">
            <v>Inventions of the Skin: The Painted Body in Early English Drama</v>
          </cell>
          <cell r="B1160" t="str">
            <v>Ebook - pdf</v>
          </cell>
          <cell r="C1160">
            <v>9780748670505</v>
          </cell>
        </row>
        <row r="1161">
          <cell r="A1161" t="str">
            <v>Investing for Generations: A History of the Alliance Trust</v>
          </cell>
          <cell r="B1161" t="str">
            <v>Ebook - pdf</v>
          </cell>
          <cell r="C1161">
            <v>9781474471183</v>
          </cell>
        </row>
        <row r="1162">
          <cell r="A1162" t="str">
            <v>Iona: The Earliest Poetry of a Celtic Monastery</v>
          </cell>
          <cell r="B1162" t="str">
            <v>Ebook - pdf</v>
          </cell>
          <cell r="C1162">
            <v>9781474465755</v>
          </cell>
        </row>
        <row r="1163">
          <cell r="A1163" t="str">
            <v>Iona: The Living Memory of a Crofting Community</v>
          </cell>
          <cell r="B1163" t="str">
            <v>Ebook - pdf</v>
          </cell>
          <cell r="C1163">
            <v>9780748673476</v>
          </cell>
        </row>
        <row r="1164">
          <cell r="A1164" t="str">
            <v>Iona: The Living Memory of a Crofting Community</v>
          </cell>
          <cell r="B1164" t="str">
            <v>Ebook - pdf</v>
          </cell>
          <cell r="C1164">
            <v>9781474470407</v>
          </cell>
        </row>
        <row r="1165">
          <cell r="A1165" t="str">
            <v>Iran and Saudi Arabia: Taming a Chaotic Conflict</v>
          </cell>
          <cell r="B1165" t="str">
            <v>Ebook - pdf</v>
          </cell>
          <cell r="C1165">
            <v>9781474466202</v>
          </cell>
        </row>
        <row r="1166">
          <cell r="A1166" t="str">
            <v>Iranian Literature after the Islamic Revolution: Production and Circulation in Iran and the World</v>
          </cell>
          <cell r="B1166" t="str">
            <v>Ebook - pdf</v>
          </cell>
          <cell r="C1166">
            <v>9781474486408</v>
          </cell>
        </row>
        <row r="1167">
          <cell r="A1167" t="str">
            <v>Ireland, Radicalism, and the Scottish Highlands, c.1870-1912</v>
          </cell>
          <cell r="B1167" t="str">
            <v>Ebook - pdf</v>
          </cell>
          <cell r="C1167">
            <v>9781474471282</v>
          </cell>
        </row>
        <row r="1168">
          <cell r="A1168" t="str">
            <v>Irigaray and Politics: A Critical Introduction</v>
          </cell>
          <cell r="B1168" t="str">
            <v>Ebook - pdf</v>
          </cell>
          <cell r="C1168">
            <v>9781474422833</v>
          </cell>
        </row>
        <row r="1169">
          <cell r="A1169" t="str">
            <v>Irish Drama and the Other Revolutions: Playwrights, Sexual Politics and the International Left, 1892-1964</v>
          </cell>
          <cell r="B1169" t="str">
            <v>Ebook - pdf</v>
          </cell>
          <cell r="C1169">
            <v>9781474424479</v>
          </cell>
        </row>
        <row r="1170">
          <cell r="A1170" t="str">
            <v>Irish English, volume 1 - Northern Ireland</v>
          </cell>
          <cell r="B1170" t="str">
            <v>Ebook - pdf</v>
          </cell>
          <cell r="C1170">
            <v>9780748634309</v>
          </cell>
        </row>
        <row r="1171">
          <cell r="A1171" t="str">
            <v>Irish Queer Cinema</v>
          </cell>
          <cell r="B1171" t="str">
            <v>Ebook - pdf</v>
          </cell>
          <cell r="C1171">
            <v>9781474411493</v>
          </cell>
        </row>
        <row r="1172">
          <cell r="A1172" t="str">
            <v>Is Shylock Jewish?: Citing Scripture and the Moral Agency of Shakespeare's Jews</v>
          </cell>
          <cell r="B1172" t="str">
            <v>Ebook - pdf</v>
          </cell>
          <cell r="C1172">
            <v>9781474418393</v>
          </cell>
        </row>
        <row r="1173">
          <cell r="A1173" t="str">
            <v>Isfahan and its Palaces: Statecraft, Shi`ism and the Architecture of Conviviality in Early Modern Iran</v>
          </cell>
          <cell r="B1173" t="str">
            <v>Ebook - pdf</v>
          </cell>
          <cell r="C1173">
            <v>9780748633760</v>
          </cell>
        </row>
        <row r="1174">
          <cell r="A1174" t="str">
            <v>Islam and Colonialism: Becoming Modern in Indonesia and Malaya</v>
          </cell>
          <cell r="B1174" t="str">
            <v>Ebook - pdf</v>
          </cell>
          <cell r="C1174">
            <v>9781474409216</v>
          </cell>
        </row>
        <row r="1175">
          <cell r="A1175" t="str">
            <v>Islam and Economic Policy: An Introduction</v>
          </cell>
          <cell r="B1175" t="str">
            <v>Ebook - pdf</v>
          </cell>
          <cell r="C1175">
            <v>9780748683895</v>
          </cell>
        </row>
        <row r="1176">
          <cell r="A1176" t="str">
            <v>Islam and Literalism: Literal Meaning and Interpretation in Islamic Legal Theory</v>
          </cell>
          <cell r="B1176" t="str">
            <v>Ebook - pdf</v>
          </cell>
          <cell r="C1176">
            <v>9780748631131</v>
          </cell>
        </row>
        <row r="1177">
          <cell r="A1177" t="str">
            <v>Islam and Modernity: Key Issues and Debates</v>
          </cell>
          <cell r="B1177" t="str">
            <v>Ebook - pdf</v>
          </cell>
          <cell r="C1177">
            <v>9780748637942</v>
          </cell>
        </row>
        <row r="1178">
          <cell r="A1178" t="str">
            <v>Islam and the Foundations of Political Power</v>
          </cell>
          <cell r="B1178" t="str">
            <v>Ebook - pdf</v>
          </cell>
          <cell r="C1178">
            <v>9780748656318</v>
          </cell>
        </row>
        <row r="1179">
          <cell r="A1179" t="str">
            <v>Islam and the Prayer Economy: History and Authority in a Malian Town</v>
          </cell>
          <cell r="B1179" t="str">
            <v>Ebook - pdf</v>
          </cell>
          <cell r="C1179">
            <v>9781474472753</v>
          </cell>
        </row>
        <row r="1180">
          <cell r="A1180" t="str">
            <v>Islam in Modern Turkey</v>
          </cell>
          <cell r="B1180" t="str">
            <v>Ebook - pdf</v>
          </cell>
          <cell r="C1180">
            <v>9781474440165</v>
          </cell>
        </row>
        <row r="1181">
          <cell r="A1181" t="str">
            <v>Islam, Christianity and the Mystic Journey: A Comparative Exploration</v>
          </cell>
          <cell r="B1181" t="str">
            <v>Ebook - pdf</v>
          </cell>
          <cell r="C1181">
            <v>9780748646050</v>
          </cell>
        </row>
        <row r="1182">
          <cell r="A1182" t="str">
            <v>Islam, Christianity and the Realms of the Miraculous: A Comparative Exploration</v>
          </cell>
          <cell r="B1182" t="str">
            <v>Ebook - pdf</v>
          </cell>
          <cell r="C1182">
            <v>9780748699070</v>
          </cell>
        </row>
        <row r="1183">
          <cell r="A1183" t="str">
            <v>Islam, Christianity and Tradition: A Comparative Exploration</v>
          </cell>
          <cell r="B1183" t="str">
            <v>Ebook - pdf</v>
          </cell>
          <cell r="C1183">
            <v>9780748630257</v>
          </cell>
        </row>
        <row r="1184">
          <cell r="A1184" t="str">
            <v>Islam: An Historical Introduction</v>
          </cell>
          <cell r="B1184" t="str">
            <v>Ebook - pdf</v>
          </cell>
          <cell r="C1184">
            <v>9780585443867</v>
          </cell>
        </row>
        <row r="1185">
          <cell r="A1185" t="str">
            <v>Islam: Between Message and History</v>
          </cell>
          <cell r="B1185" t="str">
            <v>Ebook - pdf</v>
          </cell>
          <cell r="C1185">
            <v>9780748642076</v>
          </cell>
        </row>
        <row r="1186">
          <cell r="A1186" t="str">
            <v>Islamic Aesthetics: An Introduction</v>
          </cell>
          <cell r="B1186" t="str">
            <v>Ebook - pdf</v>
          </cell>
          <cell r="C1186">
            <v>9781474470179</v>
          </cell>
        </row>
        <row r="1187">
          <cell r="A1187" t="str">
            <v>Islamic and Caste Knowledge Practices among Haalpulaaren in Senegal: Between Mosque and Termite Mound</v>
          </cell>
          <cell r="B1187" t="str">
            <v>Ebook - pdf</v>
          </cell>
          <cell r="C1187">
            <v>9781474467735</v>
          </cell>
        </row>
        <row r="1188">
          <cell r="A1188" t="str">
            <v>Islamic and Ethical Finance in the United Kingdom</v>
          </cell>
          <cell r="B1188" t="str">
            <v>Ebook - pdf</v>
          </cell>
          <cell r="C1188">
            <v>9780748648979</v>
          </cell>
        </row>
        <row r="1189">
          <cell r="A1189" t="str">
            <v>Islamic Architecture: Form, Function and Meaning</v>
          </cell>
          <cell r="B1189" t="str">
            <v>Ebook - pdf</v>
          </cell>
          <cell r="C1189">
            <v>9781474469159</v>
          </cell>
        </row>
        <row r="1190">
          <cell r="A1190" t="str">
            <v>Islamic Arts and Crafts: An Anthology</v>
          </cell>
          <cell r="B1190" t="str">
            <v>Ebook - pdf</v>
          </cell>
          <cell r="C1190">
            <v>9781474409179</v>
          </cell>
        </row>
        <row r="1191">
          <cell r="A1191" t="str">
            <v>Islamic Asset Management : An Asset Class on its Own?</v>
          </cell>
          <cell r="B1191" t="str">
            <v>Ebook - pdf</v>
          </cell>
          <cell r="C1191">
            <v>9780748644865</v>
          </cell>
        </row>
        <row r="1192">
          <cell r="A1192" t="str">
            <v>Islamic Banking and Financial Crisis: Reputation, Stability and Risks</v>
          </cell>
          <cell r="B1192" t="str">
            <v>Ebook - pdf</v>
          </cell>
          <cell r="C1192">
            <v>9780748672370</v>
          </cell>
        </row>
        <row r="1193">
          <cell r="A1193" t="str">
            <v>Islamic Calligraphy</v>
          </cell>
          <cell r="B1193" t="str">
            <v>Ebook - pdf</v>
          </cell>
          <cell r="C1193">
            <v>9781474464475</v>
          </cell>
        </row>
        <row r="1194">
          <cell r="A1194" t="str">
            <v>Islamic Chinoiserie: The Art of Mongol Iran</v>
          </cell>
          <cell r="B1194" t="str">
            <v>Ebook - pdf</v>
          </cell>
          <cell r="C1194">
            <v>9781474469678</v>
          </cell>
        </row>
        <row r="1195">
          <cell r="A1195" t="str">
            <v>Islamic Conversion and Christian Resistance on the Early Modern Stage</v>
          </cell>
          <cell r="B1195" t="str">
            <v>Ebook - pdf</v>
          </cell>
          <cell r="C1195">
            <v>9780748643202</v>
          </cell>
        </row>
        <row r="1196">
          <cell r="A1196" t="str">
            <v>Islamic Creeds</v>
          </cell>
          <cell r="B1196" t="str">
            <v>Ebook - pdf</v>
          </cell>
          <cell r="C1196">
            <v>9781474473460</v>
          </cell>
        </row>
        <row r="1197">
          <cell r="A1197" t="str">
            <v>Islamic Finance in the Global Economy</v>
          </cell>
          <cell r="B1197" t="str">
            <v>Ebook - pdf</v>
          </cell>
          <cell r="C1197">
            <v>9780748631674</v>
          </cell>
        </row>
        <row r="1198">
          <cell r="A1198" t="str">
            <v>Islamic Financial Services in the United Kingdom</v>
          </cell>
          <cell r="B1198" t="str">
            <v>Ebook - pdf</v>
          </cell>
          <cell r="C1198">
            <v>9780748644872</v>
          </cell>
        </row>
        <row r="1199">
          <cell r="A1199" t="str">
            <v>Islamic Inscriptions</v>
          </cell>
          <cell r="B1199" t="str">
            <v>Ebook - pdf</v>
          </cell>
          <cell r="C1199">
            <v>9781474464482</v>
          </cell>
        </row>
        <row r="1200">
          <cell r="A1200" t="str">
            <v>Islamic Law and Empire in Ottoman Cairo</v>
          </cell>
          <cell r="B1200" t="str">
            <v>Ebook - pdf</v>
          </cell>
          <cell r="C1200">
            <v>9781474403108</v>
          </cell>
        </row>
        <row r="1201">
          <cell r="A1201" t="str">
            <v>Islamic Law: From Historical Foundations to Contemporary Practice</v>
          </cell>
          <cell r="B1201" t="str">
            <v>Ebook - pdf</v>
          </cell>
          <cell r="C1201">
            <v>9781474469494</v>
          </cell>
        </row>
        <row r="1202">
          <cell r="A1202" t="str">
            <v>Islamic Manuscripts of Late Medieval Rum, 1270s-1370s: Production, Patronage and the Arts of the Book</v>
          </cell>
          <cell r="B1202" t="str">
            <v>Ebook - pdf</v>
          </cell>
          <cell r="C1202">
            <v>9781474451512</v>
          </cell>
        </row>
        <row r="1203">
          <cell r="A1203" t="str">
            <v>Islamic Medicine</v>
          </cell>
          <cell r="B1203" t="str">
            <v>Ebook - pdf</v>
          </cell>
          <cell r="C1203">
            <v>9781474473378</v>
          </cell>
        </row>
        <row r="1204">
          <cell r="A1204" t="str">
            <v>Islamic Modernism and the Re-Enchantment of the Sacred in the Age of History</v>
          </cell>
          <cell r="B1204" t="str">
            <v>Ebook - pdf</v>
          </cell>
          <cell r="C1204">
            <v>9781474478762</v>
          </cell>
        </row>
        <row r="1205">
          <cell r="A1205" t="str">
            <v>Islamic Names: An Introduction</v>
          </cell>
          <cell r="B1205" t="str">
            <v>Ebook - pdf</v>
          </cell>
          <cell r="C1205">
            <v>9781474472333</v>
          </cell>
        </row>
        <row r="1206">
          <cell r="A1206" t="str">
            <v>Islamic Philosophy and Theology</v>
          </cell>
          <cell r="B1206" t="str">
            <v>Ebook - pdf</v>
          </cell>
          <cell r="C1206">
            <v>9781474473477</v>
          </cell>
        </row>
        <row r="1207">
          <cell r="A1207" t="str">
            <v>Islamic Philosophy A–Z</v>
          </cell>
          <cell r="B1207" t="str">
            <v>Ebook - pdf</v>
          </cell>
          <cell r="C1207">
            <v>9780748629275</v>
          </cell>
        </row>
        <row r="1208">
          <cell r="A1208" t="str">
            <v>Islamic Political Radicalism: A European Perspective</v>
          </cell>
          <cell r="B1208" t="str">
            <v>Ebook - pdf</v>
          </cell>
          <cell r="C1208">
            <v>9780748630868</v>
          </cell>
        </row>
        <row r="1209">
          <cell r="A1209" t="str">
            <v>Islamic Political Thought</v>
          </cell>
          <cell r="B1209" t="str">
            <v>Ebook - pdf</v>
          </cell>
          <cell r="C1209">
            <v>9781474473484</v>
          </cell>
        </row>
        <row r="1210">
          <cell r="A1210" t="str">
            <v>Islamic Reform in Twentieth-Century Africa</v>
          </cell>
          <cell r="B1210" t="str">
            <v>Ebook - pdf</v>
          </cell>
          <cell r="C1210">
            <v>9780748695447</v>
          </cell>
        </row>
        <row r="1211">
          <cell r="A1211" t="str">
            <v>Islamic Science and Engineering</v>
          </cell>
          <cell r="B1211" t="str">
            <v>Ebook - pdf</v>
          </cell>
          <cell r="C1211">
            <v>9781474469135</v>
          </cell>
        </row>
        <row r="1212">
          <cell r="A1212" t="str">
            <v>Islamic Theology in the Turkish Republic</v>
          </cell>
          <cell r="B1212" t="str">
            <v>Ebook - pdf</v>
          </cell>
          <cell r="C1212">
            <v>9781474474955</v>
          </cell>
        </row>
        <row r="1213">
          <cell r="A1213" t="str">
            <v>Islamic Theology: Traditionalism and Rationalism</v>
          </cell>
          <cell r="B1213" t="str">
            <v>Ebook - pdf</v>
          </cell>
          <cell r="C1213">
            <v>9781474463782</v>
          </cell>
        </row>
        <row r="1214">
          <cell r="A1214" t="str">
            <v>Islamic Thought in China: Sino-Muslim Intellectual Evolution from the 17th to the 21st Century</v>
          </cell>
          <cell r="B1214" t="str">
            <v>Ebook - pdf</v>
          </cell>
          <cell r="C1214">
            <v>9781474402286</v>
          </cell>
        </row>
        <row r="1215">
          <cell r="A1215" t="str">
            <v>Islamisation: Comparative Perspectives from History</v>
          </cell>
          <cell r="B1215" t="str">
            <v>Ebook - pdf</v>
          </cell>
          <cell r="C1215">
            <v>9781474417136</v>
          </cell>
        </row>
        <row r="1216">
          <cell r="A1216" t="str">
            <v>Islamists and the Politics of the Arab Uprisings: Governance, Pluralisation and Contention</v>
          </cell>
          <cell r="B1216" t="str">
            <v>Ebook - pdf</v>
          </cell>
          <cell r="C1216">
            <v>9781474419277</v>
          </cell>
        </row>
        <row r="1217">
          <cell r="A1217" t="str">
            <v>Israel/Palestine: Border Representations in Literature and Film</v>
          </cell>
          <cell r="B1217" t="str">
            <v>Ebook - pdf</v>
          </cell>
          <cell r="C1217">
            <v>9781474456142</v>
          </cell>
        </row>
        <row r="1218">
          <cell r="A1218" t="str">
            <v>Italian Horror Cinema</v>
          </cell>
          <cell r="B1218" t="str">
            <v>Ebook - pdf</v>
          </cell>
          <cell r="C1218">
            <v>9780748693535</v>
          </cell>
        </row>
        <row r="1219">
          <cell r="A1219" t="str">
            <v>Italian Neorealist Cinema</v>
          </cell>
          <cell r="B1219" t="str">
            <v>Ebook - pdf</v>
          </cell>
          <cell r="C1219">
            <v>9780748636136</v>
          </cell>
        </row>
        <row r="1220">
          <cell r="A1220" t="str">
            <v>Italian Politics and Nineteenth-Century British Literature and Culture</v>
          </cell>
          <cell r="B1220" t="str">
            <v>Ebook - pdf</v>
          </cell>
          <cell r="C1220">
            <v>9781474447263</v>
          </cell>
        </row>
        <row r="1221">
          <cell r="A1221" t="str">
            <v>Italian Post-Neorealist Cinema</v>
          </cell>
          <cell r="B1221" t="str">
            <v>Ebook - pdf</v>
          </cell>
          <cell r="C1221">
            <v>9780748650736</v>
          </cell>
        </row>
        <row r="1222">
          <cell r="A1222" t="str">
            <v>Italo Calvino</v>
          </cell>
          <cell r="B1222" t="str">
            <v>Ebook - pdf</v>
          </cell>
          <cell r="C1222">
            <v>9781474470902</v>
          </cell>
        </row>
        <row r="1223">
          <cell r="A1223" t="str">
            <v>Ivanhoe</v>
          </cell>
          <cell r="B1223" t="str">
            <v>Ebook - pdf</v>
          </cell>
          <cell r="C1223">
            <v>9780748698608</v>
          </cell>
        </row>
        <row r="1224">
          <cell r="A1224" t="str">
            <v>Ivy Compton-Burnett</v>
          </cell>
          <cell r="B1224" t="str">
            <v>Ebook - pdf</v>
          </cell>
          <cell r="C1224">
            <v>9781474401364</v>
          </cell>
        </row>
        <row r="1225">
          <cell r="A1225" t="str">
            <v>Jacobean Civic Pageants</v>
          </cell>
          <cell r="B1225" t="str">
            <v>Ebook - pdf</v>
          </cell>
          <cell r="C1225">
            <v>9781474467933</v>
          </cell>
        </row>
        <row r="1226">
          <cell r="A1226" t="str">
            <v>Jacques Rancière and the Politics of Art Cinema</v>
          </cell>
          <cell r="B1226" t="str">
            <v>Ebook - pdf</v>
          </cell>
          <cell r="C1226">
            <v>9781474423793</v>
          </cell>
        </row>
        <row r="1227">
          <cell r="A1227" t="str">
            <v>James Benning's Environments: Politics, Ecology, Duration</v>
          </cell>
          <cell r="B1227" t="str">
            <v>Ebook - pdf</v>
          </cell>
          <cell r="C1227">
            <v>9781474417952</v>
          </cell>
        </row>
        <row r="1228">
          <cell r="A1228" t="str">
            <v>James Benning's Environments: Politics, Ecology, Duration</v>
          </cell>
          <cell r="B1228" t="str">
            <v>Ebook - pdf</v>
          </cell>
          <cell r="C1228">
            <v>9781474470346</v>
          </cell>
        </row>
        <row r="1229">
          <cell r="A1229" t="str">
            <v>James Boswell's 'Life of Johnson': An Edition of the Original Manuscript, in Four Volumes; Vol. 4: 1780-1784</v>
          </cell>
          <cell r="B1229" t="str">
            <v>Ebook - pdf</v>
          </cell>
          <cell r="C1229">
            <v>9780748628551</v>
          </cell>
        </row>
        <row r="1230">
          <cell r="A1230" t="str">
            <v>James Boswell's Life of Johnson: Manuscript Edition: Volume 2, 1766–1776</v>
          </cell>
          <cell r="B1230" t="str">
            <v>Ebook - pdf</v>
          </cell>
          <cell r="C1230">
            <v>9780585378602</v>
          </cell>
        </row>
        <row r="1231">
          <cell r="A1231" t="str">
            <v>James Hogg: A Life</v>
          </cell>
          <cell r="B1231" t="str">
            <v>Ebook - pdf</v>
          </cell>
          <cell r="C1231">
            <v>9780748628681</v>
          </cell>
        </row>
        <row r="1232">
          <cell r="A1232" t="str">
            <v>James Hogg: A Life</v>
          </cell>
          <cell r="B1232" t="str">
            <v>Ebook - pdf</v>
          </cell>
          <cell r="C1232">
            <v>9781474469357</v>
          </cell>
        </row>
        <row r="1233">
          <cell r="A1233" t="str">
            <v>James Joyce and Cinematicity: Before and After Film</v>
          </cell>
          <cell r="B1233" t="str">
            <v>Ebook - pdf</v>
          </cell>
          <cell r="C1233">
            <v>9781474402491</v>
          </cell>
        </row>
        <row r="1234">
          <cell r="A1234" t="str">
            <v>James Joyce: A Critical Guide</v>
          </cell>
          <cell r="B1234" t="str">
            <v>Ebook - pdf</v>
          </cell>
          <cell r="C1234">
            <v>9780748639465</v>
          </cell>
        </row>
        <row r="1235">
          <cell r="A1235" t="str">
            <v>Jane Austen, Virginia Woolf and Worldly Realism</v>
          </cell>
          <cell r="B1235" t="str">
            <v>Ebook - pdf</v>
          </cell>
          <cell r="C1235">
            <v>9781474423533</v>
          </cell>
        </row>
        <row r="1236">
          <cell r="A1236" t="str">
            <v>Jane Morris: The Burden of History</v>
          </cell>
          <cell r="B1236" t="str">
            <v>Ebook - pdf</v>
          </cell>
          <cell r="C1236">
            <v>9780748681921</v>
          </cell>
        </row>
        <row r="1237">
          <cell r="A1237" t="str">
            <v>Jane Porter, Thaddeus of Warsaw: A Novel</v>
          </cell>
          <cell r="B1237" t="str">
            <v>Ebook - pdf</v>
          </cell>
          <cell r="C1237">
            <v>9781474443487</v>
          </cell>
        </row>
        <row r="1238">
          <cell r="A1238" t="str">
            <v>Japanese Horror Cinema</v>
          </cell>
          <cell r="B1238" t="str">
            <v>Ebook - pdf</v>
          </cell>
          <cell r="C1238">
            <v>9781474470933</v>
          </cell>
        </row>
        <row r="1239">
          <cell r="A1239" t="str">
            <v>Jarring Witnesses: Modern Fiction and the Representation of History</v>
          </cell>
          <cell r="B1239" t="str">
            <v>Ebook - pdf</v>
          </cell>
          <cell r="C1239">
            <v>9781474469272</v>
          </cell>
        </row>
        <row r="1240">
          <cell r="A1240" t="str">
            <v>Jawanmardi: A Sufi Code of Honour</v>
          </cell>
          <cell r="B1240" t="str">
            <v>Ebook - pdf</v>
          </cell>
          <cell r="C1240">
            <v>9780748645992</v>
          </cell>
        </row>
        <row r="1241">
          <cell r="A1241" t="str">
            <v>Jazz in American Culture</v>
          </cell>
          <cell r="B1241" t="str">
            <v>Ebook - pdf</v>
          </cell>
          <cell r="C1241">
            <v>9781474473293</v>
          </cell>
        </row>
        <row r="1242">
          <cell r="A1242" t="str">
            <v>Jean Baudrillard: From Hyperreality to Disappearance: Uncollected Interviews</v>
          </cell>
          <cell r="B1242" t="str">
            <v>Ebook - pdf</v>
          </cell>
          <cell r="C1242">
            <v>9780748694303</v>
          </cell>
        </row>
        <row r="1243">
          <cell r="A1243" t="str">
            <v>Jean Baudrillard: The Disappearance of Culture: Uncollected Interviews</v>
          </cell>
          <cell r="B1243" t="str">
            <v>Ebook - pdf</v>
          </cell>
          <cell r="C1243">
            <v>9781474417792</v>
          </cell>
        </row>
        <row r="1244">
          <cell r="A1244" t="str">
            <v>Jean Rhys: Twenty-First-Century Approaches</v>
          </cell>
          <cell r="B1244" t="str">
            <v>Ebook - pdf</v>
          </cell>
          <cell r="C1244">
            <v>9781474402200</v>
          </cell>
        </row>
        <row r="1245">
          <cell r="A1245" t="str">
            <v>Jet Li: Chinese Masculinity and Transnational Film Stardom</v>
          </cell>
          <cell r="B1245" t="str">
            <v>Ebook - pdf</v>
          </cell>
          <cell r="C1245">
            <v>9780748645480</v>
          </cell>
        </row>
        <row r="1246">
          <cell r="A1246" t="str">
            <v>Jewish and Islamic Philosophy: Crosspollinations in the Classical Age</v>
          </cell>
          <cell r="B1246" t="str">
            <v>Ebook - pdf</v>
          </cell>
          <cell r="C1246">
            <v>9781474468565</v>
          </cell>
        </row>
        <row r="1247">
          <cell r="A1247" t="str">
            <v>Jewish Medical Practitioners in the Medieval Muslim World: A Collective Biography</v>
          </cell>
          <cell r="B1247" t="str">
            <v>Ebook - pdf</v>
          </cell>
          <cell r="C1247">
            <v>9781474484008</v>
          </cell>
        </row>
        <row r="1248">
          <cell r="A1248" t="str">
            <v>Jewish Orthodoxy in Scotland: Rabbi Dr Salis Daiches and Religious Leadership</v>
          </cell>
          <cell r="B1248" t="str">
            <v>Ebook - pdf</v>
          </cell>
          <cell r="C1248">
            <v>9781474452618</v>
          </cell>
        </row>
        <row r="1249">
          <cell r="A1249" t="str">
            <v>Jewish Philosophy A–Z</v>
          </cell>
          <cell r="B1249" t="str">
            <v>Ebook - pdf</v>
          </cell>
          <cell r="C1249">
            <v>9780748680856</v>
          </cell>
        </row>
        <row r="1250">
          <cell r="A1250" t="str">
            <v>Jewish-American Writing since 1945</v>
          </cell>
          <cell r="B1250" t="str">
            <v>Ebook - pdf</v>
          </cell>
          <cell r="C1250">
            <v>9781474473385</v>
          </cell>
        </row>
        <row r="1251">
          <cell r="A1251" t="str">
            <v>Jews and Palestinians in the Late Ottoman Era, 1908-1914: Claiming the Homeland</v>
          </cell>
          <cell r="B1251" t="str">
            <v>Ebook - pdf</v>
          </cell>
          <cell r="C1251">
            <v>9781474454018</v>
          </cell>
        </row>
        <row r="1252">
          <cell r="A1252" t="str">
            <v>Jihadi Audiovisuality and its Entanglements: Meanings, Aesthetics, Appropriations</v>
          </cell>
          <cell r="B1252" t="str">
            <v>Ebook - pdf</v>
          </cell>
          <cell r="C1252">
            <v>9781474467537</v>
          </cell>
        </row>
        <row r="1253">
          <cell r="A1253" t="str">
            <v>Jimmy Carter and the Anglo-American Special Relationship""</v>
          </cell>
          <cell r="B1253" t="str">
            <v>Ebook - pdf</v>
          </cell>
          <cell r="C1253">
            <v>9781474407021</v>
          </cell>
        </row>
        <row r="1254">
          <cell r="A1254" t="str">
            <v>Joe Brainard’s Art</v>
          </cell>
          <cell r="B1254" t="str">
            <v>Ebook - pdf</v>
          </cell>
          <cell r="C1254">
            <v>9781474436687</v>
          </cell>
        </row>
        <row r="1255">
          <cell r="A1255" t="str">
            <v>John Ashbery and English Poetry</v>
          </cell>
          <cell r="B1255" t="str">
            <v>Ebook - pdf</v>
          </cell>
          <cell r="C1255">
            <v>9780748644766</v>
          </cell>
        </row>
        <row r="1256">
          <cell r="A1256" t="str">
            <v>John Keats and the Ideas of the Enlightenment</v>
          </cell>
          <cell r="B1256" t="str">
            <v>Ebook - pdf</v>
          </cell>
          <cell r="C1256">
            <v>9780748637812</v>
          </cell>
        </row>
        <row r="1257">
          <cell r="A1257" t="str">
            <v>John Mills and British Cinema: Masculinity, Identity and Nation</v>
          </cell>
          <cell r="B1257" t="str">
            <v>Ebook - pdf</v>
          </cell>
          <cell r="C1257">
            <v>9780748626618</v>
          </cell>
        </row>
        <row r="1258">
          <cell r="A1258" t="str">
            <v>John Milton's 'Paradise Lost': A Reading Guide</v>
          </cell>
          <cell r="B1258" t="str">
            <v>Ebook - pdf</v>
          </cell>
          <cell r="C1258">
            <v>9780748646098</v>
          </cell>
        </row>
        <row r="1259">
          <cell r="A1259" t="str">
            <v>John Ruskin: Præterita</v>
          </cell>
          <cell r="B1259" t="str">
            <v>Ebook - pdf</v>
          </cell>
          <cell r="C1259">
            <v>9781474472234</v>
          </cell>
        </row>
        <row r="1260">
          <cell r="A1260" t="str">
            <v>John Stuart Blackie: Scottish Scholar and Patriot</v>
          </cell>
          <cell r="B1260" t="str">
            <v>Ebook - pdf</v>
          </cell>
          <cell r="C1260">
            <v>9780748628193</v>
          </cell>
        </row>
        <row r="1261">
          <cell r="A1261" t="str">
            <v>John Webster, Renaissance Dramatist</v>
          </cell>
          <cell r="B1261" t="str">
            <v>Ebook - pdf</v>
          </cell>
          <cell r="C1261">
            <v>9780748634668</v>
          </cell>
        </row>
        <row r="1262">
          <cell r="A1262" t="str">
            <v>Journalism, Literature and Modernity: From Hazlitt to Modernism</v>
          </cell>
          <cell r="B1262" t="str">
            <v>Ebook - pdf</v>
          </cell>
          <cell r="C1262">
            <v>9781474465601</v>
          </cell>
        </row>
        <row r="1263">
          <cell r="A1263" t="str">
            <v>Journalists in Film: Heroes and Villains</v>
          </cell>
          <cell r="B1263" t="str">
            <v>Ebook - pdf</v>
          </cell>
          <cell r="C1263">
            <v>9780748634484</v>
          </cell>
        </row>
        <row r="1264">
          <cell r="A1264" t="str">
            <v>Journey to Poland: Documentary Landscapes of the Holocaust</v>
          </cell>
          <cell r="B1264" t="str">
            <v>Ebook - pdf</v>
          </cell>
          <cell r="C1264">
            <v>9781474403580</v>
          </cell>
        </row>
        <row r="1265">
          <cell r="A1265" t="str">
            <v>Journeys on Screen: Theory, Ethics, Aesthetics</v>
          </cell>
          <cell r="B1265" t="str">
            <v>Ebook - pdf</v>
          </cell>
          <cell r="C1265">
            <v>9781474421843</v>
          </cell>
        </row>
        <row r="1266">
          <cell r="A1266" t="str">
            <v>Judging from Experience: Law, Praxis, Humanities</v>
          </cell>
          <cell r="B1266" t="str">
            <v>Ebook - pdf</v>
          </cell>
          <cell r="C1266">
            <v>9781474442503</v>
          </cell>
        </row>
        <row r="1267">
          <cell r="A1267" t="str">
            <v>Julia Kristeva and Feminist Thought</v>
          </cell>
          <cell r="B1267" t="str">
            <v>Ebook - pdf</v>
          </cell>
          <cell r="C1267">
            <v>9780748646067</v>
          </cell>
        </row>
        <row r="1268">
          <cell r="A1268" t="str">
            <v>Julian the Apostate</v>
          </cell>
          <cell r="B1268" t="str">
            <v>Ebook - pdf</v>
          </cell>
          <cell r="C1268">
            <v>9781474473286</v>
          </cell>
        </row>
        <row r="1269">
          <cell r="A1269" t="str">
            <v>Julius Caesar: The People's Dictator</v>
          </cell>
          <cell r="B1269" t="str">
            <v>Ebook - pdf</v>
          </cell>
          <cell r="C1269">
            <v>9780748629008</v>
          </cell>
        </row>
        <row r="1270">
          <cell r="A1270" t="str">
            <v>Jurisprudence Essentials</v>
          </cell>
          <cell r="B1270" t="str">
            <v>Ebook - pdf</v>
          </cell>
          <cell r="C1270">
            <v>9781474472807</v>
          </cell>
        </row>
        <row r="1271">
          <cell r="A1271" t="str">
            <v>Just Enough: Sufficiency as a Demand of Justice</v>
          </cell>
          <cell r="B1271" t="str">
            <v>Ebook - pdf</v>
          </cell>
          <cell r="C1271">
            <v>9780748691876</v>
          </cell>
        </row>
        <row r="1272">
          <cell r="A1272" t="str">
            <v>Just War Theory: A Reappraisal</v>
          </cell>
          <cell r="B1272" t="str">
            <v>Ebook - pdf</v>
          </cell>
          <cell r="C1272">
            <v>9780748680887</v>
          </cell>
        </row>
        <row r="1273">
          <cell r="A1273" t="str">
            <v>Jute No More: Transforming Dundee</v>
          </cell>
          <cell r="B1273" t="str">
            <v>Ebook - pdf</v>
          </cell>
          <cell r="C1273">
            <v>9781474473279</v>
          </cell>
        </row>
        <row r="1274">
          <cell r="A1274" t="str">
            <v>Juvenile Justice in Victorian Scotland</v>
          </cell>
          <cell r="B1274" t="str">
            <v>Ebook - pdf</v>
          </cell>
          <cell r="C1274">
            <v>9781474427357</v>
          </cell>
        </row>
        <row r="1275">
          <cell r="A1275" t="str">
            <v>Kantian Aesthetics Pursued</v>
          </cell>
          <cell r="B1275" t="str">
            <v>Ebook - pdf</v>
          </cell>
          <cell r="C1275">
            <v>9781474472289</v>
          </cell>
        </row>
        <row r="1276">
          <cell r="A1276" t="str">
            <v>Kant's Aesthetic Epistemology: Form and World</v>
          </cell>
          <cell r="B1276" t="str">
            <v>Ebook - pdf</v>
          </cell>
          <cell r="C1276">
            <v>9780748629381</v>
          </cell>
        </row>
        <row r="1277">
          <cell r="A1277" t="str">
            <v>Kant's Cosmopolitics: Contemporary Issues and Global Debates</v>
          </cell>
          <cell r="B1277" t="str">
            <v>Ebook - pdf</v>
          </cell>
          <cell r="C1277">
            <v>9780748695508</v>
          </cell>
        </row>
        <row r="1278">
          <cell r="A1278" t="str">
            <v>Kant's Criticism of Metaphysics</v>
          </cell>
          <cell r="B1278" t="str">
            <v>Ebook - pdf</v>
          </cell>
          <cell r="C1278">
            <v>9780585104249</v>
          </cell>
        </row>
        <row r="1279">
          <cell r="A1279" t="str">
            <v>Kant's Critique of Pure Reason: An Edinburgh Philosophical Guide</v>
          </cell>
          <cell r="B1279" t="str">
            <v>Ebook - pdf</v>
          </cell>
          <cell r="C1279">
            <v>9780748631476</v>
          </cell>
        </row>
        <row r="1280">
          <cell r="A1280" t="str">
            <v>Kant's Groundwork of the Metaphysics of Morals: An Edinburgh Philosophical Guide</v>
          </cell>
          <cell r="B1280" t="str">
            <v>Ebook - pdf</v>
          </cell>
          <cell r="C1280">
            <v>9780748647279</v>
          </cell>
        </row>
        <row r="1281">
          <cell r="A1281" t="str">
            <v>Katherine Mansfield - The Early Years</v>
          </cell>
          <cell r="B1281" t="str">
            <v>Ebook - pdf</v>
          </cell>
          <cell r="C1281">
            <v>9780748681464</v>
          </cell>
        </row>
        <row r="1282">
          <cell r="A1282" t="str">
            <v>Katherine Mansfield and Bliss and Other Stories</v>
          </cell>
          <cell r="B1282" t="str">
            <v>Ebook - pdf</v>
          </cell>
          <cell r="C1282">
            <v>9781474477321</v>
          </cell>
        </row>
        <row r="1283">
          <cell r="A1283" t="str">
            <v>Katherine Mansfield and Children</v>
          </cell>
          <cell r="B1283" t="str">
            <v>Ebook - pdf</v>
          </cell>
          <cell r="C1283">
            <v>9781474491921</v>
          </cell>
        </row>
        <row r="1284">
          <cell r="A1284" t="str">
            <v>Katherine Mansfield and Continental Europe: Katherine Mansfield Studies, Volume 1</v>
          </cell>
          <cell r="B1284" t="str">
            <v>Ebook - pdf</v>
          </cell>
          <cell r="C1284">
            <v>9781474465885</v>
          </cell>
        </row>
        <row r="1285">
          <cell r="A1285" t="str">
            <v>Katherine Mansfield and Elizabeth von Arnim</v>
          </cell>
          <cell r="B1285" t="str">
            <v>Ebook - pdf</v>
          </cell>
          <cell r="C1285">
            <v>9781474454452</v>
          </cell>
        </row>
        <row r="1286">
          <cell r="A1286" t="str">
            <v>Katherine Mansfield and Literary Influence</v>
          </cell>
          <cell r="B1286" t="str">
            <v>Ebook - pdf</v>
          </cell>
          <cell r="C1286">
            <v>9780748694426</v>
          </cell>
        </row>
        <row r="1287">
          <cell r="A1287" t="str">
            <v>Katherine Mansfield and Modernism: Katherine Mansfield Studies, Volume 2</v>
          </cell>
          <cell r="B1287" t="str">
            <v>Ebook - pdf</v>
          </cell>
          <cell r="C1287">
            <v>9781474465854</v>
          </cell>
        </row>
        <row r="1288">
          <cell r="A1288" t="str">
            <v>Katherine Mansfield and Periodical Culture</v>
          </cell>
          <cell r="B1288" t="str">
            <v>Ebook - pdf</v>
          </cell>
          <cell r="C1288">
            <v>9781474439473</v>
          </cell>
        </row>
        <row r="1289">
          <cell r="A1289" t="str">
            <v>Katherine Mansfield and Psychology</v>
          </cell>
          <cell r="B1289" t="str">
            <v>Ebook - pdf</v>
          </cell>
          <cell r="C1289">
            <v>9781474417556</v>
          </cell>
        </row>
        <row r="1290">
          <cell r="A1290" t="str">
            <v>Katherine Mansfield and Russia</v>
          </cell>
          <cell r="B1290" t="str">
            <v>Ebook - pdf</v>
          </cell>
          <cell r="C1290">
            <v>9781474426152</v>
          </cell>
        </row>
        <row r="1291">
          <cell r="A1291" t="str">
            <v>Katherine Mansfield and the (Post)colonial</v>
          </cell>
          <cell r="B1291" t="str">
            <v>Ebook - pdf</v>
          </cell>
          <cell r="C1291">
            <v>9780748669110</v>
          </cell>
        </row>
        <row r="1292">
          <cell r="A1292" t="str">
            <v>Katherine Mansfield and the Arts: Katherine Manfield Studies, Volume 3</v>
          </cell>
          <cell r="B1292" t="str">
            <v>Ebook - pdf</v>
          </cell>
          <cell r="C1292">
            <v>9781474465861</v>
          </cell>
        </row>
        <row r="1293">
          <cell r="A1293" t="str">
            <v>Katherine Mansfield and the Fantastic: Katherine Mansfield Studies, Volume 4</v>
          </cell>
          <cell r="B1293" t="str">
            <v>Ebook - pdf</v>
          </cell>
          <cell r="C1293">
            <v>9781474465878</v>
          </cell>
        </row>
        <row r="1294">
          <cell r="A1294" t="str">
            <v>Katherine Mansfield and Translation</v>
          </cell>
          <cell r="B1294" t="str">
            <v>Ebook - pdf</v>
          </cell>
          <cell r="C1294">
            <v>9781474400398</v>
          </cell>
        </row>
        <row r="1295">
          <cell r="A1295" t="str">
            <v>Katherine Mansfield and Virginia Woolf</v>
          </cell>
          <cell r="B1295" t="str">
            <v>Ebook - pdf</v>
          </cell>
          <cell r="C1295">
            <v>9781474439671</v>
          </cell>
        </row>
        <row r="1296">
          <cell r="A1296" t="str">
            <v>Katherine Mansfield and World War One</v>
          </cell>
          <cell r="B1296" t="str">
            <v>Ebook - pdf</v>
          </cell>
          <cell r="C1296">
            <v>9780748695355</v>
          </cell>
        </row>
        <row r="1297">
          <cell r="A1297" t="str">
            <v>Kathleen Collins: The Black Essai Film</v>
          </cell>
          <cell r="B1297" t="str">
            <v>Ebook - pdf</v>
          </cell>
          <cell r="C1297">
            <v>9781474440707</v>
          </cell>
        </row>
        <row r="1298">
          <cell r="A1298" t="str">
            <v>Kathleen Jamie: Essays and Poems on Her work</v>
          </cell>
          <cell r="B1298" t="str">
            <v>Ebook - pdf</v>
          </cell>
          <cell r="C1298">
            <v>9780748696017</v>
          </cell>
        </row>
        <row r="1299">
          <cell r="A1299" t="str">
            <v>Kathy Acker: Writing the Impossible</v>
          </cell>
          <cell r="B1299" t="str">
            <v>Ebook - pdf</v>
          </cell>
          <cell r="C1299">
            <v>9780748683512</v>
          </cell>
        </row>
        <row r="1300">
          <cell r="A1300" t="str">
            <v>Keats: Bicentenary Readings</v>
          </cell>
          <cell r="B1300" t="str">
            <v>Ebook - pdf</v>
          </cell>
          <cell r="C1300">
            <v>9781474471442</v>
          </cell>
        </row>
        <row r="1301">
          <cell r="A1301" t="str">
            <v>Keats's Anatomy of Melancholy: Lamia, Isabella, The Eve of St Agnes and Other Poems (1820)</v>
          </cell>
          <cell r="B1301" t="str">
            <v>Ebook - pdf</v>
          </cell>
          <cell r="C1301">
            <v>9781474480475</v>
          </cell>
        </row>
        <row r="1302">
          <cell r="A1302" t="str">
            <v>Kenilworth</v>
          </cell>
          <cell r="B1302" t="str">
            <v>Ebook - pdf</v>
          </cell>
          <cell r="C1302">
            <v>9781474432993</v>
          </cell>
        </row>
        <row r="1303">
          <cell r="A1303" t="str">
            <v>Key Concepts in Contemporary Popular Fiction</v>
          </cell>
          <cell r="B1303" t="str">
            <v>Ebook - pdf</v>
          </cell>
          <cell r="C1303">
            <v>9781474411042</v>
          </cell>
        </row>
        <row r="1304">
          <cell r="A1304" t="str">
            <v>Key Concepts in Literary Theory</v>
          </cell>
          <cell r="B1304" t="str">
            <v>Ebook - pdf</v>
          </cell>
          <cell r="C1304">
            <v>9780748668403</v>
          </cell>
        </row>
        <row r="1305">
          <cell r="A1305" t="str">
            <v>Key Concepts in the Gothic</v>
          </cell>
          <cell r="B1305" t="str">
            <v>Ebook - pdf</v>
          </cell>
          <cell r="C1305">
            <v>9781474405546</v>
          </cell>
        </row>
        <row r="1306">
          <cell r="A1306" t="str">
            <v>Key Ideas in Linguistics and the Philosophy of Language</v>
          </cell>
          <cell r="B1306" t="str">
            <v>Ebook - pdf</v>
          </cell>
          <cell r="C1306">
            <v>9780748631421</v>
          </cell>
        </row>
        <row r="1307">
          <cell r="A1307" t="str">
            <v>Key Thinkers in Linguistics and the Philosophy of Language</v>
          </cell>
          <cell r="B1307" t="str">
            <v>Ebook - pdf</v>
          </cell>
          <cell r="C1307">
            <v>9780748680801</v>
          </cell>
        </row>
        <row r="1308">
          <cell r="A1308" t="str">
            <v>Kicking Daffodils: Twentieth-Century Women Poets</v>
          </cell>
          <cell r="B1308" t="str">
            <v>Ebook - pdf</v>
          </cell>
          <cell r="C1308">
            <v>9780585104218</v>
          </cell>
        </row>
        <row r="1309">
          <cell r="A1309" t="str">
            <v>Killers, Clients and Kindred Spirits: The Taboo Cinema of Shohei Imamura</v>
          </cell>
          <cell r="B1309" t="str">
            <v>Ebook - pdf</v>
          </cell>
          <cell r="C1309">
            <v>9781474411820</v>
          </cell>
        </row>
        <row r="1310">
          <cell r="A1310" t="str">
            <v>King and Court in Ancient Persia 559 to 331 BCE</v>
          </cell>
          <cell r="B1310" t="str">
            <v>Ebook - pdf</v>
          </cell>
          <cell r="C1310">
            <v>9780748677108</v>
          </cell>
        </row>
        <row r="1311">
          <cell r="A1311" t="str">
            <v>Kings, Lords and Men in Scotland and Britain, 1300–1625: Essays in Honour of Jenny Wormald</v>
          </cell>
          <cell r="B1311" t="str">
            <v>Ebook - pdf</v>
          </cell>
          <cell r="C1311">
            <v>9780748691517</v>
          </cell>
        </row>
        <row r="1312">
          <cell r="A1312" t="str">
            <v>Kingship and Unity: Scotland 1000-1306</v>
          </cell>
          <cell r="B1312" t="str">
            <v>Ebook - pdf</v>
          </cell>
          <cell r="C1312">
            <v>9781474401821</v>
          </cell>
        </row>
        <row r="1313">
          <cell r="A1313" t="str">
            <v>Korean Horror Cinema</v>
          </cell>
          <cell r="B1313" t="str">
            <v>Ebook - pdf</v>
          </cell>
          <cell r="C1313">
            <v>9780748677658</v>
          </cell>
        </row>
        <row r="1314">
          <cell r="A1314" t="str">
            <v>Kropotkin: Reviewing the Classical Anarchist Tradition</v>
          </cell>
          <cell r="B1314" t="str">
            <v>Ebook - pdf</v>
          </cell>
          <cell r="C1314">
            <v>9781474410410</v>
          </cell>
        </row>
        <row r="1315">
          <cell r="A1315" t="str">
            <v>Lacan and Deleuze: A Disjunctive Synthesis</v>
          </cell>
          <cell r="B1315" t="str">
            <v>Ebook - pdf</v>
          </cell>
          <cell r="C1315">
            <v>9781474408301</v>
          </cell>
        </row>
        <row r="1316">
          <cell r="A1316" t="str">
            <v>Lacan Deleuze Badiou</v>
          </cell>
          <cell r="B1316" t="str">
            <v>Ebook - pdf</v>
          </cell>
          <cell r="C1316">
            <v>9780748682065</v>
          </cell>
        </row>
        <row r="1317">
          <cell r="A1317" t="str">
            <v>Lady Mary Wroth: Poems: A Modernized Edition</v>
          </cell>
          <cell r="B1317" t="str">
            <v>Ebook - pdf</v>
          </cell>
          <cell r="C1317">
            <v>9780585159041</v>
          </cell>
        </row>
        <row r="1318">
          <cell r="A1318" t="str">
            <v>Lairds, Land and Sustainability: Scottish Perspectives on Upland Management</v>
          </cell>
          <cell r="B1318" t="str">
            <v>Ebook - pdf</v>
          </cell>
          <cell r="C1318">
            <v>9780748685882</v>
          </cell>
        </row>
        <row r="1319">
          <cell r="A1319" t="str">
            <v>Land Reform in Scotland: History, Law and Policy</v>
          </cell>
          <cell r="B1319" t="str">
            <v>Ebook - pdf</v>
          </cell>
          <cell r="C1319">
            <v>9781474446860</v>
          </cell>
        </row>
        <row r="1320">
          <cell r="A1320" t="str">
            <v>Land, Faith and the Crofting Community: Christianity and Social Criticism in the Highlands of Scotland 1843-1893</v>
          </cell>
          <cell r="B1320" t="str">
            <v>Ebook - pdf</v>
          </cell>
          <cell r="C1320">
            <v>9780748626748</v>
          </cell>
        </row>
        <row r="1321">
          <cell r="A1321" t="str">
            <v>Land, Law and People in Medieval Scotland</v>
          </cell>
          <cell r="B1321" t="str">
            <v>Ebook - pdf</v>
          </cell>
          <cell r="C1321">
            <v>9780748642168</v>
          </cell>
        </row>
        <row r="1322">
          <cell r="A1322" t="str">
            <v>Landmarks in Classical Literature</v>
          </cell>
          <cell r="B1322" t="str">
            <v>Ebook - pdf</v>
          </cell>
          <cell r="C1322">
            <v>9781474468350</v>
          </cell>
        </row>
        <row r="1323">
          <cell r="A1323" t="str">
            <v>Landmarks in English Literature</v>
          </cell>
          <cell r="B1323" t="str">
            <v>Ebook - pdf</v>
          </cell>
          <cell r="C1323">
            <v>9780585159126</v>
          </cell>
        </row>
        <row r="1324">
          <cell r="A1324" t="str">
            <v>Landmarks in European Literature</v>
          </cell>
          <cell r="B1324" t="str">
            <v>Ebook - pdf</v>
          </cell>
          <cell r="C1324">
            <v>9780585159133</v>
          </cell>
        </row>
        <row r="1325">
          <cell r="A1325" t="str">
            <v>Language Acquisition and Change: A Morphosyntactic Perspective</v>
          </cell>
          <cell r="B1325" t="str">
            <v>Ebook - pdf</v>
          </cell>
          <cell r="C1325">
            <v>9780748677993</v>
          </cell>
        </row>
        <row r="1326">
          <cell r="A1326" t="str">
            <v>Language Acquisition by Children: A Linguistic Introduction</v>
          </cell>
          <cell r="B1326" t="str">
            <v>Ebook - pdf</v>
          </cell>
          <cell r="C1326">
            <v>9781474458177</v>
          </cell>
        </row>
        <row r="1327">
          <cell r="A1327" t="str">
            <v>Language and Computers: A Practical Introduction to the Computer Analysis of Language</v>
          </cell>
          <cell r="B1327" t="str">
            <v>Ebook - pdf</v>
          </cell>
          <cell r="C1327">
            <v>9781474464185</v>
          </cell>
        </row>
        <row r="1328">
          <cell r="A1328" t="str">
            <v>Language and Dialect Contact in Ireland: The Phonological Origins of Mid-Ulster English</v>
          </cell>
          <cell r="B1328" t="str">
            <v>Ebook - pdf</v>
          </cell>
          <cell r="C1328">
            <v>9781474452922</v>
          </cell>
        </row>
        <row r="1329">
          <cell r="A1329" t="str">
            <v>Language and Identities</v>
          </cell>
          <cell r="B1329" t="str">
            <v>Ebook - pdf</v>
          </cell>
          <cell r="C1329">
            <v>9780748635788</v>
          </cell>
        </row>
        <row r="1330">
          <cell r="A1330" t="str">
            <v>Language and Identity in Modern Egypt</v>
          </cell>
          <cell r="B1330" t="str">
            <v>Ebook - pdf</v>
          </cell>
          <cell r="C1330">
            <v>9780748689651</v>
          </cell>
        </row>
        <row r="1331">
          <cell r="A1331" t="str">
            <v>Language and Logics: An Introduction to the Logical Foundations of Language</v>
          </cell>
          <cell r="B1331" t="str">
            <v>Ebook - pdf</v>
          </cell>
          <cell r="C1331">
            <v>9780748691647</v>
          </cell>
        </row>
        <row r="1332">
          <cell r="A1332" t="str">
            <v>Language and Meaning in the Age of Modernism: C.K. Ogden and His Contemporaries</v>
          </cell>
          <cell r="B1332" t="str">
            <v>Ebook - pdf</v>
          </cell>
          <cell r="C1332">
            <v>9781474425049</v>
          </cell>
        </row>
        <row r="1333">
          <cell r="A1333" t="str">
            <v>Language and Politics</v>
          </cell>
          <cell r="B1333" t="str">
            <v>Ebook - pdf</v>
          </cell>
          <cell r="C1333">
            <v>9780748626977</v>
          </cell>
        </row>
        <row r="1334">
          <cell r="A1334" t="str">
            <v>Language and Power in the Modern World</v>
          </cell>
          <cell r="B1334" t="str">
            <v>Ebook - pdf</v>
          </cell>
          <cell r="C1334">
            <v>9781474472999</v>
          </cell>
        </row>
        <row r="1335">
          <cell r="A1335" t="str">
            <v>Language and Process: Words, Whitehead and the World</v>
          </cell>
          <cell r="B1335" t="str">
            <v>Ebook - pdf</v>
          </cell>
          <cell r="C1335">
            <v>9781474449120</v>
          </cell>
        </row>
        <row r="1336">
          <cell r="A1336" t="str">
            <v>Language and Scottish Literature: Scottish Language and Literature Volume 2</v>
          </cell>
          <cell r="B1336" t="str">
            <v>Ebook - pdf</v>
          </cell>
          <cell r="C1336">
            <v>9780748674220</v>
          </cell>
        </row>
        <row r="1337">
          <cell r="A1337" t="str">
            <v>Language and Social Change in Central Europe: Discourses on Policy, Identity and the German Language</v>
          </cell>
          <cell r="B1337" t="str">
            <v>Ebook - pdf</v>
          </cell>
          <cell r="C1337">
            <v>9780748635993</v>
          </cell>
        </row>
        <row r="1338">
          <cell r="A1338" t="str">
            <v>Language Assessment and Programme Evaluation</v>
          </cell>
          <cell r="B1338" t="str">
            <v>Ebook - pdf</v>
          </cell>
          <cell r="C1338">
            <v>9781474470353</v>
          </cell>
        </row>
        <row r="1339">
          <cell r="A1339" t="str">
            <v>Language Contact: An Introduction</v>
          </cell>
          <cell r="B1339" t="str">
            <v>Ebook - pdf</v>
          </cell>
          <cell r="C1339">
            <v>9781474473125</v>
          </cell>
        </row>
        <row r="1340">
          <cell r="A1340" t="str">
            <v>Language in Context in TESOL</v>
          </cell>
          <cell r="B1340" t="str">
            <v>Ebook - pdf</v>
          </cell>
          <cell r="C1340">
            <v>9780748699278</v>
          </cell>
        </row>
        <row r="1341">
          <cell r="A1341" t="str">
            <v>Language on Display: Writers, Fiction and Linguistic Culture in Post-Soviet Russia</v>
          </cell>
          <cell r="B1341" t="str">
            <v>Ebook - pdf</v>
          </cell>
          <cell r="C1341">
            <v>9781474421577</v>
          </cell>
        </row>
        <row r="1342">
          <cell r="A1342" t="str">
            <v>Language Planning and Education</v>
          </cell>
          <cell r="B1342" t="str">
            <v>Ebook - pdf</v>
          </cell>
          <cell r="C1342">
            <v>9780748626588</v>
          </cell>
        </row>
        <row r="1343">
          <cell r="A1343" t="str">
            <v>Language Planning as a Sociolinguistic Experiment: The Case of Modern Norwegian</v>
          </cell>
          <cell r="B1343" t="str">
            <v>Ebook - pdf</v>
          </cell>
          <cell r="C1343">
            <v>9780748678341</v>
          </cell>
        </row>
        <row r="1344">
          <cell r="A1344" t="str">
            <v>Language Revitalisation in Gaelic Scotland: Linguistic Practice and Ideology</v>
          </cell>
          <cell r="B1344" t="str">
            <v>Ebook - pdf</v>
          </cell>
          <cell r="C1344">
            <v>9781474443128</v>
          </cell>
        </row>
        <row r="1345">
          <cell r="A1345" t="str">
            <v>Language Teaching: Linguistic Theory in Practice</v>
          </cell>
          <cell r="B1345" t="str">
            <v>Ebook - pdf</v>
          </cell>
          <cell r="C1345">
            <v>9780748636365</v>
          </cell>
        </row>
        <row r="1346">
          <cell r="A1346" t="str">
            <v>Language, Borders and Identity</v>
          </cell>
          <cell r="B1346" t="str">
            <v>Ebook - pdf</v>
          </cell>
          <cell r="C1346">
            <v>9780748669783</v>
          </cell>
        </row>
        <row r="1347">
          <cell r="A1347" t="str">
            <v>Language, Ideology and Sociopolitical Change in the Arabic-speaking World: A Study of the Discourse of Arabic Language Academies</v>
          </cell>
          <cell r="B1347" t="str">
            <v>Ebook - pdf</v>
          </cell>
          <cell r="C1347">
            <v>9781474449960</v>
          </cell>
        </row>
        <row r="1348">
          <cell r="A1348" t="str">
            <v>Language, Meaning and the Law</v>
          </cell>
          <cell r="B1348" t="str">
            <v>Ebook - pdf</v>
          </cell>
          <cell r="C1348">
            <v>9780748633524</v>
          </cell>
        </row>
        <row r="1349">
          <cell r="A1349" t="str">
            <v>Language, Mind and Brain: Some Psychological and Neurological Constraints on Theories of Grammar</v>
          </cell>
          <cell r="B1349" t="str">
            <v>Ebook - pdf</v>
          </cell>
          <cell r="C1349">
            <v>9781474466011</v>
          </cell>
        </row>
        <row r="1350">
          <cell r="A1350" t="str">
            <v>Language, Politics and Society in the Middle East: Essays in Honour of Yasir Suleiman</v>
          </cell>
          <cell r="B1350" t="str">
            <v>Ebook - pdf</v>
          </cell>
          <cell r="C1350">
            <v>9781474421546</v>
          </cell>
        </row>
        <row r="1351">
          <cell r="A1351" t="str">
            <v>Laruelle and Non-Philosophy</v>
          </cell>
          <cell r="B1351" t="str">
            <v>Ebook - pdf</v>
          </cell>
          <cell r="C1351">
            <v>9780748645367</v>
          </cell>
        </row>
        <row r="1352">
          <cell r="A1352" t="str">
            <v>Last Lectures: Collège de France 1968 and 1969</v>
          </cell>
          <cell r="B1352" t="str">
            <v>Ebook - pdf</v>
          </cell>
          <cell r="C1352">
            <v>9781474439923</v>
          </cell>
        </row>
        <row r="1353">
          <cell r="A1353" t="str">
            <v>Latour and the Passage of Law</v>
          </cell>
          <cell r="B1353" t="str">
            <v>Ebook - pdf</v>
          </cell>
          <cell r="C1353">
            <v>9780748697922</v>
          </cell>
        </row>
        <row r="1354">
          <cell r="A1354" t="str">
            <v>Law and New Media: West of Everything</v>
          </cell>
          <cell r="B1354" t="str">
            <v>Ebook - pdf</v>
          </cell>
          <cell r="C1354">
            <v>9781474445849</v>
          </cell>
        </row>
        <row r="1355">
          <cell r="A1355" t="str">
            <v>Law Making and the Scottish Parliament: The Early Years</v>
          </cell>
          <cell r="B1355" t="str">
            <v>Ebook - pdf</v>
          </cell>
          <cell r="C1355">
            <v>9780748645435</v>
          </cell>
        </row>
        <row r="1356">
          <cell r="A1356" t="str">
            <v>Law on the Electronic Frontier: Hume Papers on Public Policy 2.4</v>
          </cell>
          <cell r="B1356" t="str">
            <v>Ebook - pdf</v>
          </cell>
          <cell r="C1356">
            <v>9781474470599</v>
          </cell>
        </row>
        <row r="1357">
          <cell r="A1357" t="str">
            <v>Law, Lawyers, and Humanism: Selected Essays on the History of Scots Law, Volume 1</v>
          </cell>
          <cell r="B1357" t="str">
            <v>Ebook - pdf</v>
          </cell>
          <cell r="C1357">
            <v>9780748682102</v>
          </cell>
        </row>
        <row r="1358">
          <cell r="A1358" t="str">
            <v>Learning from the History of British Interventions in the Middle East</v>
          </cell>
          <cell r="B1358" t="str">
            <v>Ebook - pdf</v>
          </cell>
          <cell r="C1358">
            <v>9781474437974</v>
          </cell>
        </row>
        <row r="1359">
          <cell r="A1359" t="str">
            <v>Legacies of the Past: Memory and Trauma in Mexican Visual and Screen Cultures</v>
          </cell>
          <cell r="B1359" t="str">
            <v>Ebook - pdf</v>
          </cell>
          <cell r="C1359">
            <v>9781474480550</v>
          </cell>
        </row>
        <row r="1360">
          <cell r="A1360" t="str">
            <v>Legal Artifices: Ten Essays on Roman Law in the Present Tense</v>
          </cell>
          <cell r="B1360" t="str">
            <v>Ebook - pdf</v>
          </cell>
          <cell r="C1360">
            <v>9781474446693</v>
          </cell>
        </row>
        <row r="1361">
          <cell r="A1361" t="str">
            <v>Legal Method Essentials for Scots Law</v>
          </cell>
          <cell r="B1361" t="str">
            <v>Ebook - pdf</v>
          </cell>
          <cell r="C1361">
            <v>9780748698295</v>
          </cell>
        </row>
        <row r="1362">
          <cell r="A1362" t="str">
            <v>Legal Reform in English Renaissance Literature</v>
          </cell>
          <cell r="B1362" t="str">
            <v>Ebook - pdf</v>
          </cell>
          <cell r="C1362">
            <v>9781474416306</v>
          </cell>
        </row>
        <row r="1363">
          <cell r="A1363" t="str">
            <v>Legal Systems of Scottish Churches</v>
          </cell>
          <cell r="B1363" t="str">
            <v>Ebook - pdf</v>
          </cell>
          <cell r="C1363">
            <v>9781474470551</v>
          </cell>
        </row>
        <row r="1364">
          <cell r="A1364" t="str">
            <v>Legal, Regulatory and Governance Issues in Islamic Finance</v>
          </cell>
          <cell r="B1364" t="str">
            <v>Ebook - pdf</v>
          </cell>
          <cell r="C1364">
            <v>9780748645060</v>
          </cell>
        </row>
        <row r="1365">
          <cell r="A1365" t="str">
            <v>Legally Married: Love and Law in the UK and the US</v>
          </cell>
          <cell r="B1365" t="str">
            <v>Ebook - pdf</v>
          </cell>
          <cell r="C1365">
            <v>9780748683796</v>
          </cell>
        </row>
        <row r="1366">
          <cell r="A1366" t="str">
            <v>Leibniz: A Contribution to the Archaeology of Power</v>
          </cell>
          <cell r="B1366" t="str">
            <v>Ebook - pdf</v>
          </cell>
          <cell r="C1366">
            <v>9781474418089</v>
          </cell>
        </row>
        <row r="1367">
          <cell r="A1367" t="str">
            <v>Leibniz's Monadology: A New Translation And Guide</v>
          </cell>
          <cell r="B1367" t="str">
            <v>Ebook - pdf</v>
          </cell>
          <cell r="C1367">
            <v>9780748693238</v>
          </cell>
        </row>
        <row r="1368">
          <cell r="A1368" t="str">
            <v>Leonard and Virginia Woolf, The Hogarth Press and the Networks of Modernism</v>
          </cell>
          <cell r="B1368" t="str">
            <v>Ebook - pdf</v>
          </cell>
          <cell r="C1368">
            <v>9780748643684</v>
          </cell>
        </row>
        <row r="1369">
          <cell r="A1369" t="str">
            <v>Lesbian Cinema after Queer Theory</v>
          </cell>
          <cell r="B1369" t="str">
            <v>Ebook - pdf</v>
          </cell>
          <cell r="C1369">
            <v>9781474435376</v>
          </cell>
        </row>
        <row r="1370">
          <cell r="A1370" t="str">
            <v>Lesbian Modernism: Censorship, Sexuality and Genre Fiction</v>
          </cell>
          <cell r="B1370" t="str">
            <v>Ebook - pdf</v>
          </cell>
          <cell r="C1370">
            <v>9780748693740</v>
          </cell>
        </row>
        <row r="1371">
          <cell r="A1371" t="str">
            <v>Letter Writing Among Poets: From William Wordsworth to Elizabeth Bishop</v>
          </cell>
          <cell r="B1371" t="str">
            <v>Ebook - pdf</v>
          </cell>
          <cell r="C1371">
            <v>9780748681334</v>
          </cell>
        </row>
        <row r="1372">
          <cell r="A1372" t="str">
            <v>Levinas and the Postcolonial: Race, Nation, Other</v>
          </cell>
          <cell r="B1372" t="str">
            <v>Ebook - pdf</v>
          </cell>
          <cell r="C1372">
            <v>9780748647064</v>
          </cell>
        </row>
        <row r="1373">
          <cell r="A1373" t="str">
            <v>Levinas, Ethics and Law</v>
          </cell>
          <cell r="B1373" t="str">
            <v>Ebook - pdf</v>
          </cell>
          <cell r="C1373">
            <v>9781474400770</v>
          </cell>
        </row>
        <row r="1374">
          <cell r="A1374" t="str">
            <v>Lexical Structures: Compounding and the Modules of Grammar</v>
          </cell>
          <cell r="B1374" t="str">
            <v>Ebook - pdf</v>
          </cell>
          <cell r="C1374">
            <v>9780748630554</v>
          </cell>
        </row>
        <row r="1375">
          <cell r="A1375" t="str">
            <v>Lexical Variation and Attrition in the Scottish Fishing Communities</v>
          </cell>
          <cell r="B1375" t="str">
            <v>Ebook - pdf</v>
          </cell>
          <cell r="C1375">
            <v>9780748691784</v>
          </cell>
        </row>
        <row r="1376">
          <cell r="A1376" t="str">
            <v>Liberal Peace Transitions: Between Statebuilding and Peacebuilding</v>
          </cell>
          <cell r="B1376" t="str">
            <v>Ebook - pdf</v>
          </cell>
          <cell r="C1376">
            <v>9780748642069</v>
          </cell>
        </row>
        <row r="1377">
          <cell r="A1377" t="str">
            <v>Liberalism And The 'Politics Of Difference'</v>
          </cell>
          <cell r="B1377" t="str">
            <v>Ebook - pdf</v>
          </cell>
          <cell r="C1377">
            <v>9781474464291</v>
          </cell>
        </row>
        <row r="1378">
          <cell r="A1378" t="str">
            <v>Liberty, Property and Popular Politics: England and Scotland, 1688-1815. Essays in Honour of H. T. Dickinson</v>
          </cell>
          <cell r="B1378" t="str">
            <v>Ebook - pdf</v>
          </cell>
          <cell r="C1378">
            <v>9781474405683</v>
          </cell>
        </row>
        <row r="1379">
          <cell r="A1379" t="str">
            <v>Liminal Whiteness in Early US Fiction</v>
          </cell>
          <cell r="B1379" t="str">
            <v>Ebook - pdf</v>
          </cell>
          <cell r="C1379">
            <v>9781474481755</v>
          </cell>
        </row>
        <row r="1380">
          <cell r="A1380" t="str">
            <v>Linguistic Awareness in Multilinguals: English as a Third Language</v>
          </cell>
          <cell r="B1380" t="str">
            <v>Ebook - pdf</v>
          </cell>
          <cell r="C1380">
            <v>9780748626540</v>
          </cell>
        </row>
        <row r="1381">
          <cell r="A1381" t="str">
            <v>Linguistic Variation and Change</v>
          </cell>
          <cell r="B1381" t="str">
            <v>Ebook - pdf</v>
          </cell>
          <cell r="C1381">
            <v>9780748637638</v>
          </cell>
        </row>
        <row r="1382">
          <cell r="A1382" t="str">
            <v>Linguistics and the Language of Translation</v>
          </cell>
          <cell r="B1382" t="str">
            <v>Ebook - pdf</v>
          </cell>
          <cell r="C1382">
            <v>9781474470667</v>
          </cell>
        </row>
        <row r="1383">
          <cell r="A1383" t="str">
            <v>Listening for Theatrical Form in Early Modern England</v>
          </cell>
          <cell r="B1383" t="str">
            <v>Ebook - pdf</v>
          </cell>
          <cell r="C1383">
            <v>9781474411271</v>
          </cell>
        </row>
        <row r="1384">
          <cell r="A1384" t="str">
            <v>Literacy: An Introduction</v>
          </cell>
          <cell r="B1384" t="str">
            <v>Ebook - pdf</v>
          </cell>
          <cell r="C1384">
            <v>9781474469265</v>
          </cell>
        </row>
        <row r="1385">
          <cell r="A1385" t="str">
            <v>Literary Autobiography and Arab National Struggles</v>
          </cell>
          <cell r="B1385" t="str">
            <v>Ebook - pdf</v>
          </cell>
          <cell r="C1385">
            <v>9781474420235</v>
          </cell>
        </row>
        <row r="1386">
          <cell r="A1386" t="str">
            <v>Literary Autobiography and Arab National Struggles</v>
          </cell>
          <cell r="B1386" t="str">
            <v>Ebook - pdf</v>
          </cell>
          <cell r="C1386">
            <v>9781474471244</v>
          </cell>
        </row>
        <row r="1387">
          <cell r="A1387" t="str">
            <v>Literary Criticism in Medieval Arabic Islamic Culture: The Making of a Tradition</v>
          </cell>
          <cell r="B1387" t="str">
            <v>Ebook - pdf</v>
          </cell>
          <cell r="C1387">
            <v>9781474471497</v>
          </cell>
        </row>
        <row r="1388">
          <cell r="A1388" t="str">
            <v>Literary Criticism: A New History</v>
          </cell>
          <cell r="B1388" t="str">
            <v>Ebook - pdf</v>
          </cell>
          <cell r="C1388">
            <v>9780748628520</v>
          </cell>
        </row>
        <row r="1389">
          <cell r="A1389" t="str">
            <v>Literary Lives: Biography and the Search for Understanding</v>
          </cell>
          <cell r="B1389" t="str">
            <v>Ebook - pdf</v>
          </cell>
          <cell r="C1389">
            <v>9781474468046</v>
          </cell>
        </row>
        <row r="1390">
          <cell r="A1390" t="str">
            <v>Literary Manuscript Culture in Romantic Britain</v>
          </cell>
          <cell r="B1390" t="str">
            <v>Ebook - pdf</v>
          </cell>
          <cell r="C1390">
            <v>9781474457088</v>
          </cell>
        </row>
        <row r="1391">
          <cell r="A1391" t="str">
            <v>Literary Theories: A Reader and Guide</v>
          </cell>
          <cell r="B1391" t="str">
            <v>Ebook - pdf</v>
          </cell>
          <cell r="C1391">
            <v>9780748672776</v>
          </cell>
        </row>
        <row r="1392">
          <cell r="A1392" t="str">
            <v>Literature and Consolation: Fictions of Comfort</v>
          </cell>
          <cell r="B1392" t="str">
            <v>Ebook - pdf</v>
          </cell>
          <cell r="C1392">
            <v>9781474456579</v>
          </cell>
        </row>
        <row r="1393">
          <cell r="A1393" t="str">
            <v>Literature and Medicine in the Nineteenth-Century Periodical Press: Blackwood’s Edinburgh Magazine, 1817-1858</v>
          </cell>
          <cell r="B1393" t="str">
            <v>Ebook - pdf</v>
          </cell>
          <cell r="C1393">
            <v>9781474405614</v>
          </cell>
        </row>
        <row r="1394">
          <cell r="A1394" t="str">
            <v>Literature and Music in the Atlantic World, 1767-1867</v>
          </cell>
          <cell r="B1394" t="str">
            <v>Ebook - pdf</v>
          </cell>
          <cell r="C1394">
            <v>9780748684625</v>
          </cell>
        </row>
        <row r="1395">
          <cell r="A1395" t="str">
            <v>Literature Now: Key Terms and Methods for Literary History</v>
          </cell>
          <cell r="B1395" t="str">
            <v>Ebook - pdf</v>
          </cell>
          <cell r="C1395">
            <v>9781474409919</v>
          </cell>
        </row>
        <row r="1396">
          <cell r="A1396" t="str">
            <v>Literature of the 1900s: The Great Edwardian Emporium</v>
          </cell>
          <cell r="B1396" t="str">
            <v>Ebook - pdf</v>
          </cell>
          <cell r="C1396">
            <v>9780748635085</v>
          </cell>
        </row>
        <row r="1397">
          <cell r="A1397" t="str">
            <v>Literature of the 1920s: Writers Among the Ruins: Volume 3</v>
          </cell>
          <cell r="B1397" t="str">
            <v>Ebook - pdf</v>
          </cell>
          <cell r="C1397">
            <v>9780748631438</v>
          </cell>
        </row>
        <row r="1398">
          <cell r="A1398" t="str">
            <v>Literature of the 1940s: War, Postwar and 'Peace': Volume 5</v>
          </cell>
          <cell r="B1398" t="str">
            <v>Ebook - pdf</v>
          </cell>
          <cell r="C1398">
            <v>9780748631513</v>
          </cell>
        </row>
        <row r="1399">
          <cell r="A1399" t="str">
            <v>Literature of the 1950s: Good, Brave Causes: Volume 6</v>
          </cell>
          <cell r="B1399" t="str">
            <v>Ebook - pdf</v>
          </cell>
          <cell r="C1399">
            <v>9780748631667</v>
          </cell>
        </row>
        <row r="1400">
          <cell r="A1400" t="str">
            <v>Literature of the 1980s: After the Watershed: Volume 9</v>
          </cell>
          <cell r="B1400" t="str">
            <v>Ebook - pdf</v>
          </cell>
          <cell r="C1400">
            <v>9780748633968</v>
          </cell>
        </row>
        <row r="1401">
          <cell r="A1401" t="str">
            <v>Literature of the 1990s: Endings and Beginnings</v>
          </cell>
          <cell r="B1401" t="str">
            <v>Ebook - pdf</v>
          </cell>
          <cell r="C1401">
            <v>9781474411608</v>
          </cell>
        </row>
        <row r="1402">
          <cell r="A1402" t="str">
            <v>Literature, Cinema and Politics 1930-1945: Reading Between the Frames</v>
          </cell>
          <cell r="B1402" t="str">
            <v>Ebook - pdf</v>
          </cell>
          <cell r="C1402">
            <v>9780748642656</v>
          </cell>
        </row>
        <row r="1403">
          <cell r="A1403" t="str">
            <v>Living in Scotland: Social and Economic Change since 1980</v>
          </cell>
          <cell r="B1403" t="str">
            <v>Ebook - pdf</v>
          </cell>
          <cell r="C1403">
            <v>9781474471558</v>
          </cell>
        </row>
        <row r="1404">
          <cell r="A1404" t="str">
            <v>Living in Technical Legality: Science Fiction and Law as Technology</v>
          </cell>
          <cell r="B1404" t="str">
            <v>Ebook - pdf</v>
          </cell>
          <cell r="C1404">
            <v>9781474420907</v>
          </cell>
        </row>
        <row r="1405">
          <cell r="A1405" t="str">
            <v>Living Islamic History: Studies in Honour of Professor Carole Hillenbrand</v>
          </cell>
          <cell r="B1405" t="str">
            <v>Ebook - pdf</v>
          </cell>
          <cell r="C1405">
            <v>9780748642199</v>
          </cell>
        </row>
        <row r="1406">
          <cell r="A1406" t="str">
            <v>Living Jim Crow: The Segregated Town in Mid-Century Southern Fiction</v>
          </cell>
          <cell r="B1406" t="str">
            <v>Ebook - pdf</v>
          </cell>
          <cell r="C1406">
            <v>9781474461597</v>
          </cell>
        </row>
        <row r="1407">
          <cell r="A1407" t="str">
            <v>Living Philosophy: Reflections on Life, Meaning and Morality</v>
          </cell>
          <cell r="B1407" t="str">
            <v>Ebook - pdf</v>
          </cell>
          <cell r="C1407">
            <v>9781474468718</v>
          </cell>
        </row>
        <row r="1408">
          <cell r="A1408" t="str">
            <v>Living with Shakespeare: Saint Helen's Parish, London, 1593-1598</v>
          </cell>
          <cell r="B1408" t="str">
            <v>Ebook - pdf</v>
          </cell>
          <cell r="C1408">
            <v>9781474479738</v>
          </cell>
        </row>
        <row r="1409">
          <cell r="A1409" t="str">
            <v>Liz Lochhead's Voices</v>
          </cell>
          <cell r="B1409" t="str">
            <v>Ebook - pdf</v>
          </cell>
          <cell r="C1409">
            <v>9781474465946</v>
          </cell>
        </row>
        <row r="1410">
          <cell r="A1410" t="str">
            <v>Local Legitimacy and International Peace Intervention</v>
          </cell>
          <cell r="B1410" t="str">
            <v>Ebook - pdf</v>
          </cell>
          <cell r="C1410">
            <v>9781474466288</v>
          </cell>
        </row>
        <row r="1411">
          <cell r="A1411" t="str">
            <v>Local States in an Imperial World: Identity, Society and Politics in the Early Modern Deccan</v>
          </cell>
          <cell r="B1411" t="str">
            <v>Ebook - pdf</v>
          </cell>
          <cell r="C1411">
            <v>9781474436090</v>
          </cell>
        </row>
        <row r="1412">
          <cell r="A1412" t="str">
            <v>Lochiel of the '45: The Jacobite Chief and the Prince</v>
          </cell>
          <cell r="B1412" t="str">
            <v>Ebook - pdf</v>
          </cell>
          <cell r="C1412">
            <v>9781474468459</v>
          </cell>
        </row>
        <row r="1413">
          <cell r="A1413" t="str">
            <v>London Writing of the 1930s</v>
          </cell>
          <cell r="B1413" t="str">
            <v>Ebook - pdf</v>
          </cell>
          <cell r="C1413">
            <v>9781474425667</v>
          </cell>
        </row>
        <row r="1414">
          <cell r="A1414" t="str">
            <v>London's Underground Spaces: Representing the Victorian City, 1840-1915</v>
          </cell>
          <cell r="B1414" t="str">
            <v>Ebook - pdf</v>
          </cell>
          <cell r="C1414">
            <v>9780748676088</v>
          </cell>
        </row>
        <row r="1415">
          <cell r="A1415" t="str">
            <v>Lord Kames: Legal and Social Theorist</v>
          </cell>
          <cell r="B1415" t="str">
            <v>Ebook - pdf</v>
          </cell>
          <cell r="C1415">
            <v>9780748676743</v>
          </cell>
        </row>
        <row r="1416">
          <cell r="A1416" t="str">
            <v>Lord Seaforth: Highland Landowner, Caribbean Governor</v>
          </cell>
          <cell r="B1416" t="str">
            <v>Ebook - pdf</v>
          </cell>
          <cell r="C1416">
            <v>9781474438490</v>
          </cell>
        </row>
        <row r="1417">
          <cell r="A1417" t="str">
            <v>Lordship to Patronage: Scotland 1603-1745</v>
          </cell>
          <cell r="B1417" t="str">
            <v>Ebook - pdf</v>
          </cell>
          <cell r="C1417">
            <v>9781474471053</v>
          </cell>
        </row>
        <row r="1418">
          <cell r="A1418" t="str">
            <v>Lost in the Backwoods: Scots and the North American Wilderness</v>
          </cell>
          <cell r="B1418" t="str">
            <v>Ebook - pdf</v>
          </cell>
          <cell r="C1418">
            <v>9780748647408</v>
          </cell>
        </row>
        <row r="1419">
          <cell r="A1419" t="str">
            <v>Lost in Translation</v>
          </cell>
          <cell r="B1419" t="str">
            <v>Ebook - pdf</v>
          </cell>
          <cell r="C1419">
            <v>9780748637478</v>
          </cell>
        </row>
        <row r="1420">
          <cell r="A1420" t="str">
            <v>Lost Kingdoms: Celtic Scotland and the Middle Ages</v>
          </cell>
          <cell r="B1420" t="str">
            <v>Ebook - pdf</v>
          </cell>
          <cell r="C1420">
            <v>9780585060828</v>
          </cell>
        </row>
        <row r="1421">
          <cell r="A1421" t="str">
            <v>Love Across the Atlantic: US-UK Romance in Popular Culture</v>
          </cell>
          <cell r="B1421" t="str">
            <v>Ebook - pdf</v>
          </cell>
          <cell r="C1421">
            <v>9781474452090</v>
          </cell>
        </row>
        <row r="1422">
          <cell r="A1422" t="str">
            <v>Love Among the Archives: Writing the Lives of George Scharf, Victorian Bachelor</v>
          </cell>
          <cell r="B1422" t="str">
            <v>Ebook - pdf</v>
          </cell>
          <cell r="C1422">
            <v>9781474406659</v>
          </cell>
        </row>
        <row r="1423">
          <cell r="A1423" t="str">
            <v>Luck Egalitarianism: Equality, Responsibility, and Justice</v>
          </cell>
          <cell r="B1423" t="str">
            <v>Ebook - pdf</v>
          </cell>
          <cell r="C1423">
            <v>9780748641376</v>
          </cell>
        </row>
        <row r="1424">
          <cell r="A1424" t="str">
            <v>Lucretius I: An Ontology of Motion</v>
          </cell>
          <cell r="B1424" t="str">
            <v>Ebook - pdf</v>
          </cell>
          <cell r="C1424">
            <v>9781474434683</v>
          </cell>
        </row>
        <row r="1425">
          <cell r="A1425" t="str">
            <v>Lucretius II: An Ethics of Motion</v>
          </cell>
          <cell r="B1425" t="str">
            <v>Ebook - pdf</v>
          </cell>
          <cell r="C1425">
            <v>9781474466653</v>
          </cell>
        </row>
        <row r="1426">
          <cell r="A1426" t="str">
            <v>Lyotard and Politics: A Critical Introduction</v>
          </cell>
          <cell r="B1426" t="str">
            <v>Ebook - pdf</v>
          </cell>
          <cell r="C1426">
            <v>9781474456531</v>
          </cell>
        </row>
        <row r="1427">
          <cell r="A1427" t="str">
            <v>Lyotard and the Inhuman Condition: Reflections on Nihilism, Information and Art</v>
          </cell>
          <cell r="B1427" t="str">
            <v>Ebook - pdf</v>
          </cell>
          <cell r="C1427">
            <v>9780748697250</v>
          </cell>
        </row>
        <row r="1428">
          <cell r="A1428" t="str">
            <v>Lyric Cousins: Poetry and Musical Form</v>
          </cell>
          <cell r="B1428" t="str">
            <v>Ebook - pdf</v>
          </cell>
          <cell r="C1428">
            <v>9781474402934</v>
          </cell>
        </row>
        <row r="1429">
          <cell r="A1429" t="str">
            <v>Lyrics of Life: Sa'di on Love, Cosmopolitanism and Care of the Self</v>
          </cell>
          <cell r="B1429" t="str">
            <v>Ebook - pdf</v>
          </cell>
          <cell r="C1429">
            <v>9780748696932</v>
          </cell>
        </row>
        <row r="1430">
          <cell r="A1430" t="str">
            <v>MacCormick's Scotland</v>
          </cell>
          <cell r="B1430" t="str">
            <v>Ebook - pdf</v>
          </cell>
          <cell r="C1430">
            <v>9780748643813</v>
          </cell>
        </row>
        <row r="1431">
          <cell r="A1431" t="str">
            <v>Mador of the Moor</v>
          </cell>
          <cell r="B1431" t="str">
            <v>Ebook - pdf</v>
          </cell>
          <cell r="C1431">
            <v>9781474469210</v>
          </cell>
        </row>
        <row r="1432">
          <cell r="A1432" t="str">
            <v>Magic Realist Cinema in East Central Europe</v>
          </cell>
          <cell r="B1432" t="str">
            <v>Ebook - pdf</v>
          </cell>
          <cell r="C1432">
            <v>9780748669349</v>
          </cell>
        </row>
        <row r="1433">
          <cell r="A1433" t="str">
            <v>Making Mongol History: Rashid al-Din and the Jamiʿ al-Tawarikh</v>
          </cell>
          <cell r="B1433" t="str">
            <v>Ebook - pdf</v>
          </cell>
          <cell r="C1433">
            <v>9781474421430</v>
          </cell>
        </row>
        <row r="1434">
          <cell r="A1434" t="str">
            <v>Making War on Bodies: Militarisation, Aesthetics and Embodiment in International Politics</v>
          </cell>
          <cell r="B1434" t="str">
            <v>Ebook - pdf</v>
          </cell>
          <cell r="C1434">
            <v>9781474446204</v>
          </cell>
        </row>
        <row r="1435">
          <cell r="A1435" t="str">
            <v>Mallarme and the Politics of Literature: Sartre, Kristeva, Badiou, Rancière</v>
          </cell>
          <cell r="B1435" t="str">
            <v>Ebook - pdf</v>
          </cell>
          <cell r="C1435">
            <v>9781474429542</v>
          </cell>
        </row>
        <row r="1436">
          <cell r="A1436" t="str">
            <v>Managing Scotland's Environment</v>
          </cell>
          <cell r="B1436" t="str">
            <v>Ebook - pdf</v>
          </cell>
          <cell r="C1436">
            <v>9780748630639</v>
          </cell>
        </row>
        <row r="1437">
          <cell r="A1437" t="str">
            <v>Manifesto for Silence: Confronting the Politics and Culture of Noise</v>
          </cell>
          <cell r="B1437" t="str">
            <v>Ebook - pdf</v>
          </cell>
          <cell r="C1437">
            <v>9780748631261</v>
          </cell>
        </row>
        <row r="1438">
          <cell r="A1438" t="str">
            <v>Mapping the Rockumentary: Images of Sound and Fury</v>
          </cell>
          <cell r="B1438" t="str">
            <v>Ebook - pdf</v>
          </cell>
          <cell r="C1438">
            <v>9781474478045</v>
          </cell>
        </row>
        <row r="1439">
          <cell r="A1439" t="str">
            <v>Maqasid Foundations of Market Economics</v>
          </cell>
          <cell r="B1439" t="str">
            <v>Ebook - pdf</v>
          </cell>
          <cell r="C1439">
            <v>9780748670048</v>
          </cell>
        </row>
        <row r="1440">
          <cell r="A1440" t="str">
            <v>Marie Corelli, A Romance of Two Worlds: A Novel</v>
          </cell>
          <cell r="B1440" t="str">
            <v>Ebook - pdf</v>
          </cell>
          <cell r="C1440">
            <v>9781474441926</v>
          </cell>
        </row>
        <row r="1441">
          <cell r="A1441" t="str">
            <v>Marmion: A Tale of Flodden Field</v>
          </cell>
          <cell r="B1441" t="str">
            <v>Ebook - pdf</v>
          </cell>
          <cell r="C1441">
            <v>9781474425209</v>
          </cell>
        </row>
        <row r="1442">
          <cell r="A1442" t="str">
            <v>Marquis de Sade and Continental Philosophy</v>
          </cell>
          <cell r="B1442" t="str">
            <v>Ebook - pdf</v>
          </cell>
          <cell r="C1442">
            <v>9781474430715</v>
          </cell>
        </row>
        <row r="1443">
          <cell r="A1443" t="str">
            <v>Masculinities on Clydeside: Men in Reserved Occupations 1939-1945</v>
          </cell>
          <cell r="B1443" t="str">
            <v>Ebook - pdf</v>
          </cell>
          <cell r="C1443">
            <v>9781474409377</v>
          </cell>
        </row>
        <row r="1444">
          <cell r="A1444" t="str">
            <v xml:space="preserve">Masculinity and Italian Cinema: Sexual Politics, Social Conflict and Male Crisis in the 1970s </v>
          </cell>
          <cell r="B1444" t="str">
            <v>Ebook - pdf</v>
          </cell>
          <cell r="C1444">
            <v>9780748654550</v>
          </cell>
        </row>
        <row r="1445">
          <cell r="A1445" t="str">
            <v>Masculinity and Popular Television</v>
          </cell>
          <cell r="B1445" t="str">
            <v>Ebook - pdf</v>
          </cell>
          <cell r="C1445">
            <v>9780748631797</v>
          </cell>
        </row>
        <row r="1446">
          <cell r="A1446" t="str">
            <v>Material Inscriptions: Rhetorical Reading in Practice and Theory</v>
          </cell>
          <cell r="B1446" t="str">
            <v>Ebook - pdf</v>
          </cell>
          <cell r="C1446">
            <v>9780748681235</v>
          </cell>
        </row>
        <row r="1447">
          <cell r="A1447" t="str">
            <v>Material Poetics in Hemispheric America: Words and Objects 1950-2010</v>
          </cell>
          <cell r="B1447" t="str">
            <v>Ebook - pdf</v>
          </cell>
          <cell r="C1447">
            <v>9781474474627</v>
          </cell>
        </row>
        <row r="1448">
          <cell r="A1448" t="str">
            <v>Materiality and Aesthetics in Archaic and Classical Greek Poetry</v>
          </cell>
          <cell r="B1448" t="str">
            <v>Ebook - pdf</v>
          </cell>
          <cell r="C1448">
            <v>9781474462372</v>
          </cell>
        </row>
        <row r="1449">
          <cell r="A1449" t="str">
            <v>Materials development for TESOL</v>
          </cell>
          <cell r="B1449" t="str">
            <v>Ebook - pdf</v>
          </cell>
          <cell r="C1449">
            <v>9780748691371</v>
          </cell>
        </row>
        <row r="1450">
          <cell r="A1450" t="str">
            <v>Materials Evaluation and Design for Language Teaching</v>
          </cell>
          <cell r="B1450" t="str">
            <v>Ebook - pdf</v>
          </cell>
          <cell r="C1450">
            <v>9780748694822</v>
          </cell>
        </row>
        <row r="1451">
          <cell r="A1451" t="str">
            <v>Matters of the Mind</v>
          </cell>
          <cell r="B1451" t="str">
            <v>Ebook - pdf</v>
          </cell>
          <cell r="C1451">
            <v>9781474470384</v>
          </cell>
        </row>
        <row r="1452">
          <cell r="A1452" t="str">
            <v>Matzpen: A History of the Israeli Left</v>
          </cell>
          <cell r="B1452" t="str">
            <v>Ebook - pdf</v>
          </cell>
          <cell r="C1452">
            <v>9781474451185</v>
          </cell>
        </row>
        <row r="1453">
          <cell r="A1453" t="str">
            <v>Maxwell Gray, The Silence of Dean Maitland</v>
          </cell>
          <cell r="B1453" t="str">
            <v>Ebook - pdf</v>
          </cell>
          <cell r="C1453">
            <v>9781474443258</v>
          </cell>
        </row>
        <row r="1454">
          <cell r="A1454" t="str">
            <v>May Sinclair: Re-Thinking Bodies and Minds</v>
          </cell>
          <cell r="B1454" t="str">
            <v>Ebook - pdf</v>
          </cell>
          <cell r="C1454">
            <v>9781474415767</v>
          </cell>
        </row>
        <row r="1455">
          <cell r="A1455" t="str">
            <v>McGowan on Alcohol Licensing Law in Scotland: A Practical Guide</v>
          </cell>
          <cell r="B1455" t="str">
            <v>Ebook - pdf</v>
          </cell>
          <cell r="C1455">
            <v>9781474490368</v>
          </cell>
        </row>
        <row r="1456">
          <cell r="A1456" t="str">
            <v>Meat Markets: The Cultural History of Bloody London</v>
          </cell>
          <cell r="B1456" t="str">
            <v>Ebook - pdf</v>
          </cell>
          <cell r="C1456">
            <v>9781474424721</v>
          </cell>
        </row>
        <row r="1457">
          <cell r="A1457" t="str">
            <v>Media and Ethnic Minorities</v>
          </cell>
          <cell r="B1457" t="str">
            <v>Ebook - pdf</v>
          </cell>
          <cell r="C1457">
            <v>9780748626304</v>
          </cell>
        </row>
        <row r="1458">
          <cell r="A1458" t="str">
            <v>Media and Everyday Life in Modern Society</v>
          </cell>
          <cell r="B1458" t="str">
            <v>Ebook - pdf</v>
          </cell>
          <cell r="C1458">
            <v>9781474471084</v>
          </cell>
        </row>
        <row r="1459">
          <cell r="A1459" t="str">
            <v>Media and Identity in Africa</v>
          </cell>
          <cell r="B1459" t="str">
            <v>Ebook - pdf</v>
          </cell>
          <cell r="C1459">
            <v>9780748635214</v>
          </cell>
        </row>
        <row r="1460">
          <cell r="A1460" t="str">
            <v>Media and Memory</v>
          </cell>
          <cell r="B1460" t="str">
            <v>Ebook - pdf</v>
          </cell>
          <cell r="C1460">
            <v>9780748647071</v>
          </cell>
        </row>
        <row r="1461">
          <cell r="A1461" t="str">
            <v>Media and Popular Music</v>
          </cell>
          <cell r="B1461" t="str">
            <v>Ebook - pdf</v>
          </cell>
          <cell r="C1461">
            <v>9780748631568</v>
          </cell>
        </row>
        <row r="1462">
          <cell r="A1462" t="str">
            <v>Media Arabic</v>
          </cell>
          <cell r="B1462" t="str">
            <v>Ebook - pdf</v>
          </cell>
          <cell r="C1462">
            <v>9780748644964</v>
          </cell>
        </row>
        <row r="1463">
          <cell r="A1463" t="str">
            <v>Media Audiences: Television, Meaning and Emotion</v>
          </cell>
          <cell r="B1463" t="str">
            <v>Ebook - pdf</v>
          </cell>
          <cell r="C1463">
            <v>9780748630363</v>
          </cell>
        </row>
        <row r="1464">
          <cell r="A1464" t="str">
            <v>Media Discourse: Representation and Interaction</v>
          </cell>
          <cell r="B1464" t="str">
            <v>Ebook - pdf</v>
          </cell>
          <cell r="C1464">
            <v>9780748630073</v>
          </cell>
        </row>
        <row r="1465">
          <cell r="A1465" t="str">
            <v>Media Ethics and Social Change</v>
          </cell>
          <cell r="B1465" t="str">
            <v>Ebook - pdf</v>
          </cell>
          <cell r="C1465">
            <v>9781474463898</v>
          </cell>
        </row>
        <row r="1466">
          <cell r="A1466" t="str">
            <v>Media Law Essentials</v>
          </cell>
          <cell r="B1466" t="str">
            <v>Ebook - pdf</v>
          </cell>
          <cell r="C1466">
            <v>9780748698431</v>
          </cell>
        </row>
        <row r="1467">
          <cell r="A1467" t="str">
            <v>Media Persian</v>
          </cell>
          <cell r="B1467" t="str">
            <v>Ebook - pdf</v>
          </cell>
          <cell r="C1467">
            <v>9780748647521</v>
          </cell>
        </row>
        <row r="1468">
          <cell r="A1468" t="str">
            <v>Media Policy and Globalization</v>
          </cell>
          <cell r="B1468" t="str">
            <v>Ebook - pdf</v>
          </cell>
          <cell r="C1468">
            <v>9780748627219</v>
          </cell>
        </row>
        <row r="1469">
          <cell r="A1469" t="str">
            <v>Media Regulation, Public Interest and the Law</v>
          </cell>
          <cell r="B1469" t="str">
            <v>Ebook - pdf</v>
          </cell>
          <cell r="C1469">
            <v>9780748627158</v>
          </cell>
        </row>
        <row r="1470">
          <cell r="A1470" t="str">
            <v>Media Rights and Intellectual Property</v>
          </cell>
          <cell r="B1470" t="str">
            <v>Ebook - pdf</v>
          </cell>
          <cell r="C1470">
            <v>9781474469036</v>
          </cell>
        </row>
        <row r="1471">
          <cell r="A1471" t="str">
            <v>Media Studies: A Reader</v>
          </cell>
          <cell r="B1471" t="str">
            <v>Ebook - pdf</v>
          </cell>
          <cell r="C1471">
            <v>9781474473231</v>
          </cell>
        </row>
        <row r="1472">
          <cell r="A1472" t="str">
            <v>Media Talk: Spoken Discourse on TV and Radio</v>
          </cell>
          <cell r="B1472" t="str">
            <v>Ebook - pdf</v>
          </cell>
          <cell r="C1472">
            <v>9780748626311</v>
          </cell>
        </row>
        <row r="1473">
          <cell r="A1473" t="str">
            <v>Media, Persuasion and Propaganda</v>
          </cell>
          <cell r="B1473" t="str">
            <v>Ebook - pdf</v>
          </cell>
          <cell r="C1473">
            <v>9780748644179</v>
          </cell>
        </row>
        <row r="1474">
          <cell r="A1474" t="str">
            <v>Mediated Business Interactions: Intercultural Communication Between Speakers of Spanish</v>
          </cell>
          <cell r="B1474" t="str">
            <v>Ebook - pdf</v>
          </cell>
          <cell r="C1474">
            <v>9780748637218</v>
          </cell>
        </row>
        <row r="1475">
          <cell r="A1475" t="str">
            <v>Mediating War and Identity: Figures of Transgression in 20th- and 21st-century War Representation</v>
          </cell>
          <cell r="B1475" t="str">
            <v>Ebook - pdf</v>
          </cell>
          <cell r="C1475">
            <v>9781474446280</v>
          </cell>
        </row>
        <row r="1476">
          <cell r="A1476" t="str">
            <v>Mediation: A Practical Guide for Lawyers</v>
          </cell>
          <cell r="B1476" t="str">
            <v>Ebook - pdf</v>
          </cell>
          <cell r="C1476">
            <v>9781474420266</v>
          </cell>
        </row>
        <row r="1477">
          <cell r="A1477" t="str">
            <v>Medical Law Essentials</v>
          </cell>
          <cell r="B1477" t="str">
            <v>Ebook - pdf</v>
          </cell>
          <cell r="C1477">
            <v>9780748698448</v>
          </cell>
        </row>
        <row r="1478">
          <cell r="A1478" t="str">
            <v>Medicine and Empathy in Contemporary British Fiction: A Critical Intervention in Medical Humanities</v>
          </cell>
          <cell r="B1478" t="str">
            <v>Ebook - pdf</v>
          </cell>
          <cell r="C1478">
            <v>9780748686193</v>
          </cell>
        </row>
        <row r="1479">
          <cell r="A1479" t="str">
            <v>Medicine Murder in Colonial Lesotho: The Anatomy of a Moral Crisis</v>
          </cell>
          <cell r="B1479" t="str">
            <v>Ebook - pdf</v>
          </cell>
          <cell r="C1479">
            <v>9781474471220</v>
          </cell>
        </row>
        <row r="1480">
          <cell r="A1480" t="str">
            <v>Medicine, Law and Public Policy in Scotland: c. 1850-1990</v>
          </cell>
          <cell r="B1480" t="str">
            <v>Ebook - pdf</v>
          </cell>
          <cell r="C1480">
            <v>9780748699391</v>
          </cell>
        </row>
        <row r="1481">
          <cell r="A1481" t="str">
            <v>Medieval Damascus: Plurality and Diversity in an Arabic Library</v>
          </cell>
          <cell r="B1481" t="str">
            <v>Ebook - pdf</v>
          </cell>
          <cell r="C1481">
            <v>9781474408783</v>
          </cell>
        </row>
        <row r="1482">
          <cell r="A1482" t="str">
            <v>Medieval Empires and the Culture of Competition: Literary Duels at Islamic and Christian Courts</v>
          </cell>
          <cell r="B1482" t="str">
            <v>Ebook - pdf</v>
          </cell>
          <cell r="C1482">
            <v>9781474425247</v>
          </cell>
        </row>
        <row r="1483">
          <cell r="A1483" t="str">
            <v>Medieval Islamic Medicine</v>
          </cell>
          <cell r="B1483" t="str">
            <v>Ebook - pdf</v>
          </cell>
          <cell r="C1483">
            <v>9780748629244</v>
          </cell>
        </row>
        <row r="1484">
          <cell r="A1484" t="str">
            <v>Medieval Islamic Political Thought</v>
          </cell>
          <cell r="B1484" t="str">
            <v>Ebook - pdf</v>
          </cell>
          <cell r="C1484">
            <v>9780748646500</v>
          </cell>
        </row>
        <row r="1485">
          <cell r="A1485" t="str">
            <v>Medieval Literature 1300-1500</v>
          </cell>
          <cell r="B1485" t="str">
            <v>Ebook - pdf</v>
          </cell>
          <cell r="C1485">
            <v>9780748634613</v>
          </cell>
        </row>
        <row r="1486">
          <cell r="A1486" t="str">
            <v>Medieval Literature and Postcolonial Studies</v>
          </cell>
          <cell r="B1486" t="str">
            <v>Ebook - pdf</v>
          </cell>
          <cell r="C1486">
            <v>9780748637195</v>
          </cell>
        </row>
        <row r="1487">
          <cell r="A1487" t="str">
            <v>Medieval Monuments of Central Asia: Qarakhanid Architecture of the 11th and 12th Centuries</v>
          </cell>
          <cell r="B1487" t="str">
            <v>Ebook - pdf</v>
          </cell>
          <cell r="C1487">
            <v>9781474423984</v>
          </cell>
        </row>
        <row r="1488">
          <cell r="A1488" t="str">
            <v>Medieval Scotland: Crown, Lordship &amp; Community</v>
          </cell>
          <cell r="B1488" t="str">
            <v>Ebook - pdf</v>
          </cell>
          <cell r="C1488">
            <v>9781474468640</v>
          </cell>
        </row>
        <row r="1489">
          <cell r="A1489" t="str">
            <v>Mel Brooks in the Cultural Industries: Survival and Prolonged Adaptation</v>
          </cell>
          <cell r="B1489" t="str">
            <v>Ebook - pdf</v>
          </cell>
          <cell r="C1489">
            <v>9780748664481</v>
          </cell>
        </row>
        <row r="1490">
          <cell r="A1490" t="str">
            <v>Memento</v>
          </cell>
          <cell r="B1490" t="str">
            <v>Ebook - pdf</v>
          </cell>
          <cell r="C1490">
            <v>9780748637737</v>
          </cell>
        </row>
        <row r="1491">
          <cell r="A1491" t="str">
            <v>Memories of Odysseus: Frontier Tales from Ancient Greece</v>
          </cell>
          <cell r="B1491" t="str">
            <v>Ebook - pdf</v>
          </cell>
          <cell r="C1491">
            <v>9781474468947</v>
          </cell>
        </row>
        <row r="1492">
          <cell r="A1492" t="str">
            <v>Memory and the Moving Image: French Film in the Digital Era</v>
          </cell>
          <cell r="B1492" t="str">
            <v>Ebook - pdf</v>
          </cell>
          <cell r="C1492">
            <v>9780748642205</v>
          </cell>
        </row>
        <row r="1493">
          <cell r="A1493" t="str">
            <v>Memory, Narrative, Identity: Remembering the Self</v>
          </cell>
          <cell r="B1493" t="str">
            <v>Ebook - pdf</v>
          </cell>
          <cell r="C1493">
            <v>9780748611164</v>
          </cell>
        </row>
        <row r="1494">
          <cell r="A1494" t="str">
            <v>Memory, Subjectivity and Independent Chinese Cinema</v>
          </cell>
          <cell r="B1494" t="str">
            <v>Ebook - pdf</v>
          </cell>
          <cell r="C1494">
            <v>9780748692347</v>
          </cell>
        </row>
        <row r="1495">
          <cell r="A1495" t="str">
            <v>Men of Influence: Stalin's Diplomats in Europe, 1930-1939</v>
          </cell>
          <cell r="B1495" t="str">
            <v>Ebook - pdf</v>
          </cell>
          <cell r="C1495">
            <v>9781474467872</v>
          </cell>
        </row>
        <row r="1496">
          <cell r="A1496" t="str">
            <v>Men's Bodies: Paragraph Volume 26 Issue 1-2</v>
          </cell>
          <cell r="B1496" t="str">
            <v>Ebook - pdf</v>
          </cell>
          <cell r="C1496">
            <v>9781474472883</v>
          </cell>
        </row>
        <row r="1497">
          <cell r="A1497" t="str">
            <v>Men's Cinema: Masculinity and Mise-en-Scene in Hollywood</v>
          </cell>
          <cell r="B1497" t="str">
            <v>Ebook - pdf</v>
          </cell>
          <cell r="C1497">
            <v>9780748676170</v>
          </cell>
        </row>
        <row r="1498">
          <cell r="A1498" t="str">
            <v>Mercenaries in British and American Literature, 1790–1830: Writing, Fighting, and Marrying for Money</v>
          </cell>
          <cell r="B1498" t="str">
            <v>Ebook - pdf</v>
          </cell>
          <cell r="C1498">
            <v>9780748636457</v>
          </cell>
        </row>
        <row r="1499">
          <cell r="A1499" t="str">
            <v>Metadrama and the Informer in Shakespeare and Jonson</v>
          </cell>
          <cell r="B1499" t="str">
            <v>Ebook - pdf</v>
          </cell>
          <cell r="C1499">
            <v>9781474415125</v>
          </cell>
        </row>
        <row r="1500">
          <cell r="A1500" t="str">
            <v>Michael Mann - Cinema and Television: Interviews, 1980-2012</v>
          </cell>
          <cell r="B1500" t="str">
            <v>Ebook - pdf</v>
          </cell>
          <cell r="C1500">
            <v>9780748693559</v>
          </cell>
        </row>
        <row r="1501">
          <cell r="A1501" t="str">
            <v>Michel Foucault: An Introduction</v>
          </cell>
          <cell r="B1501" t="str">
            <v>Ebook - pdf</v>
          </cell>
          <cell r="C1501">
            <v>9780585154701</v>
          </cell>
        </row>
        <row r="1502">
          <cell r="A1502" t="str">
            <v>Michel Serres: Figures of Thought</v>
          </cell>
          <cell r="B1502" t="str">
            <v>Ebook - pdf</v>
          </cell>
          <cell r="C1502">
            <v>9781474405751</v>
          </cell>
        </row>
        <row r="1503">
          <cell r="A1503" t="str">
            <v>Migrants' Perspectives, Migrants in Perspective: World Cinema</v>
          </cell>
          <cell r="B1503" t="str">
            <v>Ebook - pdf</v>
          </cell>
          <cell r="C1503">
            <v>9781474456784</v>
          </cell>
        </row>
        <row r="1504">
          <cell r="A1504" t="str">
            <v>Migrating Meanings: Sharing Keywords in a Global World</v>
          </cell>
          <cell r="B1504" t="str">
            <v>Ebook - pdf</v>
          </cell>
          <cell r="C1504">
            <v>9780748696956</v>
          </cell>
        </row>
        <row r="1505">
          <cell r="A1505" t="str">
            <v>Migrating Texts: Circulating Translations around the Ottoman Mediterranean</v>
          </cell>
          <cell r="B1505" t="str">
            <v>Ebook - pdf</v>
          </cell>
          <cell r="C1505">
            <v>9781474439015</v>
          </cell>
        </row>
        <row r="1506">
          <cell r="A1506" t="str">
            <v>Migration and Modernities: The State of Being Stateless, 1750-1850</v>
          </cell>
          <cell r="B1506" t="str">
            <v>Ebook - pdf</v>
          </cell>
          <cell r="C1506">
            <v>9781474440363</v>
          </cell>
        </row>
        <row r="1507">
          <cell r="A1507" t="str">
            <v>Militant Democracy and Its Critics: Populism, Parties, Extremism</v>
          </cell>
          <cell r="B1507" t="str">
            <v>Ebook - pdf</v>
          </cell>
          <cell r="C1507">
            <v>9781474445627</v>
          </cell>
        </row>
        <row r="1508">
          <cell r="A1508" t="str">
            <v>Minds and Computers: An Introduction to the Philosophy of Artificial Intelligence</v>
          </cell>
          <cell r="B1508" t="str">
            <v>Ebook - pdf</v>
          </cell>
          <cell r="C1508">
            <v>9780748629305</v>
          </cell>
        </row>
        <row r="1509">
          <cell r="A1509" t="str">
            <v>Minorities in the Contemporary Egyptian Novel</v>
          </cell>
          <cell r="B1509" t="str">
            <v>Ebook - pdf</v>
          </cell>
          <cell r="C1509">
            <v>9781474415422</v>
          </cell>
        </row>
        <row r="1510">
          <cell r="A1510" t="str">
            <v>Miracles of Healing: Psychotherapy and Religion in Twentieth-Century Scotland</v>
          </cell>
          <cell r="B1510" t="str">
            <v>Ebook - pdf</v>
          </cell>
          <cell r="C1510">
            <v>9781474446983</v>
          </cell>
        </row>
        <row r="1511">
          <cell r="A1511" t="str">
            <v xml:space="preserve">Mixed Jurisdictions Compared: Private Law in Louisiana and Scotland </v>
          </cell>
          <cell r="B1511" t="str">
            <v>Ebook - pdf</v>
          </cell>
          <cell r="C1511">
            <v>9780748642120</v>
          </cell>
        </row>
        <row r="1512">
          <cell r="A1512" t="str">
            <v>Mixed Methods Research for TESOL</v>
          </cell>
          <cell r="B1512" t="str">
            <v>Ebook - pdf</v>
          </cell>
          <cell r="C1512">
            <v>9780748698059</v>
          </cell>
        </row>
        <row r="1513">
          <cell r="A1513" t="str">
            <v>Modelling World Englishes: A Joint Approach to Postcolonial and Non-Postcolonial Varieties</v>
          </cell>
          <cell r="B1513" t="str">
            <v>Ebook - pdf</v>
          </cell>
          <cell r="C1513">
            <v>9781474445887</v>
          </cell>
        </row>
        <row r="1514">
          <cell r="A1514" t="str">
            <v>Modern American Literature</v>
          </cell>
          <cell r="B1514" t="str">
            <v>Ebook - pdf</v>
          </cell>
          <cell r="C1514">
            <v>9780748630721</v>
          </cell>
        </row>
        <row r="1515">
          <cell r="A1515" t="str">
            <v>Modern Arab Journalism: Problems and Prospects</v>
          </cell>
          <cell r="B1515" t="str">
            <v>Ebook - pdf</v>
          </cell>
          <cell r="C1515">
            <v>9780748634125</v>
          </cell>
        </row>
        <row r="1516">
          <cell r="A1516" t="str">
            <v>Modern Arabic Literature</v>
          </cell>
          <cell r="B1516" t="str">
            <v>Ebook - pdf</v>
          </cell>
          <cell r="C1516">
            <v>9780748627240</v>
          </cell>
        </row>
        <row r="1517">
          <cell r="A1517" t="str">
            <v>Modern Arabic Literature: A Theoretical Framework</v>
          </cell>
          <cell r="B1517" t="str">
            <v>Ebook - pdf</v>
          </cell>
          <cell r="C1517">
            <v>9781474420525</v>
          </cell>
        </row>
        <row r="1518">
          <cell r="A1518" t="str">
            <v>Modern British and Irish Criticism and Theory: A Critical Guide</v>
          </cell>
          <cell r="B1518" t="str">
            <v>Ebook - pdf</v>
          </cell>
          <cell r="C1518">
            <v>9780748626809</v>
          </cell>
        </row>
        <row r="1519">
          <cell r="A1519" t="str">
            <v>Modern Diachronic Corpus-Assisted Discourse Studies: Corpora Volume 5, Issue 2</v>
          </cell>
          <cell r="B1519" t="str">
            <v>Ebook - pdf</v>
          </cell>
          <cell r="C1519">
            <v>9780748671502</v>
          </cell>
        </row>
        <row r="1520">
          <cell r="A1520" t="str">
            <v>Modern European Criticism and Theory: A Critical Guide</v>
          </cell>
          <cell r="B1520" t="str">
            <v>Ebook - pdf</v>
          </cell>
          <cell r="C1520">
            <v>9780748626793</v>
          </cell>
        </row>
        <row r="1521">
          <cell r="A1521" t="str">
            <v>Modern Feminist Thought: From the Second Wave to 'Third Wave' Feminism</v>
          </cell>
          <cell r="B1521" t="str">
            <v>Ebook - pdf</v>
          </cell>
          <cell r="C1521">
            <v>9780748632084</v>
          </cell>
        </row>
        <row r="1522">
          <cell r="A1522" t="str">
            <v>Modern Hadith Studies: Continuing Debates and New Approaches</v>
          </cell>
          <cell r="B1522" t="str">
            <v>Ebook - pdf</v>
          </cell>
          <cell r="C1522">
            <v>9781474441810</v>
          </cell>
        </row>
        <row r="1523">
          <cell r="A1523" t="str">
            <v>Modern Islamic Authority and Social Change, Volume 1: Evolving Debates in Muslim Majority Countries</v>
          </cell>
          <cell r="B1523" t="str">
            <v>Ebook - pdf</v>
          </cell>
          <cell r="C1523">
            <v>9781474433242</v>
          </cell>
        </row>
        <row r="1524">
          <cell r="A1524" t="str">
            <v>Modern Islamic Authority and Social Change, Volume 2: Evolving Debates in the West</v>
          </cell>
          <cell r="B1524" t="str">
            <v>Ebook - pdf</v>
          </cell>
          <cell r="C1524">
            <v>9781474433280</v>
          </cell>
        </row>
        <row r="1525">
          <cell r="A1525" t="str">
            <v>Modern Literature and the Tragic</v>
          </cell>
          <cell r="B1525" t="str">
            <v>Ebook - pdf</v>
          </cell>
          <cell r="C1525">
            <v>9780748636747</v>
          </cell>
        </row>
        <row r="1526">
          <cell r="A1526" t="str">
            <v>Modern North American Criticism and Theory: A Critical Guide</v>
          </cell>
          <cell r="B1526" t="str">
            <v>Ebook - pdf</v>
          </cell>
          <cell r="C1526">
            <v>9780748626786</v>
          </cell>
        </row>
        <row r="1527">
          <cell r="A1527" t="str">
            <v>Modern Nostalgia: Siegfried Sassoon, Trauma and the Second World War</v>
          </cell>
          <cell r="B1527" t="str">
            <v>Ebook - pdf</v>
          </cell>
          <cell r="C1527">
            <v>9780748633074</v>
          </cell>
        </row>
        <row r="1528">
          <cell r="A1528" t="str">
            <v>Modern Print Artefacts: Textual Materiality and Literary Value in British Print Culture, 1890-1930s</v>
          </cell>
          <cell r="B1528" t="str">
            <v>Ebook - pdf</v>
          </cell>
          <cell r="C1528">
            <v>9781474413480</v>
          </cell>
        </row>
        <row r="1529">
          <cell r="A1529" t="str">
            <v>Modern Scots: An Analytical Survey</v>
          </cell>
          <cell r="B1529" t="str">
            <v>Ebook - pdf</v>
          </cell>
          <cell r="C1529">
            <v>9781474416887</v>
          </cell>
        </row>
        <row r="1530">
          <cell r="A1530" t="str">
            <v>Modern Scottish Culture</v>
          </cell>
          <cell r="B1530" t="str">
            <v>Ebook - pdf</v>
          </cell>
          <cell r="C1530">
            <v>9781474468329</v>
          </cell>
        </row>
        <row r="1531">
          <cell r="A1531" t="str">
            <v>Modern Thought in Pain: Theodicy, Philosophy, Aesthetics</v>
          </cell>
          <cell r="B1531" t="str">
            <v>Ebook - pdf</v>
          </cell>
          <cell r="C1531">
            <v>9780748692422</v>
          </cell>
        </row>
        <row r="1532">
          <cell r="A1532" t="str">
            <v>Modernism and Affect</v>
          </cell>
          <cell r="B1532" t="str">
            <v>Ebook - pdf</v>
          </cell>
          <cell r="C1532">
            <v>9780748693269</v>
          </cell>
        </row>
        <row r="1533">
          <cell r="A1533" t="str">
            <v>Modernism and Magic: Experiments with Spiritualism, Theosophy and the Occult</v>
          </cell>
          <cell r="B1533" t="str">
            <v>Ebook - pdf</v>
          </cell>
          <cell r="C1533">
            <v>9780748631650</v>
          </cell>
        </row>
        <row r="1534">
          <cell r="A1534" t="str">
            <v>Modernism and Still Life: Artists, Writers, Dancers</v>
          </cell>
          <cell r="B1534" t="str">
            <v>Ebook - pdf</v>
          </cell>
          <cell r="C1534">
            <v>9781474455152</v>
          </cell>
        </row>
        <row r="1535">
          <cell r="A1535" t="str">
            <v>Modernism and the Choreographic Imagination: Salome’s Dance after 1890</v>
          </cell>
          <cell r="B1535" t="str">
            <v>Ebook - pdf</v>
          </cell>
          <cell r="C1535">
            <v>9781474481649</v>
          </cell>
        </row>
        <row r="1536">
          <cell r="A1536" t="str">
            <v>Modernism and the Frankfurt School</v>
          </cell>
          <cell r="B1536" t="str">
            <v>Ebook - pdf</v>
          </cell>
          <cell r="C1536">
            <v>9780748694716</v>
          </cell>
        </row>
        <row r="1537">
          <cell r="A1537" t="str">
            <v>Modernism and the Theatre of the Baroque</v>
          </cell>
          <cell r="B1537" t="str">
            <v>Ebook - pdf</v>
          </cell>
          <cell r="C1537">
            <v>9781474419635</v>
          </cell>
        </row>
        <row r="1538">
          <cell r="A1538" t="str">
            <v>Modernism and Time Machines</v>
          </cell>
          <cell r="B1538" t="str">
            <v>Ebook - pdf</v>
          </cell>
          <cell r="C1538">
            <v>9781474431354</v>
          </cell>
        </row>
        <row r="1539">
          <cell r="A1539" t="str">
            <v>Modernism Edited: Marianne Moore and the Dial Magazine</v>
          </cell>
          <cell r="B1539" t="str">
            <v>Ebook - pdf</v>
          </cell>
          <cell r="C1539">
            <v>9781474417310</v>
          </cell>
        </row>
        <row r="1540">
          <cell r="A1540" t="str">
            <v>Modernism, Fashion and Interwar Women Writers</v>
          </cell>
          <cell r="B1540" t="str">
            <v>Ebook - pdf</v>
          </cell>
          <cell r="C1540">
            <v>9781474427432</v>
          </cell>
        </row>
        <row r="1541">
          <cell r="A1541" t="str">
            <v>Modernism, Fiction and Mathematics</v>
          </cell>
          <cell r="B1541" t="str">
            <v>Ebook - pdf</v>
          </cell>
          <cell r="C1541">
            <v>9781474416245</v>
          </cell>
        </row>
        <row r="1542">
          <cell r="A1542" t="str">
            <v>Modernism, Internationalism and the Russian Revolution</v>
          </cell>
          <cell r="B1542" t="str">
            <v>Ebook - pdf</v>
          </cell>
          <cell r="C1542">
            <v>9780748647347</v>
          </cell>
        </row>
        <row r="1543">
          <cell r="A1543" t="str">
            <v>Modernism, Music and the Politics of Aesthetics</v>
          </cell>
          <cell r="B1543" t="str">
            <v>Ebook - pdf</v>
          </cell>
          <cell r="C1543">
            <v>9781474429924</v>
          </cell>
        </row>
        <row r="1544">
          <cell r="A1544" t="str">
            <v>Modernism, Space and the City: Outsiders and Affect in Paris, Vienna, Berlin, and London</v>
          </cell>
          <cell r="B1544" t="str">
            <v>Ebook - pdf</v>
          </cell>
          <cell r="C1544">
            <v>9780748633494</v>
          </cell>
        </row>
        <row r="1545">
          <cell r="A1545" t="str">
            <v>Modernist and Avant-Garde Performance: An Introduction</v>
          </cell>
          <cell r="B1545" t="str">
            <v>Ebook - pdf</v>
          </cell>
          <cell r="C1545">
            <v>9780748681563</v>
          </cell>
        </row>
        <row r="1546">
          <cell r="A1546" t="str">
            <v>Modernist Avant-Garde Aesthetics and Contemporary Military Technology: Technicities of Perception</v>
          </cell>
          <cell r="B1546" t="str">
            <v>Ebook - pdf</v>
          </cell>
          <cell r="C1546">
            <v>9780748672608</v>
          </cell>
        </row>
        <row r="1547">
          <cell r="A1547" t="str">
            <v>Modernist Disguise: Masquerade in Modern Performance and Visual Culture</v>
          </cell>
          <cell r="B1547" t="str">
            <v>Ebook - pdf</v>
          </cell>
          <cell r="C1547">
            <v>9781474470070</v>
          </cell>
        </row>
        <row r="1548">
          <cell r="A1548" t="str">
            <v>Modernist Intimacies</v>
          </cell>
          <cell r="B1548" t="str">
            <v>Ebook - pdf</v>
          </cell>
          <cell r="C1548">
            <v>9781474441858</v>
          </cell>
        </row>
        <row r="1549">
          <cell r="A1549" t="str">
            <v>Modernist Life Histories: Biological Theory and The Experimental Bildungsroman</v>
          </cell>
          <cell r="B1549" t="str">
            <v>Ebook - pdf</v>
          </cell>
          <cell r="C1549">
            <v>9781474439633</v>
          </cell>
        </row>
        <row r="1550">
          <cell r="A1550" t="str">
            <v>Modernist Literature</v>
          </cell>
          <cell r="B1550" t="str">
            <v>Ebook - pdf</v>
          </cell>
          <cell r="C1550">
            <v>9780748634330</v>
          </cell>
        </row>
        <row r="1551">
          <cell r="A1551" t="str">
            <v>Modernist Literature and Postcolonial Studies</v>
          </cell>
          <cell r="B1551" t="str">
            <v>Ebook - pdf</v>
          </cell>
          <cell r="C1551">
            <v>9780748682607</v>
          </cell>
        </row>
        <row r="1552">
          <cell r="A1552" t="str">
            <v>Modernist Literature: An Introduction</v>
          </cell>
          <cell r="B1552" t="str">
            <v>Ebook - pdf</v>
          </cell>
          <cell r="C1552">
            <v>9780748631612</v>
          </cell>
        </row>
        <row r="1553">
          <cell r="A1553" t="str">
            <v>Modernist Women and Visual Cultures: Virginia Woolf, Vanessa Bell, Photography and Cinema</v>
          </cell>
          <cell r="B1553" t="str">
            <v>Ebook - pdf</v>
          </cell>
          <cell r="C1553">
            <v>9781474469395</v>
          </cell>
        </row>
        <row r="1554">
          <cell r="A1554" t="str">
            <v>Money Laundering: Hume Papers on Public Policy 1.2</v>
          </cell>
          <cell r="B1554" t="str">
            <v>Ebook - pdf</v>
          </cell>
          <cell r="C1554">
            <v>9781474470605</v>
          </cell>
        </row>
        <row r="1555">
          <cell r="A1555" t="str">
            <v>Monstrosity and Philosophy: Radical Otherness in Greek and Latin Culture</v>
          </cell>
          <cell r="B1555" t="str">
            <v>Ebook - pdf</v>
          </cell>
          <cell r="C1555">
            <v>9781474456234</v>
          </cell>
        </row>
        <row r="1556">
          <cell r="A1556" t="str">
            <v>Moral Geographies: Ethics in a World of Difference</v>
          </cell>
          <cell r="B1556" t="str">
            <v>Ebook - pdf</v>
          </cell>
          <cell r="C1556">
            <v>9781474472685</v>
          </cell>
        </row>
        <row r="1557">
          <cell r="A1557" t="str">
            <v>Moral History from Herodotus to Diodorus Siculus</v>
          </cell>
          <cell r="B1557" t="str">
            <v>Ebook - pdf</v>
          </cell>
          <cell r="C1557">
            <v>9781474411080</v>
          </cell>
        </row>
        <row r="1558">
          <cell r="A1558" t="str">
            <v>Morality, Rules, and Consequences: A Critical Reader</v>
          </cell>
          <cell r="B1558" t="str">
            <v>Ebook - pdf</v>
          </cell>
          <cell r="C1558">
            <v>9781474469319</v>
          </cell>
        </row>
        <row r="1559">
          <cell r="A1559" t="str">
            <v>Moroccan Cinema Uncut: Decentred Voices, Transnational Perspectives</v>
          </cell>
          <cell r="B1559" t="str">
            <v>Ebook - pdf</v>
          </cell>
          <cell r="C1559">
            <v>9781474477956</v>
          </cell>
        </row>
        <row r="1560">
          <cell r="A1560" t="str">
            <v>Morphological Perspectives: Papers in Honour of Greville G. Corbett</v>
          </cell>
          <cell r="B1560" t="str">
            <v>Ebook - pdf</v>
          </cell>
          <cell r="C1560">
            <v>9781474446020</v>
          </cell>
        </row>
        <row r="1561">
          <cell r="A1561" t="str">
            <v>Morphological Theory and the Morphology of English</v>
          </cell>
          <cell r="B1561" t="str">
            <v>Ebook - pdf</v>
          </cell>
          <cell r="C1561">
            <v>9780748645145</v>
          </cell>
        </row>
        <row r="1562">
          <cell r="A1562" t="str">
            <v>Morphology: From Data to Theories</v>
          </cell>
          <cell r="B1562" t="str">
            <v>Ebook - pdf</v>
          </cell>
          <cell r="C1562">
            <v>9780748656264</v>
          </cell>
        </row>
        <row r="1563">
          <cell r="A1563" t="str">
            <v>Mother Homer is Dead</v>
          </cell>
          <cell r="B1563" t="str">
            <v>Ebook - pdf</v>
          </cell>
          <cell r="C1563">
            <v>9781474425131</v>
          </cell>
        </row>
        <row r="1564">
          <cell r="A1564" t="str">
            <v>Mothers and Daughters in the Twentieth Century: A Literary Anthology</v>
          </cell>
          <cell r="B1564" t="str">
            <v>Ebook - pdf</v>
          </cell>
          <cell r="C1564">
            <v>9781474469456</v>
          </cell>
        </row>
        <row r="1565">
          <cell r="A1565" t="str">
            <v>Mountain Flora of Greece: Volume 2</v>
          </cell>
          <cell r="B1565" t="str">
            <v>Ebook - pdf</v>
          </cell>
          <cell r="C1565">
            <v>9781474472906</v>
          </cell>
        </row>
        <row r="1566">
          <cell r="A1566" t="str">
            <v>Moving Figures: Class and Feeling in the Films of Jia Zhangke</v>
          </cell>
          <cell r="B1566" t="str">
            <v>Ebook - pdf</v>
          </cell>
          <cell r="C1566">
            <v>9781474421621</v>
          </cell>
        </row>
        <row r="1567">
          <cell r="A1567" t="str">
            <v>Moving Images: Nineteenth-Century Reading and Screen Practices</v>
          </cell>
          <cell r="B1567" t="str">
            <v>Ebook - pdf</v>
          </cell>
          <cell r="C1567">
            <v>9780748669493</v>
          </cell>
        </row>
        <row r="1568">
          <cell r="A1568" t="str">
            <v>Muhammad Iqbal: Essays on the Reconstruction of Modern Muslim Thought</v>
          </cell>
          <cell r="B1568" t="str">
            <v>Ebook - pdf</v>
          </cell>
          <cell r="C1568">
            <v>9780748695423</v>
          </cell>
        </row>
        <row r="1569">
          <cell r="A1569" t="str">
            <v>Multicultural American Literature: Comparative Black, Native, Latino/a and Asian American Fictions</v>
          </cell>
          <cell r="B1569" t="str">
            <v>Ebook - pdf</v>
          </cell>
          <cell r="C1569">
            <v>9781474470193</v>
          </cell>
        </row>
        <row r="1570">
          <cell r="A1570" t="str">
            <v>Multicultural Governance in a Mobile World</v>
          </cell>
          <cell r="B1570" t="str">
            <v>Ebook - pdf</v>
          </cell>
          <cell r="C1570">
            <v>9781474428255</v>
          </cell>
        </row>
        <row r="1571">
          <cell r="A1571" t="str">
            <v>Multicultural Immunisation: Liberalism and Esposito</v>
          </cell>
          <cell r="B1571" t="str">
            <v>Ebook - pdf</v>
          </cell>
          <cell r="C1571">
            <v>9780748695409</v>
          </cell>
        </row>
        <row r="1572">
          <cell r="A1572" t="str">
            <v>Multicultural Politics: Racism, Ethnicity and Muslims in Britain</v>
          </cell>
          <cell r="B1572" t="str">
            <v>Ebook - pdf</v>
          </cell>
          <cell r="C1572">
            <v>9781474471077</v>
          </cell>
        </row>
        <row r="1573">
          <cell r="A1573" t="str">
            <v>Multiculturalism and Interculturalism: Debating the Dividing Lines</v>
          </cell>
          <cell r="B1573" t="str">
            <v>Ebook - pdf</v>
          </cell>
          <cell r="C1573">
            <v>9781474407106</v>
          </cell>
        </row>
        <row r="1574">
          <cell r="A1574" t="str">
            <v>Multiculturalism Rethought: Interpretations, Dilemmas and New Directions</v>
          </cell>
          <cell r="B1574" t="str">
            <v>Ebook - pdf</v>
          </cell>
          <cell r="C1574">
            <v>9781474401890</v>
          </cell>
        </row>
        <row r="1575">
          <cell r="A1575" t="str">
            <v>Multimodal Participation and Engagement: Social interaction in the Classroom</v>
          </cell>
          <cell r="B1575" t="str">
            <v>Ebook - pdf</v>
          </cell>
          <cell r="C1575">
            <v>9781474455206</v>
          </cell>
        </row>
        <row r="1576">
          <cell r="A1576" t="str">
            <v>Muriel Rukeyser and Documentary: The Poetics of Connection</v>
          </cell>
          <cell r="B1576" t="str">
            <v>Ebook - pdf</v>
          </cell>
          <cell r="C1576">
            <v>9780748670543</v>
          </cell>
        </row>
        <row r="1577">
          <cell r="A1577" t="str">
            <v>Muriel Spark, Existentialism and The Art of Death</v>
          </cell>
          <cell r="B1577" t="str">
            <v>Ebook - pdf</v>
          </cell>
          <cell r="C1577">
            <v>9781474447225</v>
          </cell>
        </row>
        <row r="1578">
          <cell r="A1578" t="str">
            <v>Muriel Spark's Early Fiction: Literary Subversion and Experiments with Form</v>
          </cell>
          <cell r="B1578" t="str">
            <v>Ebook - pdf</v>
          </cell>
          <cell r="C1578">
            <v>9781474475983</v>
          </cell>
        </row>
        <row r="1579">
          <cell r="A1579" t="str">
            <v>Music and Copyright</v>
          </cell>
          <cell r="B1579" t="str">
            <v>Ebook - pdf</v>
          </cell>
          <cell r="C1579">
            <v>9781474468282</v>
          </cell>
        </row>
        <row r="1580">
          <cell r="A1580" t="str">
            <v>Music and Youth Culture</v>
          </cell>
          <cell r="B1580" t="str">
            <v>Ebook - pdf</v>
          </cell>
          <cell r="C1580">
            <v>9780748626380</v>
          </cell>
        </row>
        <row r="1581">
          <cell r="A1581" t="str">
            <v>Music Video and the Politics of Representation</v>
          </cell>
          <cell r="B1581" t="str">
            <v>Ebook - pdf</v>
          </cell>
          <cell r="C1581">
            <v>9780748633241</v>
          </cell>
        </row>
        <row r="1582">
          <cell r="A1582" t="str">
            <v>Music, Philosophy and Gender in Nancy, Lacoue-Labarthe, Badiou</v>
          </cell>
          <cell r="B1582" t="str">
            <v>Ebook - pdf</v>
          </cell>
          <cell r="C1582">
            <v>9781474458344</v>
          </cell>
        </row>
        <row r="1583">
          <cell r="A1583" t="str">
            <v>Music, Sound and Multimedia: From the Live to the Virtual</v>
          </cell>
          <cell r="B1583" t="str">
            <v>Ebook - pdf</v>
          </cell>
          <cell r="C1583">
            <v>9780748630905</v>
          </cell>
        </row>
        <row r="1584">
          <cell r="A1584" t="str">
            <v>Muslim Cosmopolitanism: Southeast Asian Islam in Comparative Perspective</v>
          </cell>
          <cell r="B1584" t="str">
            <v>Ebook - pdf</v>
          </cell>
          <cell r="C1584">
            <v>9781474408899</v>
          </cell>
        </row>
        <row r="1585">
          <cell r="A1585" t="str">
            <v>Muslim Political Participation in Europe</v>
          </cell>
          <cell r="B1585" t="str">
            <v>Ebook - pdf</v>
          </cell>
          <cell r="C1585">
            <v>9780748646951</v>
          </cell>
        </row>
        <row r="1586">
          <cell r="A1586" t="str">
            <v>Muslim Preaching in the Middle East and Beyond: Historical and Contemporary Case Studies</v>
          </cell>
          <cell r="B1586" t="str">
            <v>Ebook - pdf</v>
          </cell>
          <cell r="C1586">
            <v>9781474467490</v>
          </cell>
        </row>
        <row r="1587">
          <cell r="A1587" t="str">
            <v>Muslim Spain Reconsidered: From 711 to 1502</v>
          </cell>
          <cell r="B1587" t="str">
            <v>Ebook - pdf</v>
          </cell>
          <cell r="C1587">
            <v>9780748678297</v>
          </cell>
        </row>
        <row r="1588">
          <cell r="A1588" t="str">
            <v>Muslim-Christian Polemics in Safavid Iran</v>
          </cell>
          <cell r="B1588" t="str">
            <v>Ebook - pdf</v>
          </cell>
          <cell r="C1588">
            <v>9781474440486</v>
          </cell>
        </row>
        <row r="1589">
          <cell r="A1589" t="str">
            <v>Muslims in Britain: Race, Place and Identities</v>
          </cell>
          <cell r="B1589" t="str">
            <v>Ebook - pdf</v>
          </cell>
          <cell r="C1589">
            <v>9780748631230</v>
          </cell>
        </row>
        <row r="1590">
          <cell r="A1590" t="str">
            <v>Muslims in Eastern Europe</v>
          </cell>
          <cell r="B1590" t="str">
            <v>Ebook - pdf</v>
          </cell>
          <cell r="C1590">
            <v>9781474415804</v>
          </cell>
        </row>
        <row r="1591">
          <cell r="A1591" t="str">
            <v>Muslims in Ireland: Past and Present</v>
          </cell>
          <cell r="B1591" t="str">
            <v>Ebook - pdf</v>
          </cell>
          <cell r="C1591">
            <v>9780748696895</v>
          </cell>
        </row>
        <row r="1592">
          <cell r="A1592" t="str">
            <v>Muslims in Scotland: The Making of Community in a Post-9/11 World</v>
          </cell>
          <cell r="B1592" t="str">
            <v>Ebook - pdf</v>
          </cell>
          <cell r="C1592">
            <v>9781474408035</v>
          </cell>
        </row>
        <row r="1593">
          <cell r="A1593" t="str">
            <v>Muslims in Western Europe</v>
          </cell>
          <cell r="B1593" t="str">
            <v>Ebook - pdf</v>
          </cell>
          <cell r="C1593">
            <v>9781474409346</v>
          </cell>
        </row>
        <row r="1594">
          <cell r="A1594" t="str">
            <v>Muslims of Central Asia: An Introduction</v>
          </cell>
          <cell r="B1594" t="str">
            <v>Ebook - pdf</v>
          </cell>
          <cell r="C1594">
            <v>9781474416344</v>
          </cell>
        </row>
        <row r="1595">
          <cell r="A1595" t="str">
            <v>Muslims of Europe: The 'Other' Europeans</v>
          </cell>
          <cell r="B1595" t="str">
            <v>Ebook - pdf</v>
          </cell>
          <cell r="C1595">
            <v>9780748642083</v>
          </cell>
        </row>
        <row r="1596">
          <cell r="A1596" t="str">
            <v>My Quest for the Middle Ages</v>
          </cell>
          <cell r="B1596" t="str">
            <v>Ebook - pdf</v>
          </cell>
          <cell r="C1596">
            <v>9781474470155</v>
          </cell>
        </row>
        <row r="1597">
          <cell r="A1597" t="str">
            <v>My Self on Camera: First Person Documentary Practice in an Individualising China</v>
          </cell>
          <cell r="B1597" t="str">
            <v>Ebook - pdf</v>
          </cell>
          <cell r="C1597">
            <v>9780748698226</v>
          </cell>
        </row>
        <row r="1598">
          <cell r="A1598" t="str">
            <v>Myth of the Western: New Perspectives on Hollywood's Frontier Narrative</v>
          </cell>
          <cell r="B1598" t="str">
            <v>Ebook - pdf</v>
          </cell>
          <cell r="C1598">
            <v>9780748685592</v>
          </cell>
        </row>
        <row r="1599">
          <cell r="A1599" t="str">
            <v>Nancy and the Political</v>
          </cell>
          <cell r="B1599" t="str">
            <v>Ebook - pdf</v>
          </cell>
          <cell r="C1599">
            <v>9780748683192</v>
          </cell>
        </row>
        <row r="1600">
          <cell r="A1600" t="str">
            <v>Nancy and Visual Culture</v>
          </cell>
          <cell r="B1600" t="str">
            <v>Ebook - pdf</v>
          </cell>
          <cell r="C1600">
            <v>9781474407502</v>
          </cell>
        </row>
        <row r="1601">
          <cell r="A1601" t="str">
            <v>Narrative and Becoming</v>
          </cell>
          <cell r="B1601" t="str">
            <v>Ebook - pdf</v>
          </cell>
          <cell r="C1601">
            <v>9781474414579</v>
          </cell>
        </row>
        <row r="1602">
          <cell r="A1602" t="str">
            <v>Narrative Humanism: Kindness and Complexity in Fiction and Film</v>
          </cell>
          <cell r="B1602" t="str">
            <v>Ebook - pdf</v>
          </cell>
          <cell r="C1602">
            <v>9781474454339</v>
          </cell>
        </row>
        <row r="1603">
          <cell r="A1603" t="str">
            <v>Narrative, Identity and the Kierkegaardian Self</v>
          </cell>
          <cell r="B1603" t="str">
            <v>Ebook - pdf</v>
          </cell>
          <cell r="C1603">
            <v>9780748694440</v>
          </cell>
        </row>
        <row r="1604">
          <cell r="A1604" t="str">
            <v>Narratives for a New Belonging: Diasporic Cultural Fictions</v>
          </cell>
          <cell r="B1604" t="str">
            <v>Ebook - pdf</v>
          </cell>
          <cell r="C1604">
            <v>9781474465427</v>
          </cell>
        </row>
        <row r="1605">
          <cell r="A1605" t="str">
            <v>Nasser in the Egyptian Imaginary</v>
          </cell>
          <cell r="B1605" t="str">
            <v>Ebook - pdf</v>
          </cell>
          <cell r="C1605">
            <v>9781474410205</v>
          </cell>
        </row>
        <row r="1606">
          <cell r="A1606" t="str">
            <v>Nasty Business: The Marketing and Distribution of the Video Nasties</v>
          </cell>
          <cell r="B1606" t="str">
            <v>Ebook - pdf</v>
          </cell>
          <cell r="C1606">
            <v>9781474451109</v>
          </cell>
        </row>
        <row r="1607">
          <cell r="A1607" t="str">
            <v>Nationalism and Ethnosymbolism: History, Culture and Ethnicity in the Formation of Nations</v>
          </cell>
          <cell r="B1607" t="str">
            <v>Ebook - pdf</v>
          </cell>
          <cell r="C1607">
            <v>9780748629350</v>
          </cell>
        </row>
        <row r="1608">
          <cell r="A1608" t="str">
            <v>Nationalism: Theories and Cases</v>
          </cell>
          <cell r="B1608" t="str">
            <v>Ebook - pdf</v>
          </cell>
          <cell r="C1608">
            <v>9780748628513</v>
          </cell>
        </row>
        <row r="1609">
          <cell r="A1609" t="str">
            <v>Nationalism: Theories and Cases</v>
          </cell>
          <cell r="B1609" t="str">
            <v>Ebook - pdf</v>
          </cell>
          <cell r="C1609">
            <v>9781474468831</v>
          </cell>
        </row>
        <row r="1610">
          <cell r="A1610" t="str">
            <v>Nationhood, Migration and Global Politics: An Introduction</v>
          </cell>
          <cell r="B1610" t="str">
            <v>Ebook - pdf</v>
          </cell>
          <cell r="C1610">
            <v>9781474413428</v>
          </cell>
        </row>
        <row r="1611">
          <cell r="A1611" t="str">
            <v>Nations and Nationalism: A Reader</v>
          </cell>
          <cell r="B1611" t="str">
            <v>Ebook - pdf</v>
          </cell>
          <cell r="C1611">
            <v>9781474472777</v>
          </cell>
        </row>
        <row r="1612">
          <cell r="A1612" t="str">
            <v>Native American Studies</v>
          </cell>
          <cell r="B1612" t="str">
            <v>Ebook - pdf</v>
          </cell>
          <cell r="C1612">
            <v>9781474469845</v>
          </cell>
        </row>
        <row r="1613">
          <cell r="A1613" t="str">
            <v>Natural Catastrophe: Climate Change and Neoliberal Governance</v>
          </cell>
          <cell r="B1613" t="str">
            <v>Ebook - pdf</v>
          </cell>
          <cell r="C1613">
            <v>9781474410502</v>
          </cell>
        </row>
        <row r="1614">
          <cell r="A1614" t="str">
            <v>Nature Contested: Environmental History in Scotland and Northern England since 1600</v>
          </cell>
          <cell r="B1614" t="str">
            <v>Ebook - pdf</v>
          </cell>
          <cell r="C1614">
            <v>9781474472715</v>
          </cell>
        </row>
        <row r="1615">
          <cell r="A1615" t="str">
            <v>Nature Religion Today: Paganism in the Modern World</v>
          </cell>
          <cell r="B1615" t="str">
            <v>Ebook - pdf</v>
          </cell>
          <cell r="C1615">
            <v>9781474471503</v>
          </cell>
        </row>
        <row r="1616">
          <cell r="A1616" t="str">
            <v>Nature Translated: Alexander von Humboldt's Works in Nineteenth-Century Britain</v>
          </cell>
          <cell r="B1616" t="str">
            <v>Ebook - pdf</v>
          </cell>
          <cell r="C1616">
            <v>9781474439343</v>
          </cell>
        </row>
        <row r="1617">
          <cell r="A1617" t="str">
            <v>Nazi Wireless Propaganda: Lord Haw-Haw and British Public Opinion in the Second World War</v>
          </cell>
          <cell r="B1617" t="str">
            <v>Ebook - pdf</v>
          </cell>
          <cell r="C1617">
            <v>9781474496858</v>
          </cell>
        </row>
        <row r="1618">
          <cell r="A1618" t="str">
            <v>Negotiating Boundaries at Work: Talking and Transitions</v>
          </cell>
          <cell r="B1618" t="str">
            <v>Ebook - pdf</v>
          </cell>
          <cell r="C1618">
            <v>9781474403146</v>
          </cell>
        </row>
        <row r="1619">
          <cell r="A1619" t="str">
            <v>Negotiating Dissidence: The Pioneering Women of Arab Documentary</v>
          </cell>
          <cell r="B1619" t="str">
            <v>Ebook - pdf</v>
          </cell>
          <cell r="C1619">
            <v>9780748696079</v>
          </cell>
        </row>
        <row r="1620">
          <cell r="A1620" t="str">
            <v>Neo-Avant-Gardes: Post-War Literary Experiments Across Borders</v>
          </cell>
          <cell r="B1620" t="str">
            <v>Ebook - pdf</v>
          </cell>
          <cell r="C1620">
            <v>9781474486118</v>
          </cell>
        </row>
        <row r="1621">
          <cell r="A1621" t="str">
            <v>Neo-Liberal Ideology: History, Concepts and Policies</v>
          </cell>
          <cell r="B1621" t="str">
            <v>Ebook - pdf</v>
          </cell>
          <cell r="C1621">
            <v>9780748632350</v>
          </cell>
        </row>
        <row r="1622">
          <cell r="A1622" t="str">
            <v>Neoliberalism and Political Theology: From Kant to Identity Politics</v>
          </cell>
          <cell r="B1622" t="str">
            <v>Ebook - pdf</v>
          </cell>
          <cell r="C1622">
            <v>9781474454575</v>
          </cell>
        </row>
        <row r="1623">
          <cell r="A1623" t="str">
            <v>Neolithic Scotland: Timber, Stone, Earth and Fire</v>
          </cell>
          <cell r="B1623" t="str">
            <v>Ebook - pdf</v>
          </cell>
          <cell r="C1623">
            <v>9780748626984</v>
          </cell>
        </row>
        <row r="1624">
          <cell r="A1624" t="str">
            <v>New Age: A Guide</v>
          </cell>
          <cell r="B1624" t="str">
            <v>Ebook - pdf</v>
          </cell>
          <cell r="C1624">
            <v>9781474469746</v>
          </cell>
        </row>
        <row r="1625">
          <cell r="A1625" t="str">
            <v>New Blood in Contemporary Cinema: Women Directors and the Poetics of Horror</v>
          </cell>
          <cell r="B1625" t="str">
            <v>Ebook - pdf</v>
          </cell>
          <cell r="C1625">
            <v>9781474466974</v>
          </cell>
        </row>
        <row r="1626">
          <cell r="A1626" t="str">
            <v>New Critical Thinking: Criticism to Come</v>
          </cell>
          <cell r="B1626" t="str">
            <v>Ebook - pdf</v>
          </cell>
          <cell r="C1626">
            <v>9780748699674</v>
          </cell>
        </row>
        <row r="1627">
          <cell r="A1627" t="str">
            <v>New Cultural Studies: Adventures in Theory</v>
          </cell>
          <cell r="B1627" t="str">
            <v>Ebook - pdf</v>
          </cell>
          <cell r="C1627">
            <v>9780748629640</v>
          </cell>
        </row>
        <row r="1628">
          <cell r="A1628" t="str">
            <v>New Directions in Philosophy and Literature</v>
          </cell>
          <cell r="B1628" t="str">
            <v>Ebook - pdf</v>
          </cell>
          <cell r="C1628">
            <v>9781474449168</v>
          </cell>
        </row>
        <row r="1629">
          <cell r="A1629" t="str">
            <v>New Ecological Realisms: Post-Apocalyptic Fiction and Contemporary Theory</v>
          </cell>
          <cell r="B1629" t="str">
            <v>Ebook - pdf</v>
          </cell>
          <cell r="C1629">
            <v>9781474483117</v>
          </cell>
        </row>
        <row r="1630">
          <cell r="A1630" t="str">
            <v>New Frontiers: Law and Society in the Roman World</v>
          </cell>
          <cell r="B1630" t="str">
            <v>Ebook - pdf</v>
          </cell>
          <cell r="C1630">
            <v>9780748668182</v>
          </cell>
        </row>
        <row r="1631">
          <cell r="A1631" t="str">
            <v>New Korean Cinema</v>
          </cell>
          <cell r="B1631" t="str">
            <v>Ebook - pdf</v>
          </cell>
          <cell r="C1631">
            <v>9781474472579</v>
          </cell>
        </row>
        <row r="1632">
          <cell r="A1632" t="str">
            <v>New Media and the Rise of the Popular Woman Writer, 1832–1860</v>
          </cell>
          <cell r="B1632" t="str">
            <v>Ebook - pdf</v>
          </cell>
          <cell r="C1632">
            <v>9781474475945</v>
          </cell>
        </row>
        <row r="1633">
          <cell r="A1633" t="str">
            <v>New Punk Cinema</v>
          </cell>
          <cell r="B1633" t="str">
            <v>Ebook - pdf</v>
          </cell>
          <cell r="C1633">
            <v>9781474472166</v>
          </cell>
        </row>
        <row r="1634">
          <cell r="A1634" t="str">
            <v>New Queer Cinema: A Critical Reader</v>
          </cell>
          <cell r="B1634" t="str">
            <v>Ebook - pdf</v>
          </cell>
          <cell r="C1634">
            <v>9781474463768</v>
          </cell>
        </row>
        <row r="1635">
          <cell r="A1635" t="str">
            <v>New Readings of the American Novel: Narrative Theory and its Application</v>
          </cell>
          <cell r="B1635" t="str">
            <v>Ebook - pdf</v>
          </cell>
          <cell r="C1635">
            <v>9781474470995</v>
          </cell>
        </row>
        <row r="1636">
          <cell r="A1636" t="str">
            <v>New Realism: Contemporary British Cinema</v>
          </cell>
          <cell r="B1636" t="str">
            <v>Ebook - pdf</v>
          </cell>
          <cell r="C1636">
            <v>9781474413046</v>
          </cell>
        </row>
        <row r="1637">
          <cell r="A1637" t="str">
            <v>New Rhetorics for Contemporary Legal Discourse</v>
          </cell>
          <cell r="B1637" t="str">
            <v>Ebook - pdf</v>
          </cell>
          <cell r="C1637">
            <v>9781474450584</v>
          </cell>
        </row>
        <row r="1638">
          <cell r="A1638" t="str">
            <v>New Scotland, New Politics?</v>
          </cell>
          <cell r="B1638" t="str">
            <v>Ebook - pdf</v>
          </cell>
          <cell r="C1638">
            <v>9780585441788</v>
          </cell>
        </row>
        <row r="1639">
          <cell r="A1639" t="str">
            <v>New Scotland, New Society?: Are Social and Political Ties Fragmenting?</v>
          </cell>
          <cell r="B1639" t="str">
            <v>Ebook - pdf</v>
          </cell>
          <cell r="C1639">
            <v>9781474465991</v>
          </cell>
        </row>
        <row r="1640">
          <cell r="A1640" t="str">
            <v>New Scots: Scotland’s Immigrant Communities since 1945</v>
          </cell>
          <cell r="B1640" t="str">
            <v>Ebook - pdf</v>
          </cell>
          <cell r="C1640">
            <v>9781474437899</v>
          </cell>
        </row>
        <row r="1641">
          <cell r="A1641" t="str">
            <v>New Taiwanese Cinema in Focus: Moving Within and Beyond the Frame</v>
          </cell>
          <cell r="B1641" t="str">
            <v>Ebook - pdf</v>
          </cell>
          <cell r="C1641">
            <v>9780748682027</v>
          </cell>
        </row>
        <row r="1642">
          <cell r="A1642" t="str">
            <v>New Terror, New Wars</v>
          </cell>
          <cell r="B1642" t="str">
            <v>Ebook - pdf</v>
          </cell>
          <cell r="C1642">
            <v>9781474468466</v>
          </cell>
        </row>
        <row r="1643">
          <cell r="A1643" t="str">
            <v>New Transnationalisms in Contemporary Latin American Cinemas</v>
          </cell>
          <cell r="B1643" t="str">
            <v>Ebook - pdf</v>
          </cell>
          <cell r="C1643">
            <v>9781474431118</v>
          </cell>
        </row>
        <row r="1644">
          <cell r="A1644" t="str">
            <v>New Zealand English</v>
          </cell>
          <cell r="B1644" t="str">
            <v>Ebook - pdf</v>
          </cell>
          <cell r="C1644">
            <v>9780748630882</v>
          </cell>
        </row>
        <row r="1645">
          <cell r="A1645" t="str">
            <v>New-Dialect Formation: The Inevitability of Colonial Englishes</v>
          </cell>
          <cell r="B1645" t="str">
            <v>Ebook - pdf</v>
          </cell>
          <cell r="C1645">
            <v>9780748626410</v>
          </cell>
        </row>
        <row r="1646">
          <cell r="A1646" t="str">
            <v>Newfoundland and Labrador English</v>
          </cell>
          <cell r="B1646" t="str">
            <v>Ebook - pdf</v>
          </cell>
          <cell r="C1646">
            <v>9780748631414</v>
          </cell>
        </row>
        <row r="1647">
          <cell r="A1647" t="str">
            <v>Nietzsche as Phenomenologist</v>
          </cell>
          <cell r="B1647" t="str">
            <v>Ebook - pdf</v>
          </cell>
          <cell r="C1647">
            <v>9781474487870</v>
          </cell>
        </row>
        <row r="1648">
          <cell r="A1648" t="str">
            <v>Nietzsche on Epistemology and Metaphysics: The World in View</v>
          </cell>
          <cell r="B1648" t="str">
            <v>Ebook - pdf</v>
          </cell>
          <cell r="C1648">
            <v>9781474467841</v>
          </cell>
        </row>
        <row r="1649">
          <cell r="A1649" t="str">
            <v>Nietzsche's Human, All Too Human</v>
          </cell>
          <cell r="B1649" t="str">
            <v>Ebook - pdf</v>
          </cell>
          <cell r="C1649">
            <v>9781474430838</v>
          </cell>
        </row>
        <row r="1650">
          <cell r="A1650" t="str">
            <v>Nietzsche's Thus Spoke Zarathustra : An Edinburgh Philosophical Guide</v>
          </cell>
          <cell r="B1650" t="str">
            <v>Ebook - pdf</v>
          </cell>
          <cell r="C1650">
            <v>9780748642434</v>
          </cell>
        </row>
        <row r="1651">
          <cell r="A1651" t="str">
            <v>Nietzsche's Unfashionable Observations</v>
          </cell>
          <cell r="B1651" t="str">
            <v>Ebook - pdf</v>
          </cell>
          <cell r="C1651">
            <v>9781474428293</v>
          </cell>
        </row>
        <row r="1652">
          <cell r="A1652" t="str">
            <v>Nile: Urban Histories on the Banks of a River</v>
          </cell>
          <cell r="B1652" t="str">
            <v>Ebook - pdf</v>
          </cell>
          <cell r="C1652">
            <v>9781474458627</v>
          </cell>
        </row>
        <row r="1653">
          <cell r="A1653" t="str">
            <v>Nine Centuries of Man: Manhood and Masculinities in Scottish History</v>
          </cell>
          <cell r="B1653" t="str">
            <v>Ebook - pdf</v>
          </cell>
          <cell r="C1653">
            <v>9781474403900</v>
          </cell>
        </row>
        <row r="1654">
          <cell r="A1654" t="str">
            <v>Nineteenth Century Local Governance in Ottoman Bulgaria: Politics in Provincial Councils</v>
          </cell>
          <cell r="B1654" t="str">
            <v>Ebook - pdf</v>
          </cell>
          <cell r="C1654">
            <v>9781474431019</v>
          </cell>
        </row>
        <row r="1655">
          <cell r="A1655" t="str">
            <v>Nineteenth-Century Settler Emigration in British Literature and Art</v>
          </cell>
          <cell r="B1655" t="str">
            <v>Ebook - pdf</v>
          </cell>
          <cell r="C1655">
            <v>9781474433716</v>
          </cell>
        </row>
        <row r="1656">
          <cell r="A1656" t="str">
            <v>Nineteenth-Century U.S. Literature in Middle Eastern Languages</v>
          </cell>
          <cell r="B1656" t="str">
            <v>Ebook - pdf</v>
          </cell>
          <cell r="C1656">
            <v>9780748683093</v>
          </cell>
        </row>
        <row r="1657">
          <cell r="A1657" t="str">
            <v>No Gods and Precious Few Heroes: Twentieth-Century Scotland</v>
          </cell>
          <cell r="B1657" t="str">
            <v>Ebook - pdf</v>
          </cell>
          <cell r="C1657">
            <v>9781474468978</v>
          </cell>
        </row>
        <row r="1658">
          <cell r="A1658" t="str">
            <v>No Power Without an Image: Icons Between Photography and Film</v>
          </cell>
          <cell r="B1658" t="str">
            <v>Ebook - pdf</v>
          </cell>
          <cell r="C1658">
            <v>9781474463171</v>
          </cell>
        </row>
        <row r="1659">
          <cell r="A1659" t="str">
            <v>No Stone Unturned: A History of Farming, Landscape and Environment in the Scottish Highlands and Island</v>
          </cell>
          <cell r="B1659" t="str">
            <v>Ebook - pdf</v>
          </cell>
          <cell r="C1659">
            <v>9781474400756</v>
          </cell>
        </row>
        <row r="1660">
          <cell r="A1660" t="str">
            <v>Noble Power in Scotland from the Reformation to the Revolution</v>
          </cell>
          <cell r="B1660" t="str">
            <v>Ebook - pdf</v>
          </cell>
          <cell r="C1660">
            <v>9780748628230</v>
          </cell>
        </row>
        <row r="1661">
          <cell r="A1661" t="str">
            <v>Noble Society In Scotland: Wealth, Family and Culture, from Reformation to  Revolution</v>
          </cell>
          <cell r="B1661" t="str">
            <v>Ebook - pdf</v>
          </cell>
          <cell r="C1661">
            <v>9781474465434</v>
          </cell>
        </row>
        <row r="1662">
          <cell r="A1662" t="str">
            <v>Nonviolence in Political Theory</v>
          </cell>
          <cell r="B1662" t="str">
            <v>Ebook - pdf</v>
          </cell>
          <cell r="C1662">
            <v>9780748633791</v>
          </cell>
        </row>
        <row r="1663">
          <cell r="A1663" t="str">
            <v>Nordic Film Cultures and Cinemas of Elsewhere</v>
          </cell>
          <cell r="B1663" t="str">
            <v>Ebook - pdf</v>
          </cell>
          <cell r="C1663">
            <v>9781474438070</v>
          </cell>
        </row>
        <row r="1664">
          <cell r="A1664" t="str">
            <v>Nordic Genre Film: Small Nation Film Cultures in the Global Marketplace</v>
          </cell>
          <cell r="B1664" t="str">
            <v>Ebook - pdf</v>
          </cell>
          <cell r="C1664">
            <v>9780748693191</v>
          </cell>
        </row>
        <row r="1665">
          <cell r="A1665" t="str">
            <v>Northern and Insular Scots</v>
          </cell>
          <cell r="B1665" t="str">
            <v>Ebook - pdf</v>
          </cell>
          <cell r="C1665">
            <v>9780748629961</v>
          </cell>
        </row>
        <row r="1666">
          <cell r="A1666" t="str">
            <v>Northern Neighbours: Scotland and Norway since 1800</v>
          </cell>
          <cell r="B1666" t="str">
            <v>Ebook - pdf</v>
          </cell>
          <cell r="C1666">
            <v>9780748696215</v>
          </cell>
        </row>
        <row r="1667">
          <cell r="A1667" t="str">
            <v>Northern Scotland: Volume 6</v>
          </cell>
          <cell r="B1667" t="str">
            <v>Ebook - pdf</v>
          </cell>
          <cell r="C1667">
            <v>9781474470445</v>
          </cell>
        </row>
        <row r="1668">
          <cell r="A1668" t="str">
            <v>Northern Scotland: Volume 8</v>
          </cell>
          <cell r="B1668" t="str">
            <v>Ebook - pdf</v>
          </cell>
          <cell r="C1668">
            <v>9781474470438</v>
          </cell>
        </row>
        <row r="1669">
          <cell r="A1669" t="str">
            <v xml:space="preserve">Not Half No End: Militantly Melancholic Essays in Memory of Jacques Derrida </v>
          </cell>
          <cell r="B1669" t="str">
            <v>Ebook - pdf</v>
          </cell>
          <cell r="C1669">
            <v>9780748642236</v>
          </cell>
        </row>
        <row r="1670">
          <cell r="A1670" t="str">
            <v>Novel Institutions: Anachronism, Irish Novels and Nineteenth-Century Realism</v>
          </cell>
          <cell r="B1670" t="str">
            <v>Ebook - pdf</v>
          </cell>
          <cell r="C1670">
            <v>9781474453264</v>
          </cell>
        </row>
        <row r="1671">
          <cell r="A1671" t="str">
            <v>Novel Sensations: Modernist Fiction and the Problem of Qualia</v>
          </cell>
          <cell r="B1671" t="str">
            <v>Ebook - pdf</v>
          </cell>
          <cell r="C1671">
            <v>9781474458412</v>
          </cell>
        </row>
        <row r="1672">
          <cell r="A1672" t="str">
            <v>Obafemi Awolowo and the Making of Remo: The Local Politics of a Nigerian Nationalist</v>
          </cell>
          <cell r="B1672" t="str">
            <v>Ebook - pdf</v>
          </cell>
          <cell r="C1672">
            <v>9781474471336</v>
          </cell>
        </row>
        <row r="1673">
          <cell r="A1673" t="str">
            <v>Obama v. Trump: The Politics of Presidential Legacy and Rollback</v>
          </cell>
          <cell r="B1673" t="str">
            <v>Ebook - pdf</v>
          </cell>
          <cell r="C1673">
            <v>9781474447027</v>
          </cell>
        </row>
        <row r="1674">
          <cell r="A1674" t="str">
            <v>Obama's America</v>
          </cell>
          <cell r="B1674" t="str">
            <v>Ebook - pdf</v>
          </cell>
          <cell r="C1674">
            <v>9780748640201</v>
          </cell>
        </row>
        <row r="1675">
          <cell r="A1675" t="str">
            <v>Obama's Fractured Legacy: The Politics and Policies of an Embattled Presidency</v>
          </cell>
          <cell r="B1675" t="str">
            <v>Ebook - pdf</v>
          </cell>
          <cell r="C1675">
            <v>9781474454957</v>
          </cell>
        </row>
        <row r="1676">
          <cell r="A1676" t="str">
            <v>Obligation and the Fact of Sense</v>
          </cell>
          <cell r="B1676" t="str">
            <v>Ebook - pdf</v>
          </cell>
          <cell r="C1676">
            <v>9781474442756</v>
          </cell>
        </row>
        <row r="1677">
          <cell r="A1677" t="str">
            <v>Obligation in Exile: The Jewish Diaspora, Israel and Critique</v>
          </cell>
          <cell r="B1677" t="str">
            <v>Ebook - pdf</v>
          </cell>
          <cell r="C1677">
            <v>9780748692316</v>
          </cell>
        </row>
        <row r="1678">
          <cell r="A1678" t="str">
            <v>Obscure Locks, Simple Keys: The Annotated 'Watt'</v>
          </cell>
          <cell r="B1678" t="str">
            <v>Ebook - pdf</v>
          </cell>
          <cell r="C1678">
            <v>9780748680771</v>
          </cell>
        </row>
        <row r="1679">
          <cell r="A1679" t="str">
            <v>Occidentalism: Literary Representations of the Maghrebi Experience of the East-West Encounter</v>
          </cell>
          <cell r="B1679" t="str">
            <v>Ebook - pdf</v>
          </cell>
          <cell r="C1679">
            <v>9780748645817</v>
          </cell>
        </row>
        <row r="1680">
          <cell r="A1680" t="str">
            <v>Of Jews And Animals</v>
          </cell>
          <cell r="B1680" t="str">
            <v>Ebook - pdf</v>
          </cell>
          <cell r="C1680">
            <v>9780748642311</v>
          </cell>
        </row>
        <row r="1681">
          <cell r="A1681" t="str">
            <v>'Of Laws of Ships and Shipmen': Medieval Maritime Law and its Practice in Urban Northern Europe</v>
          </cell>
          <cell r="B1681" t="str">
            <v>Ebook - pdf</v>
          </cell>
          <cell r="C1681">
            <v>9780748668076</v>
          </cell>
        </row>
        <row r="1682">
          <cell r="A1682" t="str">
            <v>Off to the Pictures: Cinemagoing, Women’s Writing and Movie Culture in Interwar Britain</v>
          </cell>
          <cell r="B1682" t="str">
            <v>Ebook - pdf</v>
          </cell>
          <cell r="C1682">
            <v>9780748694891</v>
          </cell>
        </row>
        <row r="1683">
          <cell r="A1683" t="str">
            <v>Oman, Culture and Diplomacy</v>
          </cell>
          <cell r="B1683" t="str">
            <v>Ebook - pdf</v>
          </cell>
          <cell r="C1683">
            <v>9780748674619</v>
          </cell>
        </row>
        <row r="1684">
          <cell r="A1684" t="str">
            <v>Omnibus Films: Theorizing Transauthorial Cinema</v>
          </cell>
          <cell r="B1684" t="str">
            <v>Ebook - pdf</v>
          </cell>
          <cell r="C1684">
            <v>9780748695676</v>
          </cell>
        </row>
        <row r="1685">
          <cell r="A1685" t="str">
            <v>On Art and War and Terror</v>
          </cell>
          <cell r="B1685" t="str">
            <v>Ebook - pdf</v>
          </cell>
          <cell r="C1685">
            <v>9780748641383</v>
          </cell>
        </row>
        <row r="1686">
          <cell r="A1686" t="str">
            <v>On Black Men</v>
          </cell>
          <cell r="B1686" t="str">
            <v>Ebook - pdf</v>
          </cell>
          <cell r="C1686">
            <v>9781474470704</v>
          </cell>
        </row>
        <row r="1687">
          <cell r="A1687" t="str">
            <v>On Consciousness</v>
          </cell>
          <cell r="B1687" t="str">
            <v>Ebook - pdf</v>
          </cell>
          <cell r="C1687">
            <v>9781474469289</v>
          </cell>
        </row>
        <row r="1688">
          <cell r="A1688" t="str">
            <v>On Determinism and Freedom</v>
          </cell>
          <cell r="B1688" t="str">
            <v>Ebook - pdf</v>
          </cell>
          <cell r="C1688">
            <v>9781474469296</v>
          </cell>
        </row>
        <row r="1689">
          <cell r="A1689" t="str">
            <v>On Good and Evil and the Grey Zone</v>
          </cell>
          <cell r="B1689" t="str">
            <v>Ebook - pdf</v>
          </cell>
          <cell r="C1689">
            <v>9781474410328</v>
          </cell>
        </row>
        <row r="1690">
          <cell r="A1690" t="str">
            <v>On Political Means and Social Ends</v>
          </cell>
          <cell r="B1690" t="str">
            <v>Ebook - pdf</v>
          </cell>
          <cell r="C1690">
            <v>9781474469302</v>
          </cell>
        </row>
        <row r="1691">
          <cell r="A1691" t="str">
            <v>On the Edge: Coastlines of Britain</v>
          </cell>
          <cell r="B1691" t="str">
            <v>Ebook - pdf</v>
          </cell>
          <cell r="C1691">
            <v>9780748697632</v>
          </cell>
        </row>
        <row r="1692">
          <cell r="A1692" t="str">
            <v>On the Idea of Potency: Juridical and Theological Roots of the Western Cultural Tradition</v>
          </cell>
          <cell r="B1692" t="str">
            <v>Ebook - pdf</v>
          </cell>
          <cell r="C1692">
            <v>9781474411868</v>
          </cell>
        </row>
        <row r="1693">
          <cell r="A1693" t="str">
            <v>On the Margins of Modernism: Xu Xu, Wumingshi and Popular Chinese Literature in the 1940s</v>
          </cell>
          <cell r="B1693" t="str">
            <v>Ebook - pdf</v>
          </cell>
          <cell r="C1693">
            <v>9780748696376</v>
          </cell>
        </row>
        <row r="1694">
          <cell r="A1694" t="str">
            <v>Onto-Cartography: An Ontology of Machines and Media</v>
          </cell>
          <cell r="B1694" t="str">
            <v>Ebook - pdf</v>
          </cell>
          <cell r="C1694">
            <v>9780748679980</v>
          </cell>
        </row>
        <row r="1695">
          <cell r="A1695" t="str">
            <v>Open Scotland?: Journalists, Spin Doctors and Lobbyists</v>
          </cell>
          <cell r="B1695" t="str">
            <v>Ebook - pdf</v>
          </cell>
          <cell r="C1695">
            <v>9781474472340</v>
          </cell>
        </row>
        <row r="1696">
          <cell r="A1696" t="str">
            <v>Open Subjects: English Renaissance Republicans, Modern Selfhoods and the Virtue of Vulnerability</v>
          </cell>
          <cell r="B1696" t="str">
            <v>Ebook - pdf</v>
          </cell>
          <cell r="C1696">
            <v>9780748647101</v>
          </cell>
        </row>
        <row r="1697">
          <cell r="A1697" t="str">
            <v>Orientalism:  A Reader</v>
          </cell>
          <cell r="B1697" t="str">
            <v>Ebook - pdf</v>
          </cell>
          <cell r="C1697">
            <v>9781474470476</v>
          </cell>
        </row>
        <row r="1698">
          <cell r="A1698" t="str">
            <v>Oscar Wilde and the Radical Politics of the Fin de Siècle</v>
          </cell>
          <cell r="B1698" t="str">
            <v>Ebook - pdf</v>
          </cell>
          <cell r="C1698">
            <v>9781474459457</v>
          </cell>
        </row>
        <row r="1699">
          <cell r="A1699" t="str">
            <v>Ottoman Historical Documents: The Institutions of an Empire</v>
          </cell>
          <cell r="B1699" t="str">
            <v>Ebook - pdf</v>
          </cell>
          <cell r="C1699">
            <v>9781474479387</v>
          </cell>
        </row>
        <row r="1700">
          <cell r="A1700" t="str">
            <v>Ottoman Sunnism: New Perspectives</v>
          </cell>
          <cell r="B1700" t="str">
            <v>Ebook - pdf</v>
          </cell>
          <cell r="C1700">
            <v>9781474443333</v>
          </cell>
        </row>
        <row r="1701">
          <cell r="A1701" t="str">
            <v>Our Nazis: Representations of Fascism in Contemporary Literature and Film</v>
          </cell>
          <cell r="B1701" t="str">
            <v>Ebook - pdf</v>
          </cell>
          <cell r="C1701">
            <v>9780748668656</v>
          </cell>
        </row>
        <row r="1702">
          <cell r="A1702" t="str">
            <v>Ourselves and Others: Scotland 1832-1914</v>
          </cell>
          <cell r="B1702" t="str">
            <v>Ebook - pdf</v>
          </cell>
          <cell r="C1702">
            <v>9780748629190</v>
          </cell>
        </row>
        <row r="1703">
          <cell r="A1703" t="str">
            <v>Outlaws and Spies: Legal Exclusion in Law and Literature</v>
          </cell>
          <cell r="B1703" t="str">
            <v>Ebook - pdf</v>
          </cell>
          <cell r="C1703">
            <v>9781474455954</v>
          </cell>
        </row>
        <row r="1704">
          <cell r="A1704" t="str">
            <v>Outsourcing US Intelligence: Contractors and Government Accountability</v>
          </cell>
          <cell r="B1704" t="str">
            <v>Ebook - pdf</v>
          </cell>
          <cell r="C1704">
            <v>9781474450249</v>
          </cell>
        </row>
        <row r="1705">
          <cell r="A1705" t="str">
            <v>Ovid and Adaptation in Early Modern English Theatre</v>
          </cell>
          <cell r="B1705" t="str">
            <v>Ebook - pdf</v>
          </cell>
          <cell r="C1705">
            <v>9781474430081</v>
          </cell>
        </row>
        <row r="1706">
          <cell r="A1706" t="str">
            <v>Ovidian Transversions: ‘Iphis and Ianthe’, 1300-1650</v>
          </cell>
          <cell r="B1706" t="str">
            <v>Ebook - pdf</v>
          </cell>
          <cell r="C1706">
            <v>9781474448925</v>
          </cell>
        </row>
        <row r="1707">
          <cell r="A1707" t="str">
            <v>Palestinian Cinema: Landscape, Trauma and Memory</v>
          </cell>
          <cell r="B1707" t="str">
            <v>Ebook - pdf</v>
          </cell>
          <cell r="C1707">
            <v>9780748634095</v>
          </cell>
        </row>
        <row r="1708">
          <cell r="A1708" t="str">
            <v>Palestinian Citizens in Israel: A History Through Fiction, 1948-2010</v>
          </cell>
          <cell r="B1708" t="str">
            <v>Ebook - pdf</v>
          </cell>
          <cell r="C1708">
            <v>9781474459303</v>
          </cell>
        </row>
        <row r="1709">
          <cell r="A1709" t="str">
            <v>Pascual de Gayangos: A Nineteenth-Century Spanish Arabist</v>
          </cell>
          <cell r="B1709" t="str">
            <v>Ebook - pdf</v>
          </cell>
          <cell r="C1709">
            <v>9780748635481</v>
          </cell>
        </row>
        <row r="1710">
          <cell r="A1710" t="str">
            <v>Patrick Geddes’s Intellectual Origins</v>
          </cell>
          <cell r="B1710" t="str">
            <v>Ebook - pdf</v>
          </cell>
          <cell r="C1710">
            <v>9781474454094</v>
          </cell>
        </row>
        <row r="1711">
          <cell r="A1711" t="str">
            <v>Patrick Sellar and the Highland Clearances: Homicide, Eviction and the Price of Progress</v>
          </cell>
          <cell r="B1711" t="str">
            <v>Ebook - pdf</v>
          </cell>
          <cell r="C1711">
            <v>9781474472005</v>
          </cell>
        </row>
        <row r="1712">
          <cell r="A1712" t="str">
            <v>Patterns in Child Phonology</v>
          </cell>
          <cell r="B1712" t="str">
            <v>Ebook - pdf</v>
          </cell>
          <cell r="C1712">
            <v>9780748642489</v>
          </cell>
        </row>
        <row r="1713">
          <cell r="A1713" t="str">
            <v>Peace Processes in Northern Ireland and Turkey: Rethinking Conflict Resolution</v>
          </cell>
          <cell r="B1713" t="str">
            <v>Ebook - pdf</v>
          </cell>
          <cell r="C1713">
            <v>9781474479356</v>
          </cell>
        </row>
        <row r="1714">
          <cell r="A1714" t="str">
            <v>People and Woods in Scotland: A History</v>
          </cell>
          <cell r="B1714" t="str">
            <v>Ebook - pdf</v>
          </cell>
          <cell r="C1714">
            <v>9781474472722</v>
          </cell>
        </row>
        <row r="1715">
          <cell r="A1715" t="str">
            <v>People, Places, Things – Essays by Elizabeth Bowen</v>
          </cell>
          <cell r="B1715" t="str">
            <v>Ebook - pdf</v>
          </cell>
          <cell r="C1715">
            <v>9780748635702</v>
          </cell>
        </row>
        <row r="1716">
          <cell r="A1716" t="str">
            <v>Peoples, Cultures and Nations in Political Philosophy</v>
          </cell>
          <cell r="B1716" t="str">
            <v>Ebook - pdf</v>
          </cell>
          <cell r="C1716">
            <v>9780585441696</v>
          </cell>
        </row>
        <row r="1717">
          <cell r="A1717" t="str">
            <v>Perfect Being Theology</v>
          </cell>
          <cell r="B1717" t="str">
            <v>Ebook - pdf</v>
          </cell>
          <cell r="C1717">
            <v>9781474472159</v>
          </cell>
        </row>
        <row r="1718">
          <cell r="A1718" t="str">
            <v>Performing Conversion: Cities, Theatre and Early Modern Transformations</v>
          </cell>
          <cell r="B1718" t="str">
            <v>Ebook - pdf</v>
          </cell>
          <cell r="C1718">
            <v>9781474482745</v>
          </cell>
        </row>
        <row r="1719">
          <cell r="A1719" t="str">
            <v>Performing Economic Thought: English Drama and Mercantile Writing 1600-1642</v>
          </cell>
          <cell r="B1719" t="str">
            <v>Ebook - pdf</v>
          </cell>
          <cell r="C1719">
            <v>9780748684663</v>
          </cell>
        </row>
        <row r="1720">
          <cell r="A1720" t="str">
            <v>Performing Ethics Through Film Style: Levinas with the Dardenne Brothers, Barbet Schroeder and Paul Schrader</v>
          </cell>
          <cell r="B1720" t="str">
            <v>Ebook - pdf</v>
          </cell>
          <cell r="C1720">
            <v>9781474444026</v>
          </cell>
        </row>
        <row r="1721">
          <cell r="A1721" t="str">
            <v>Performing Robert Burns: Enactments and Representations of the ‘National Bard’</v>
          </cell>
          <cell r="B1721" t="str">
            <v>Ebook - pdf</v>
          </cell>
          <cell r="C1721">
            <v>9781474457163</v>
          </cell>
        </row>
        <row r="1722">
          <cell r="A1722" t="str">
            <v>Permanent Pilgrims: The Role of Pilgrimage in the Lives of West African Muslims in Sudan</v>
          </cell>
          <cell r="B1722" t="str">
            <v>Ebook - pdf</v>
          </cell>
          <cell r="C1722">
            <v>9781474473699</v>
          </cell>
        </row>
        <row r="1723">
          <cell r="A1723" t="str">
            <v>Persian Art: Image-making in Eurasia</v>
          </cell>
          <cell r="B1723" t="str">
            <v>Ebook - pdf</v>
          </cell>
          <cell r="C1723">
            <v>9781474469685</v>
          </cell>
        </row>
        <row r="1724">
          <cell r="A1724" t="str">
            <v>Persian Historic Urban Landscapes: Interpreting and Managing Maibud over 6000 Years</v>
          </cell>
          <cell r="B1724" t="str">
            <v>Ebook - pdf</v>
          </cell>
          <cell r="C1724">
            <v>9781474412797</v>
          </cell>
        </row>
        <row r="1725">
          <cell r="A1725" t="str">
            <v>Persian Historiography</v>
          </cell>
          <cell r="B1725" t="str">
            <v>Ebook - pdf</v>
          </cell>
          <cell r="C1725">
            <v>9781474470940</v>
          </cell>
        </row>
        <row r="1726">
          <cell r="A1726" t="str">
            <v>Persistent Images: Encountering Film History in Contemporary Cinema</v>
          </cell>
          <cell r="B1726" t="str">
            <v>Ebook - pdf</v>
          </cell>
          <cell r="C1726">
            <v>9781474440745</v>
          </cell>
        </row>
        <row r="1727">
          <cell r="A1727" t="str">
            <v>Perspectives on the Older Scottish Tongue</v>
          </cell>
          <cell r="B1727" t="str">
            <v>Ebook - pdf</v>
          </cell>
          <cell r="C1727">
            <v>9781474469708</v>
          </cell>
        </row>
        <row r="1728">
          <cell r="A1728" t="str">
            <v>Phases of the Moon: A Cultural History of the Werewolf Film</v>
          </cell>
          <cell r="B1728" t="str">
            <v>Ebook - pdf</v>
          </cell>
          <cell r="C1728">
            <v>9781474441131</v>
          </cell>
        </row>
        <row r="1729">
          <cell r="A1729" t="str">
            <v>Phenomenology or Deconstruction?: The Question of Ontology in Maurice Merleau-Ponty, Paul Ricoeur and Jean-Luc Nancy</v>
          </cell>
          <cell r="B1729" t="str">
            <v>Ebook - pdf</v>
          </cell>
          <cell r="C1729">
            <v>9780748637607</v>
          </cell>
        </row>
        <row r="1730">
          <cell r="A1730" t="str">
            <v>Philanthropy in British and American Fiction: Dickens, Hawthorne, Eliot and Howells</v>
          </cell>
          <cell r="B1730" t="str">
            <v>Ebook - pdf</v>
          </cell>
          <cell r="C1730">
            <v>9780748630745</v>
          </cell>
        </row>
        <row r="1731">
          <cell r="A1731" t="str">
            <v>Philosophies of Art and Beauty: Introducing Aesthetics</v>
          </cell>
          <cell r="B1731" t="str">
            <v>Ebook - pdf</v>
          </cell>
          <cell r="C1731">
            <v>9781474465397</v>
          </cell>
        </row>
        <row r="1732">
          <cell r="A1732" t="str">
            <v>Philosophies of Exclusion: Liberal Political Theory and Immigration</v>
          </cell>
          <cell r="B1732" t="str">
            <v>Ebook - pdf</v>
          </cell>
          <cell r="C1732">
            <v>9781474400718</v>
          </cell>
        </row>
        <row r="1733">
          <cell r="A1733" t="str">
            <v>Philosophising By Accident: Interviews with Elie During</v>
          </cell>
          <cell r="B1733" t="str">
            <v>Ebook - pdf</v>
          </cell>
          <cell r="C1733">
            <v>9781474408240</v>
          </cell>
        </row>
        <row r="1734">
          <cell r="A1734" t="str">
            <v>Philosophising in Mombasa: Knowledge, Islam and Intellectual Practice on the Swahili Coast</v>
          </cell>
          <cell r="B1734" t="str">
            <v>Ebook - pdf</v>
          </cell>
          <cell r="C1734">
            <v>9780748631735</v>
          </cell>
        </row>
        <row r="1735">
          <cell r="A1735" t="str">
            <v>Philosophy and Friendship</v>
          </cell>
          <cell r="B1735" t="str">
            <v>Ebook - pdf</v>
          </cell>
          <cell r="C1735">
            <v>9781474470360</v>
          </cell>
        </row>
        <row r="1736">
          <cell r="A1736" t="str">
            <v>Philosophy and Literature: An Introduction</v>
          </cell>
          <cell r="B1736" t="str">
            <v>Ebook - pdf</v>
          </cell>
          <cell r="C1736">
            <v>9781474472661</v>
          </cell>
        </row>
        <row r="1737">
          <cell r="A1737" t="str">
            <v>Philosophy and Love: From Plato to Popular Culture</v>
          </cell>
          <cell r="B1737" t="str">
            <v>Ebook - pdf</v>
          </cell>
          <cell r="C1737">
            <v>9780748637768</v>
          </cell>
        </row>
        <row r="1738">
          <cell r="A1738" t="str">
            <v>Philosophy and Post-structuralist Theory: From Kant to Deleuze</v>
          </cell>
          <cell r="B1738" t="str">
            <v>Ebook - pdf</v>
          </cell>
          <cell r="C1738">
            <v>9780748680740</v>
          </cell>
        </row>
        <row r="1739">
          <cell r="A1739" t="str">
            <v>Philosophy of International Law</v>
          </cell>
          <cell r="B1739" t="str">
            <v>Ebook - pdf</v>
          </cell>
          <cell r="C1739">
            <v>9780748675524</v>
          </cell>
        </row>
        <row r="1740">
          <cell r="A1740" t="str">
            <v>Philosophy of Language A–Z</v>
          </cell>
          <cell r="B1740" t="str">
            <v>Ebook - pdf</v>
          </cell>
          <cell r="C1740">
            <v>9780748629695</v>
          </cell>
        </row>
        <row r="1741">
          <cell r="A1741" t="str">
            <v>Philosophy of Mind A–Z</v>
          </cell>
          <cell r="B1741" t="str">
            <v>Ebook - pdf</v>
          </cell>
          <cell r="C1741">
            <v>9780748627233</v>
          </cell>
        </row>
        <row r="1742">
          <cell r="A1742" t="str">
            <v>Philosophy of Religion A–Z</v>
          </cell>
          <cell r="B1742" t="str">
            <v>Ebook - pdf</v>
          </cell>
          <cell r="C1742">
            <v>9781474471831</v>
          </cell>
        </row>
        <row r="1743">
          <cell r="A1743" t="str">
            <v>Philosophy of Religion: A Reader and Guide</v>
          </cell>
          <cell r="B1743" t="str">
            <v>Ebook - pdf</v>
          </cell>
          <cell r="C1743">
            <v>9781474465908</v>
          </cell>
        </row>
        <row r="1744">
          <cell r="A1744" t="str">
            <v>Philosophy of Science A–Z</v>
          </cell>
          <cell r="B1744" t="str">
            <v>Ebook - pdf</v>
          </cell>
          <cell r="C1744">
            <v>9780748629145</v>
          </cell>
        </row>
        <row r="1745">
          <cell r="A1745" t="str">
            <v>Philosophy Outside-In: A Critique of Academic Reason</v>
          </cell>
          <cell r="B1745" t="str">
            <v>Ebook - pdf</v>
          </cell>
          <cell r="C1745">
            <v>9780748684564</v>
          </cell>
        </row>
        <row r="1746">
          <cell r="A1746" t="str">
            <v>Philosophy, Animality and the Life Sciences</v>
          </cell>
          <cell r="B1746" t="str">
            <v>Ebook - pdf</v>
          </cell>
          <cell r="C1746">
            <v>9780748676781</v>
          </cell>
        </row>
        <row r="1747">
          <cell r="A1747" t="str">
            <v>Philosophy, Music and Emotion</v>
          </cell>
          <cell r="B1747" t="str">
            <v>Ebook - pdf</v>
          </cell>
          <cell r="C1747">
            <v>9781474470629</v>
          </cell>
        </row>
        <row r="1748">
          <cell r="A1748" t="str">
            <v>Philosophy, Rights and Natural Law: Essays in Honour of Knud Haakonssen</v>
          </cell>
          <cell r="B1748" t="str">
            <v>Ebook - pdf</v>
          </cell>
          <cell r="C1748">
            <v>9781474449243</v>
          </cell>
        </row>
        <row r="1749">
          <cell r="A1749" t="str">
            <v>Phonetic Transcription in Theory and Practice</v>
          </cell>
          <cell r="B1749" t="str">
            <v>Ebook - pdf</v>
          </cell>
          <cell r="C1749">
            <v>9780748691012</v>
          </cell>
        </row>
        <row r="1750">
          <cell r="A1750" t="str">
            <v>Photography Off the Scale: Technologies and Theories of the Mass Image</v>
          </cell>
          <cell r="B1750" t="str">
            <v>Ebook - pdf</v>
          </cell>
          <cell r="C1750">
            <v>9781474478847</v>
          </cell>
        </row>
        <row r="1751">
          <cell r="A1751" t="str">
            <v>Pierre Batcheff and Stardom in 1920s French Cinema</v>
          </cell>
          <cell r="B1751" t="str">
            <v>Ebook - pdf</v>
          </cell>
          <cell r="C1751">
            <v>9780748629602</v>
          </cell>
        </row>
        <row r="1752">
          <cell r="A1752" t="str">
            <v>Pina Bausch's Dance Theatre: Tracing the Evolution of Tanztheater</v>
          </cell>
          <cell r="B1752" t="str">
            <v>Ebook - pdf</v>
          </cell>
          <cell r="C1752">
            <v>9781474436854</v>
          </cell>
        </row>
        <row r="1753">
          <cell r="A1753" t="str">
            <v>Pioneering Moral Education: Victor Cook and His Foundation</v>
          </cell>
          <cell r="B1753" t="str">
            <v>Ebook - pdf</v>
          </cell>
          <cell r="C1753">
            <v>9781474468398</v>
          </cell>
        </row>
        <row r="1754">
          <cell r="A1754" t="str">
            <v>Placemaking: A New Materialist Theory of Pedagogy</v>
          </cell>
          <cell r="B1754" t="str">
            <v>Ebook - pdf</v>
          </cell>
          <cell r="C1754">
            <v>9781474428798</v>
          </cell>
        </row>
        <row r="1755">
          <cell r="A1755" t="str">
            <v>Plague, Quarantines and Geopolitics in the Ottoman Empire</v>
          </cell>
          <cell r="B1755" t="str">
            <v>Ebook - pdf</v>
          </cell>
          <cell r="C1755">
            <v>9781474423397</v>
          </cell>
        </row>
        <row r="1756">
          <cell r="A1756" t="str">
            <v>Planning Law Essentials</v>
          </cell>
          <cell r="B1756" t="str">
            <v>Ebook - pdf</v>
          </cell>
          <cell r="C1756">
            <v>9780748698516</v>
          </cell>
        </row>
        <row r="1757">
          <cell r="A1757" t="str">
            <v>Plant Life of Edinburgh and the Lothians</v>
          </cell>
          <cell r="B1757" t="str">
            <v>Ebook - pdf</v>
          </cell>
          <cell r="C1757">
            <v>9781474472692</v>
          </cell>
        </row>
        <row r="1758">
          <cell r="A1758" t="str">
            <v>Plastic Sovereignties: Agamben and the Politics of Aesthetics</v>
          </cell>
          <cell r="B1758" t="str">
            <v>Ebook - pdf</v>
          </cell>
          <cell r="C1758">
            <v>9780748684984</v>
          </cell>
        </row>
        <row r="1759">
          <cell r="A1759" t="str">
            <v>Plato's Republic: An Edinburgh Philosophical Guide</v>
          </cell>
          <cell r="B1759" t="str">
            <v>Ebook - pdf</v>
          </cell>
          <cell r="C1759">
            <v>9780748631681</v>
          </cell>
        </row>
        <row r="1760">
          <cell r="A1760" t="str">
            <v>Plato's Republic: An Introduction</v>
          </cell>
          <cell r="B1760" t="str">
            <v>Ebook - pdf</v>
          </cell>
          <cell r="C1760">
            <v>9781474472302</v>
          </cell>
        </row>
        <row r="1761">
          <cell r="A1761" t="str">
            <v>Plotting Disability in the Nineteenth-Century Novel</v>
          </cell>
          <cell r="B1761" t="str">
            <v>Ebook - pdf</v>
          </cell>
          <cell r="C1761">
            <v>9781474455039</v>
          </cell>
        </row>
        <row r="1762">
          <cell r="A1762" t="str">
            <v>Plotting the News in the Victorian Novel</v>
          </cell>
          <cell r="B1762" t="str">
            <v>Ebook - pdf</v>
          </cell>
          <cell r="C1762">
            <v>9781474474368</v>
          </cell>
        </row>
        <row r="1763">
          <cell r="A1763" t="str">
            <v>Plutarch and the Persica</v>
          </cell>
          <cell r="B1763" t="str">
            <v>Ebook - pdf</v>
          </cell>
          <cell r="C1763">
            <v>9780748645565</v>
          </cell>
        </row>
        <row r="1764">
          <cell r="A1764" t="str">
            <v>Poetic Language: Theory and Practice from the Renaissance to the Present</v>
          </cell>
          <cell r="B1764" t="str">
            <v>Ebook - pdf</v>
          </cell>
          <cell r="C1764">
            <v>9780748656189</v>
          </cell>
        </row>
        <row r="1765">
          <cell r="A1765" t="str">
            <v>Poetics of Imagining: Modern to Postmodern</v>
          </cell>
          <cell r="B1765" t="str">
            <v>Ebook - pdf</v>
          </cell>
          <cell r="C1765">
            <v>9781474469715</v>
          </cell>
        </row>
        <row r="1766">
          <cell r="A1766" t="str">
            <v>Poetics of Love in the Arabic Novel: Nation-State, Modernity and Tradition</v>
          </cell>
          <cell r="B1766" t="str">
            <v>Ebook - pdf</v>
          </cell>
          <cell r="C1766">
            <v>9780748655052</v>
          </cell>
        </row>
        <row r="1767">
          <cell r="A1767" t="str">
            <v>Poetry</v>
          </cell>
          <cell r="B1767" t="str">
            <v>Ebook - pdf</v>
          </cell>
          <cell r="C1767">
            <v>9780748680795</v>
          </cell>
        </row>
        <row r="1768">
          <cell r="A1768" t="str">
            <v>Poetry And Contemporary Culture: The Question of Value</v>
          </cell>
          <cell r="B1768" t="str">
            <v>Ebook - pdf</v>
          </cell>
          <cell r="C1768">
            <v>9781474472074</v>
          </cell>
        </row>
        <row r="1769">
          <cell r="A1769" t="str">
            <v>Poetry in Painting: Writings on Contemporary Arts and Aesthetics</v>
          </cell>
          <cell r="B1769" t="str">
            <v>Ebook - pdf</v>
          </cell>
          <cell r="C1769">
            <v>9780748647453</v>
          </cell>
        </row>
        <row r="1770">
          <cell r="A1770" t="str">
            <v>Poetry in the Mind: The Cognition of Contemporary Poetic Style</v>
          </cell>
          <cell r="B1770" t="str">
            <v>Ebook - pdf</v>
          </cell>
          <cell r="C1770">
            <v>9781474420716</v>
          </cell>
        </row>
        <row r="1771">
          <cell r="A1771" t="str">
            <v>Poetry, Prose and Popular Culture in Hausa</v>
          </cell>
          <cell r="B1771" t="str">
            <v>Ebook - pdf</v>
          </cell>
          <cell r="C1771">
            <v>9781474468299</v>
          </cell>
        </row>
        <row r="1772">
          <cell r="A1772" t="str">
            <v>Polemicization: The Contingency of the Commonplace</v>
          </cell>
          <cell r="B1772" t="str">
            <v>Ebook - pdf</v>
          </cell>
          <cell r="C1772">
            <v>9780585103372</v>
          </cell>
        </row>
        <row r="1773">
          <cell r="A1773" t="str">
            <v>Police and Community in Twentieth-Century Scotland</v>
          </cell>
          <cell r="B1773" t="str">
            <v>Ebook - pdf</v>
          </cell>
          <cell r="C1773">
            <v>9781474446655</v>
          </cell>
        </row>
        <row r="1774">
          <cell r="A1774" t="str">
            <v>Political Change in the Middle East and North Africa: After the Arab Spring</v>
          </cell>
          <cell r="B1774" t="str">
            <v>Ebook - pdf</v>
          </cell>
          <cell r="C1774">
            <v>9781474415293</v>
          </cell>
        </row>
        <row r="1775">
          <cell r="A1775" t="str">
            <v>Political Communication</v>
          </cell>
          <cell r="B1775" t="str">
            <v>Ebook - pdf</v>
          </cell>
          <cell r="C1775">
            <v>9780748631148</v>
          </cell>
        </row>
        <row r="1776">
          <cell r="A1776" t="str">
            <v>Political Concepts: A Reader and Guide</v>
          </cell>
          <cell r="B1776" t="str">
            <v>Ebook - pdf</v>
          </cell>
          <cell r="C1776">
            <v>9781474470520</v>
          </cell>
        </row>
        <row r="1777">
          <cell r="A1777" t="str">
            <v>Political Discourse and National Identity in Scotland</v>
          </cell>
          <cell r="B1777" t="str">
            <v>Ebook - pdf</v>
          </cell>
          <cell r="C1777">
            <v>9780748647118</v>
          </cell>
        </row>
        <row r="1778">
          <cell r="A1778" t="str">
            <v>Political Parties in Britain</v>
          </cell>
          <cell r="B1778" t="str">
            <v>Ebook - pdf</v>
          </cell>
          <cell r="C1778">
            <v>9780748631124</v>
          </cell>
        </row>
        <row r="1779">
          <cell r="A1779" t="str">
            <v>Political Parties in the Arab World: Continuity and Change</v>
          </cell>
          <cell r="B1779" t="str">
            <v>Ebook - pdf</v>
          </cell>
          <cell r="C1779">
            <v>9781474424080</v>
          </cell>
        </row>
        <row r="1780">
          <cell r="A1780" t="str">
            <v>Political Philosophy A–Z</v>
          </cell>
          <cell r="B1780" t="str">
            <v>Ebook - pdf</v>
          </cell>
          <cell r="C1780">
            <v>9781474471633</v>
          </cell>
        </row>
        <row r="1781">
          <cell r="A1781" t="str">
            <v>Political Scandals in the USA</v>
          </cell>
          <cell r="B1781" t="str">
            <v>Ebook - pdf</v>
          </cell>
          <cell r="C1781">
            <v>9780585123035</v>
          </cell>
        </row>
        <row r="1782">
          <cell r="A1782" t="str">
            <v>Political Sociology: A Critical Introduction</v>
          </cell>
          <cell r="B1782" t="str">
            <v>Ebook - pdf</v>
          </cell>
          <cell r="C1782">
            <v>9781474468176</v>
          </cell>
        </row>
        <row r="1783">
          <cell r="A1783" t="str">
            <v>Political Theology: Demystifying the Universal</v>
          </cell>
          <cell r="B1783" t="str">
            <v>Ebook - pdf</v>
          </cell>
          <cell r="C1783">
            <v>9780748697786</v>
          </cell>
        </row>
        <row r="1784">
          <cell r="A1784" t="str">
            <v>Politics and Policy in China's Social Assistance Reform: Providing for the Poor?</v>
          </cell>
          <cell r="B1784" t="str">
            <v>Ebook - pdf</v>
          </cell>
          <cell r="C1784">
            <v>9781474420129</v>
          </cell>
        </row>
        <row r="1785">
          <cell r="A1785" t="str">
            <v>Politics and Post-Structuralism: An Introduction</v>
          </cell>
          <cell r="B1785" t="str">
            <v>Ebook - pdf</v>
          </cell>
          <cell r="C1785">
            <v>9781474468213</v>
          </cell>
        </row>
        <row r="1786">
          <cell r="A1786" t="str">
            <v>Politics of Dialogue: Non-consensual Democracy and Critical Community</v>
          </cell>
          <cell r="B1786" t="str">
            <v>Ebook - pdf</v>
          </cell>
          <cell r="C1786">
            <v>9780748644063</v>
          </cell>
        </row>
        <row r="1787">
          <cell r="A1787" t="str">
            <v>Politics of Nostalgia in the Arabic Novel: Nation-State, Modernity and Tradition</v>
          </cell>
          <cell r="B1787" t="str">
            <v>Ebook - pdf</v>
          </cell>
          <cell r="C1787">
            <v>9780748655700</v>
          </cell>
        </row>
        <row r="1788">
          <cell r="A1788" t="str">
            <v>Politics of the Gift: Exchanges in Poststructuralism</v>
          </cell>
          <cell r="B1788" t="str">
            <v>Ebook - pdf</v>
          </cell>
          <cell r="C1788">
            <v>9780748646074</v>
          </cell>
        </row>
        <row r="1789">
          <cell r="A1789" t="str">
            <v>Politics of the Russian Language Beyond Russia</v>
          </cell>
          <cell r="B1789" t="str">
            <v>Ebook - pdf</v>
          </cell>
          <cell r="C1789">
            <v>9781474463812</v>
          </cell>
        </row>
        <row r="1790">
          <cell r="A1790" t="str">
            <v>Politics on the Edges of Liberalism: Difference, Populism, Revolution, Agitation</v>
          </cell>
          <cell r="B1790" t="str">
            <v>Ebook - pdf</v>
          </cell>
          <cell r="C1790">
            <v>9780748630769</v>
          </cell>
        </row>
        <row r="1791">
          <cell r="A1791" t="str">
            <v>Politics, Ontology and Knowledge in Spinoza: Essays by Alexandre Matheron</v>
          </cell>
          <cell r="B1791" t="str">
            <v>Ebook - pdf</v>
          </cell>
          <cell r="C1791">
            <v>9781474440127</v>
          </cell>
        </row>
        <row r="1792">
          <cell r="A1792" t="str">
            <v>Poor Relief and the Church in Scotland, 1560-1650</v>
          </cell>
          <cell r="B1792" t="str">
            <v>Ebook - pdf</v>
          </cell>
          <cell r="C1792">
            <v>9781474427289</v>
          </cell>
        </row>
        <row r="1793">
          <cell r="A1793" t="str">
            <v>Popular Music Genres: An Introduction</v>
          </cell>
          <cell r="B1793" t="str">
            <v>Ebook - pdf</v>
          </cell>
          <cell r="C1793">
            <v>9781474428767</v>
          </cell>
        </row>
        <row r="1794">
          <cell r="A1794" t="str">
            <v>Popular Politics and Political Culture: Urban Scotland, 1918-1939</v>
          </cell>
          <cell r="B1794" t="str">
            <v>Ebook - pdf</v>
          </cell>
          <cell r="C1794">
            <v>9781474425629</v>
          </cell>
        </row>
        <row r="1795">
          <cell r="A1795" t="str">
            <v>Popular Politics in Early Industrial Britain: Bolton, 1825-1850</v>
          </cell>
          <cell r="B1795" t="str">
            <v>Ebook - pdf</v>
          </cell>
          <cell r="C1795">
            <v>9781474473095</v>
          </cell>
        </row>
        <row r="1796">
          <cell r="A1796" t="str">
            <v>Portable Modernisms: The Art of Travelling Light</v>
          </cell>
          <cell r="B1796" t="str">
            <v>Ebook - pdf</v>
          </cell>
          <cell r="C1796">
            <v>9781474419604</v>
          </cell>
        </row>
        <row r="1797">
          <cell r="A1797" t="str">
            <v>Portmahomack: Monastery of the Picts</v>
          </cell>
          <cell r="B1797" t="str">
            <v>Ebook - pdf</v>
          </cell>
          <cell r="C1797">
            <v>9780748699971</v>
          </cell>
        </row>
        <row r="1798">
          <cell r="A1798" t="str">
            <v>Positive Atheism: Bayle, Meslier, d’Holbach, Diderot</v>
          </cell>
          <cell r="B1798" t="str">
            <v>Ebook - pdf</v>
          </cell>
          <cell r="C1798">
            <v>9781474478465</v>
          </cell>
        </row>
        <row r="1799">
          <cell r="A1799" t="str">
            <v>Post-1990 Documentary: Reconfiguring Independence</v>
          </cell>
          <cell r="B1799" t="str">
            <v>Ebook - pdf</v>
          </cell>
          <cell r="C1799">
            <v>9780748694143</v>
          </cell>
        </row>
        <row r="1800">
          <cell r="A1800" t="str">
            <v>Post-beur Cinema: North African Émigré and Maghrebi-French Filmmaking in France since 2000</v>
          </cell>
          <cell r="B1800" t="str">
            <v>Ebook - pdf</v>
          </cell>
          <cell r="C1800">
            <v>9780748678150</v>
          </cell>
        </row>
        <row r="1801">
          <cell r="A1801" t="str">
            <v>Post-Classical Hollywood: Film Industry, Style and Ideology since 1945</v>
          </cell>
          <cell r="B1801" t="str">
            <v>Ebook - pdf</v>
          </cell>
          <cell r="C1801">
            <v>9780748643219</v>
          </cell>
        </row>
        <row r="1802">
          <cell r="A1802" t="str">
            <v>Postcolonial Agency: Critique and Constructivism</v>
          </cell>
          <cell r="B1802" t="str">
            <v>Ebook - pdf</v>
          </cell>
          <cell r="C1802">
            <v>9780748642441</v>
          </cell>
        </row>
        <row r="1803">
          <cell r="A1803" t="str">
            <v>Postcolonial Cultures</v>
          </cell>
          <cell r="B1803" t="str">
            <v>Ebook - pdf</v>
          </cell>
          <cell r="C1803">
            <v>9781474468183</v>
          </cell>
        </row>
        <row r="1804">
          <cell r="A1804" t="str">
            <v>Postcolonial Imaginings: Fictions of a New World Order</v>
          </cell>
          <cell r="B1804" t="str">
            <v>Ebook - pdf</v>
          </cell>
          <cell r="C1804">
            <v>9781474471817</v>
          </cell>
        </row>
        <row r="1805">
          <cell r="A1805" t="str">
            <v>Postcolonial Literature</v>
          </cell>
          <cell r="B1805" t="str">
            <v>Ebook - pdf</v>
          </cell>
          <cell r="C1805">
            <v>9780748689804</v>
          </cell>
        </row>
        <row r="1806">
          <cell r="A1806" t="str">
            <v>Post-Colonial Settlement Strategy</v>
          </cell>
          <cell r="B1806" t="str">
            <v>Ebook - pdf</v>
          </cell>
          <cell r="C1806">
            <v>9781474437592</v>
          </cell>
        </row>
        <row r="1807">
          <cell r="A1807" t="str">
            <v>Post-Colonial Theory and English Literature: A Reader</v>
          </cell>
          <cell r="B1807" t="str">
            <v>Ebook - pdf</v>
          </cell>
          <cell r="C1807">
            <v>9781474465700</v>
          </cell>
        </row>
        <row r="1808">
          <cell r="A1808" t="str">
            <v>Postcolonial Theory: A Critical Introduction</v>
          </cell>
          <cell r="B1808" t="str">
            <v>Ebook - pdf</v>
          </cell>
          <cell r="C1808">
            <v>9781474468312</v>
          </cell>
        </row>
        <row r="1809">
          <cell r="A1809" t="str">
            <v>Postfeminism: Cultural Texts and Theories</v>
          </cell>
          <cell r="B1809" t="str">
            <v>Ebook - pdf</v>
          </cell>
          <cell r="C1809">
            <v>9781474411240</v>
          </cell>
        </row>
        <row r="1810">
          <cell r="A1810" t="str">
            <v>Postfeminist Whiteness: Problematising Melancholic Burden in Contemporary Hollywood</v>
          </cell>
          <cell r="B1810" t="str">
            <v>Ebook - pdf</v>
          </cell>
          <cell r="C1810">
            <v>9781474430319</v>
          </cell>
        </row>
        <row r="1811">
          <cell r="A1811" t="str">
            <v>Post-Foundational Political Thought: Political Difference in Nancy, Lefort, Badiou and Laclau</v>
          </cell>
          <cell r="B1811" t="str">
            <v>Ebook - pdf</v>
          </cell>
          <cell r="C1811">
            <v>9780748630684</v>
          </cell>
        </row>
        <row r="1812">
          <cell r="A1812" t="str">
            <v>Post-Horror: Art, Genre and Cultural Elevation</v>
          </cell>
          <cell r="B1812" t="str">
            <v>Ebook - pdf</v>
          </cell>
          <cell r="C1812">
            <v>9781474475907</v>
          </cell>
        </row>
        <row r="1813">
          <cell r="A1813" t="str">
            <v>Posthuman Space in Samuel Beckett's Short Prose</v>
          </cell>
          <cell r="B1813" t="str">
            <v>Ebook - pdf</v>
          </cell>
          <cell r="C1813">
            <v>9781474430272</v>
          </cell>
        </row>
        <row r="1814">
          <cell r="A1814" t="str">
            <v>Post-Liberal Peace Transitions: Between Peace Formation and State Formation</v>
          </cell>
          <cell r="B1814" t="str">
            <v>Ebook - pdf</v>
          </cell>
          <cell r="C1814">
            <v>9781474402187</v>
          </cell>
        </row>
        <row r="1815">
          <cell r="A1815" t="str">
            <v>Post-Marxism Versus Cultural Studies: Theory, Politics and Intervention</v>
          </cell>
          <cell r="B1815" t="str">
            <v>Ebook - pdf</v>
          </cell>
          <cell r="C1815">
            <v>9780748628797</v>
          </cell>
        </row>
        <row r="1816">
          <cell r="A1816" t="str">
            <v>Post-Marxism: A Reader</v>
          </cell>
          <cell r="B1816" t="str">
            <v>Ebook - pdf</v>
          </cell>
          <cell r="C1816">
            <v>9781474472593</v>
          </cell>
        </row>
        <row r="1817">
          <cell r="A1817" t="str">
            <v>Postmodern Media Culture</v>
          </cell>
          <cell r="B1817" t="str">
            <v>Ebook - pdf</v>
          </cell>
          <cell r="C1817">
            <v>9780585441887</v>
          </cell>
        </row>
        <row r="1818">
          <cell r="A1818" t="str">
            <v>Postmodern Wetlands: Culture, History, Ecology</v>
          </cell>
          <cell r="B1818" t="str">
            <v>Ebook - pdf</v>
          </cell>
          <cell r="C1818">
            <v>9781474468442</v>
          </cell>
        </row>
        <row r="1819">
          <cell r="A1819" t="str">
            <v>Postmodernism and the Contemporary Novel: A Reader</v>
          </cell>
          <cell r="B1819" t="str">
            <v>Ebook - pdf</v>
          </cell>
          <cell r="C1819">
            <v>9781474471312</v>
          </cell>
        </row>
        <row r="1820">
          <cell r="A1820" t="str">
            <v>Poststructuralist Agency: The Subject in Twentieth-Century Theory</v>
          </cell>
          <cell r="B1820" t="str">
            <v>Ebook - pdf</v>
          </cell>
          <cell r="C1820">
            <v>9781474459389</v>
          </cell>
        </row>
        <row r="1821">
          <cell r="A1821" t="str">
            <v>Poststructuralist Geographies: The Diabolical Art of Spatial Science</v>
          </cell>
          <cell r="B1821" t="str">
            <v>Ebook - pdf</v>
          </cell>
          <cell r="C1821">
            <v>9781474467797</v>
          </cell>
        </row>
        <row r="1822">
          <cell r="A1822" t="str">
            <v>Post-Theory: New Directions in Criticism</v>
          </cell>
          <cell r="B1822" t="str">
            <v>Ebook - pdf</v>
          </cell>
          <cell r="C1822">
            <v>9781474470926</v>
          </cell>
        </row>
        <row r="1823">
          <cell r="A1823" t="str">
            <v>Post-War Anglophone Lebanese Fiction: Home Matters in the Diaspora</v>
          </cell>
          <cell r="B1823" t="str">
            <v>Ebook - pdf</v>
          </cell>
          <cell r="C1823">
            <v>9780748643431</v>
          </cell>
        </row>
        <row r="1824">
          <cell r="A1824" t="str">
            <v>Postwar British Literature and Postcolonial Studies</v>
          </cell>
          <cell r="B1824" t="str">
            <v>Ebook - pdf</v>
          </cell>
          <cell r="C1824">
            <v>9780748647125</v>
          </cell>
        </row>
        <row r="1825">
          <cell r="A1825" t="str">
            <v>Post-war Cinema and Modernity: A Film Reader</v>
          </cell>
          <cell r="B1825" t="str">
            <v>Ebook - pdf</v>
          </cell>
          <cell r="C1825">
            <v>9781474471473</v>
          </cell>
        </row>
        <row r="1826">
          <cell r="A1826" t="str">
            <v>Post-War Planning on the Periphery: Anglo-American Economic Diplomacy in South America, 1939–1945</v>
          </cell>
          <cell r="B1826" t="str">
            <v>Ebook - pdf</v>
          </cell>
          <cell r="C1826">
            <v>9780748643899</v>
          </cell>
        </row>
        <row r="1827">
          <cell r="A1827" t="str">
            <v>Power and Propaganda: Scotland 1306-1488</v>
          </cell>
          <cell r="B1827" t="str">
            <v>Ebook - pdf</v>
          </cell>
          <cell r="C1827">
            <v>9780748694198</v>
          </cell>
        </row>
        <row r="1828">
          <cell r="A1828" t="str">
            <v>Power Play: Sport, the Media and Popular Culture</v>
          </cell>
          <cell r="B1828" t="str">
            <v>Ebook - pdf</v>
          </cell>
          <cell r="C1828">
            <v>9780748635948</v>
          </cell>
        </row>
        <row r="1829">
          <cell r="A1829" t="str">
            <v>Practical Research Methods for Media and Cultural Studies: Making People Count</v>
          </cell>
          <cell r="B1829" t="str">
            <v>Ebook - pdf</v>
          </cell>
          <cell r="C1829">
            <v>9780748627189</v>
          </cell>
        </row>
        <row r="1830">
          <cell r="A1830" t="str">
            <v>Practice in TESOL</v>
          </cell>
          <cell r="B1830" t="str">
            <v>Ebook - pdf</v>
          </cell>
          <cell r="C1830">
            <v>9780748645541</v>
          </cell>
        </row>
        <row r="1831">
          <cell r="A1831" t="str">
            <v>Practice-led Research, Research-led Practice in the Creative Arts</v>
          </cell>
          <cell r="B1831" t="str">
            <v>Ebook - pdf</v>
          </cell>
          <cell r="C1831">
            <v>9780748636303</v>
          </cell>
        </row>
        <row r="1832">
          <cell r="A1832" t="str">
            <v>Practising with Deleuze: Design, Dance, Art, Writing, Philosophy</v>
          </cell>
          <cell r="B1832" t="str">
            <v>Ebook - pdf</v>
          </cell>
          <cell r="C1832">
            <v>9781474429368</v>
          </cell>
        </row>
        <row r="1833">
          <cell r="A1833" t="str">
            <v>Pragmatic Stylistics</v>
          </cell>
          <cell r="B1833" t="str">
            <v>Ebook - pdf</v>
          </cell>
          <cell r="C1833">
            <v>9780748626373</v>
          </cell>
        </row>
        <row r="1834">
          <cell r="A1834" t="str">
            <v>Pragmatics</v>
          </cell>
          <cell r="B1834" t="str">
            <v>Ebook - pdf</v>
          </cell>
          <cell r="C1834">
            <v>9781474440042</v>
          </cell>
        </row>
        <row r="1835">
          <cell r="A1835" t="str">
            <v>Prehistoric Myths in Modern Political Philosophy</v>
          </cell>
          <cell r="B1835" t="str">
            <v>Ebook - pdf</v>
          </cell>
          <cell r="C1835">
            <v>9781474431200</v>
          </cell>
        </row>
        <row r="1836">
          <cell r="A1836" t="str">
            <v>Presidential Privilege and the Freedom of Information Act</v>
          </cell>
          <cell r="B1836" t="str">
            <v>Ebook - pdf</v>
          </cell>
          <cell r="C1836">
            <v>9781474442466</v>
          </cell>
        </row>
        <row r="1837">
          <cell r="A1837" t="str">
            <v>Pressure Groups</v>
          </cell>
          <cell r="B1837" t="str">
            <v>Ebook - pdf</v>
          </cell>
          <cell r="C1837">
            <v>9780748630448</v>
          </cell>
        </row>
        <row r="1838">
          <cell r="A1838" t="str">
            <v>Primordial Modernism: Animals, Ideas, transition (1927-1938)</v>
          </cell>
          <cell r="B1838" t="str">
            <v>Ebook - pdf</v>
          </cell>
          <cell r="C1838">
            <v>9780748692187</v>
          </cell>
        </row>
        <row r="1839">
          <cell r="A1839" t="str">
            <v>Prince Otto, by Robert Louis Stevenson</v>
          </cell>
          <cell r="B1839" t="str">
            <v>Ebook - pdf</v>
          </cell>
          <cell r="C1839">
            <v>9780748645244</v>
          </cell>
        </row>
        <row r="1840">
          <cell r="A1840" t="str">
            <v>Principles of Radical CV Phonology: A Theory of Segmental and Syllabic Structure</v>
          </cell>
          <cell r="B1840" t="str">
            <v>Ebook - pdf</v>
          </cell>
          <cell r="C1840">
            <v>9781474454681</v>
          </cell>
        </row>
        <row r="1841">
          <cell r="A1841" t="str">
            <v>Prisons in the Late Ottoman Empire: Microcosms of Modernity</v>
          </cell>
          <cell r="B1841" t="str">
            <v>Ebook - pdf</v>
          </cell>
          <cell r="C1841">
            <v>9780748677696</v>
          </cell>
        </row>
        <row r="1842">
          <cell r="A1842" t="str">
            <v>Private International Law</v>
          </cell>
          <cell r="B1842" t="str">
            <v>Ebook - pdf</v>
          </cell>
          <cell r="C1842">
            <v>9780748698257</v>
          </cell>
        </row>
        <row r="1843">
          <cell r="A1843" t="str">
            <v>Private Law and Human Rights: Bringing Rights Home in Scotland and South Africa</v>
          </cell>
          <cell r="B1843" t="str">
            <v>Ebook - pdf</v>
          </cell>
          <cell r="C1843">
            <v>9780748684182</v>
          </cell>
        </row>
        <row r="1844">
          <cell r="A1844" t="str">
            <v>Private Voices: The Diaries of Elizabeth Gaskell and Sophia Holland</v>
          </cell>
          <cell r="B1844" t="str">
            <v>Ebook - pdf</v>
          </cell>
          <cell r="C1844">
            <v>9781474465687</v>
          </cell>
        </row>
        <row r="1845">
          <cell r="A1845" t="str">
            <v>Process Philosophy and Political Liberalism: Rawls, Whitehead, Hartshorne</v>
          </cell>
          <cell r="B1845" t="str">
            <v>Ebook - pdf</v>
          </cell>
          <cell r="C1845">
            <v>9781474453424</v>
          </cell>
        </row>
        <row r="1846">
          <cell r="A1846" t="str">
            <v>Processes in Third Language Acquisition</v>
          </cell>
          <cell r="B1846" t="str">
            <v>Ebook - pdf</v>
          </cell>
          <cell r="C1846">
            <v>9780748635122</v>
          </cell>
        </row>
        <row r="1847">
          <cell r="A1847" t="str">
            <v>Proclus: Neo-Platonic Philosophy and Science</v>
          </cell>
          <cell r="B1847" t="str">
            <v>Ebook - pdf</v>
          </cell>
          <cell r="C1847">
            <v>9781474472654</v>
          </cell>
        </row>
        <row r="1848">
          <cell r="A1848" t="str">
            <v>Produced by Irving Thalberg: Theory of Studio-Era Filmmaking</v>
          </cell>
          <cell r="B1848" t="str">
            <v>Ebook - pdf</v>
          </cell>
          <cell r="C1848">
            <v>9781474451062</v>
          </cell>
        </row>
        <row r="1849">
          <cell r="A1849" t="str">
            <v>Product Development in Islamic Banks</v>
          </cell>
          <cell r="B1849" t="str">
            <v>Ebook - pdf</v>
          </cell>
          <cell r="C1849">
            <v>9780748644889</v>
          </cell>
        </row>
        <row r="1850">
          <cell r="A1850" t="str">
            <v>Professor Norrie's Commentaries on Family Law</v>
          </cell>
          <cell r="B1850" t="str">
            <v>Ebook - pdf</v>
          </cell>
          <cell r="C1850">
            <v>9780748699490</v>
          </cell>
        </row>
        <row r="1851">
          <cell r="A1851" t="str">
            <v>Programming for Corpus Linguistics: How to Do Text Analysis with Java</v>
          </cell>
          <cell r="B1851" t="str">
            <v>Ebook - pdf</v>
          </cell>
          <cell r="C1851">
            <v>9781474470780</v>
          </cell>
        </row>
        <row r="1852">
          <cell r="A1852" t="str">
            <v>Propaganda, Censorship and Irish Neutrality in the Second World War</v>
          </cell>
          <cell r="B1852" t="str">
            <v>Ebook - pdf</v>
          </cell>
          <cell r="C1852">
            <v>9780748642809</v>
          </cell>
        </row>
        <row r="1853">
          <cell r="A1853" t="str">
            <v>Property Law Essentials</v>
          </cell>
          <cell r="B1853" t="str">
            <v>Ebook - pdf</v>
          </cell>
          <cell r="C1853">
            <v>9780748698455</v>
          </cell>
        </row>
        <row r="1854">
          <cell r="A1854" t="str">
            <v>Prophetic Translation: The Making of Modern Egyptian Literature</v>
          </cell>
          <cell r="B1854" t="str">
            <v>Ebook - pdf</v>
          </cell>
          <cell r="C1854">
            <v>9781474407410</v>
          </cell>
        </row>
        <row r="1855">
          <cell r="A1855" t="str">
            <v>Prosaic Desires: Modernist Knowledge, Boredom, Laughter, and Anticipation</v>
          </cell>
          <cell r="B1855" t="str">
            <v>Ebook - pdf</v>
          </cell>
          <cell r="C1855">
            <v>9780748642861</v>
          </cell>
        </row>
        <row r="1856">
          <cell r="A1856" t="str">
            <v>Protestants, Gender and the Arab Renaissance in Late Ottoman Syria</v>
          </cell>
          <cell r="B1856" t="str">
            <v>Ebook - pdf</v>
          </cell>
          <cell r="C1856">
            <v>9781474436731</v>
          </cell>
        </row>
        <row r="1857">
          <cell r="A1857" t="str">
            <v>Psychoanalysis and the Love of Arabic: Hall of Mirrors</v>
          </cell>
          <cell r="B1857" t="str">
            <v>Ebook - pdf</v>
          </cell>
          <cell r="C1857">
            <v>9781474409858</v>
          </cell>
        </row>
        <row r="1858">
          <cell r="A1858" t="str">
            <v>Psychoanalysis is an Antiphilosophy</v>
          </cell>
          <cell r="B1858" t="str">
            <v>Ebook - pdf</v>
          </cell>
          <cell r="C1858">
            <v>9780748678952</v>
          </cell>
        </row>
        <row r="1859">
          <cell r="A1859" t="str">
            <v>Public Debate in Russia: Matters of (Dis)order</v>
          </cell>
          <cell r="B1859" t="str">
            <v>Ebook - pdf</v>
          </cell>
          <cell r="C1859">
            <v>9781474411691</v>
          </cell>
        </row>
        <row r="1860">
          <cell r="A1860" t="str">
            <v>Public Law Essentials</v>
          </cell>
          <cell r="B1860" t="str">
            <v>Ebook - pdf</v>
          </cell>
          <cell r="C1860">
            <v>9780748698318</v>
          </cell>
        </row>
        <row r="1861">
          <cell r="A1861" t="str">
            <v>Public Violence in Islamic Societies: Power, Discipline, and the Construction of the Public Sphere, 7th-19th Centuries CE</v>
          </cell>
          <cell r="B1861" t="str">
            <v>Ebook - pdf</v>
          </cell>
          <cell r="C1861">
            <v>9780748637331</v>
          </cell>
        </row>
        <row r="1862">
          <cell r="A1862" t="str">
            <v>Publishing Modernist Fiction and Poetry</v>
          </cell>
          <cell r="B1862" t="str">
            <v>Ebook - pdf</v>
          </cell>
          <cell r="C1862">
            <v>9781474440820</v>
          </cell>
        </row>
        <row r="1863">
          <cell r="A1863" t="str">
            <v>Pursuing the Good: Ethics and Metaphysics in Plato's Republic</v>
          </cell>
          <cell r="B1863" t="str">
            <v>Ebook - pdf</v>
          </cell>
          <cell r="C1863">
            <v>9780748631889</v>
          </cell>
        </row>
        <row r="1864">
          <cell r="A1864" t="str">
            <v>Quantifying Archaeology</v>
          </cell>
          <cell r="B1864" t="str">
            <v>Ebook - pdf</v>
          </cell>
          <cell r="C1864">
            <v>9781474472555</v>
          </cell>
        </row>
        <row r="1865">
          <cell r="A1865" t="str">
            <v>Queen Hynde</v>
          </cell>
          <cell r="B1865" t="str">
            <v>Ebook - pdf</v>
          </cell>
          <cell r="C1865">
            <v>9780748698653</v>
          </cell>
        </row>
        <row r="1866">
          <cell r="A1866" t="str">
            <v>Queens, Eunuchs and Concubines in Islamic History, 661–1257</v>
          </cell>
          <cell r="B1866" t="str">
            <v>Ebook - pdf</v>
          </cell>
          <cell r="C1866">
            <v>9781474423199</v>
          </cell>
        </row>
        <row r="1867">
          <cell r="A1867" t="str">
            <v>Queer Bloomsbury</v>
          </cell>
          <cell r="B1867" t="str">
            <v>Ebook - pdf</v>
          </cell>
          <cell r="C1867">
            <v>9781474401715</v>
          </cell>
        </row>
        <row r="1868">
          <cell r="A1868" t="str">
            <v>Queer Communism and The Ministry of Love: Sexual Revolution in British Writing of the 1930s</v>
          </cell>
          <cell r="B1868" t="str">
            <v>Ebook - pdf</v>
          </cell>
          <cell r="C1868">
            <v>9781474423328</v>
          </cell>
        </row>
        <row r="1869">
          <cell r="A1869" t="str">
            <v>Queer Defamiliarisation: Writing, Mattering, Making Strange</v>
          </cell>
          <cell r="B1869" t="str">
            <v>Ebook - pdf</v>
          </cell>
          <cell r="C1869">
            <v>9781474434164</v>
          </cell>
        </row>
        <row r="1870">
          <cell r="A1870" t="str">
            <v>Queering Digital India: Activisms, Identities, Subjectivities</v>
          </cell>
          <cell r="B1870" t="str">
            <v>Ebook - pdf</v>
          </cell>
          <cell r="C1870">
            <v>9781474421188</v>
          </cell>
        </row>
        <row r="1871">
          <cell r="A1871" t="str">
            <v>Quentin Durward</v>
          </cell>
          <cell r="B1871" t="str">
            <v>Ebook - pdf</v>
          </cell>
          <cell r="C1871">
            <v>9781474433013</v>
          </cell>
        </row>
        <row r="1872">
          <cell r="A1872" t="str">
            <v>Quentin Meillassoux: Philosophy in the Making</v>
          </cell>
          <cell r="B1872" t="str">
            <v>Ebook - pdf</v>
          </cell>
          <cell r="C1872">
            <v>9780748693467</v>
          </cell>
        </row>
        <row r="1873">
          <cell r="A1873" t="str">
            <v>Qur’ānic Stories: God, Revelation and the Audience</v>
          </cell>
          <cell r="B1873" t="str">
            <v>Ebook - pdf</v>
          </cell>
          <cell r="C1873">
            <v>9781474483209</v>
          </cell>
        </row>
        <row r="1874">
          <cell r="A1874" t="str">
            <v>R L Stevenson on Fiction: An Anthology of Literary and Critical Essays</v>
          </cell>
          <cell r="B1874" t="str">
            <v>Ebook - pdf</v>
          </cell>
          <cell r="C1874">
            <v>9781474471343</v>
          </cell>
        </row>
        <row r="1875">
          <cell r="A1875" t="str">
            <v>Race and Urban Space in Contemporary American Culture</v>
          </cell>
          <cell r="B1875" t="str">
            <v>Ebook - pdf</v>
          </cell>
          <cell r="C1875">
            <v>9781474469760</v>
          </cell>
        </row>
        <row r="1876">
          <cell r="A1876" t="str">
            <v>Race in Modern Irish Literature and Culture</v>
          </cell>
          <cell r="B1876" t="str">
            <v>Ebook - pdf</v>
          </cell>
          <cell r="C1876">
            <v>9780748640959</v>
          </cell>
        </row>
        <row r="1877">
          <cell r="A1877" t="str">
            <v>Race in the American South: From Slavery to Civil Rights</v>
          </cell>
          <cell r="B1877" t="str">
            <v>Ebook - pdf</v>
          </cell>
          <cell r="C1877">
            <v>9780748628261</v>
          </cell>
        </row>
        <row r="1878">
          <cell r="A1878" t="str">
            <v>Radical Romantics: Prophets, Pirates, and the Space Beyond Nation</v>
          </cell>
          <cell r="B1878" t="str">
            <v>Ebook - pdf</v>
          </cell>
          <cell r="C1878">
            <v>9781474409438</v>
          </cell>
        </row>
        <row r="1879">
          <cell r="A1879" t="str">
            <v>Radical Spenser: Pastoral, Politics and the New Aestheticism</v>
          </cell>
          <cell r="B1879" t="str">
            <v>Ebook - pdf</v>
          </cell>
          <cell r="C1879">
            <v>9781474465656</v>
          </cell>
        </row>
        <row r="1880">
          <cell r="A1880" t="str">
            <v>Rainforest Relations: Gender &amp; Resource Use by the Mende of Gola, Sierra Leone</v>
          </cell>
          <cell r="B1880" t="str">
            <v>Ebook - pdf</v>
          </cell>
          <cell r="C1880">
            <v>9781474470162</v>
          </cell>
        </row>
        <row r="1881">
          <cell r="A1881" t="str">
            <v>Ranching &amp; Enterprise in Eastern Botswana: A Case Study of Black &amp; WhiteFarmers</v>
          </cell>
          <cell r="B1881" t="str">
            <v>Ebook - pdf</v>
          </cell>
          <cell r="C1881">
            <v>9781474470810</v>
          </cell>
        </row>
        <row r="1882">
          <cell r="A1882" t="str">
            <v>Rancière and Film</v>
          </cell>
          <cell r="B1882" t="str">
            <v>Ebook - pdf</v>
          </cell>
          <cell r="C1882">
            <v>9780748647378</v>
          </cell>
        </row>
        <row r="1883">
          <cell r="A1883" t="str">
            <v>Rancière and Literature</v>
          </cell>
          <cell r="B1883" t="str">
            <v>Ebook - pdf</v>
          </cell>
          <cell r="C1883">
            <v>9781474402590</v>
          </cell>
        </row>
        <row r="1884">
          <cell r="A1884" t="str">
            <v>Ranciere and Music</v>
          </cell>
          <cell r="B1884" t="str">
            <v>Ebook - pdf</v>
          </cell>
          <cell r="C1884">
            <v>9781474440240</v>
          </cell>
        </row>
        <row r="1885">
          <cell r="A1885" t="str">
            <v>Raymond Aron's Philosophy of Political Responsibility: Freedom, Democracy and National Identity</v>
          </cell>
          <cell r="B1885" t="str">
            <v>Ebook - pdf</v>
          </cell>
          <cell r="C1885">
            <v>9781474447102</v>
          </cell>
        </row>
        <row r="1886">
          <cell r="A1886" t="str">
            <v>Raymond Bellour: Cinema and the Moving Image</v>
          </cell>
          <cell r="B1886" t="str">
            <v>Ebook - pdf</v>
          </cell>
          <cell r="C1886">
            <v>9781474422901</v>
          </cell>
        </row>
        <row r="1887">
          <cell r="A1887" t="str">
            <v>Readies for Bob Brown's Machine: A Critical Facsimile Edition</v>
          </cell>
          <cell r="B1887" t="str">
            <v>Ebook - pdf</v>
          </cell>
          <cell r="C1887">
            <v>9781474455060</v>
          </cell>
        </row>
        <row r="1888">
          <cell r="A1888" t="str">
            <v>Reading and Responsibility: Deconstruction's Traces</v>
          </cell>
          <cell r="B1888" t="str">
            <v>Ebook - pdf</v>
          </cell>
          <cell r="C1888">
            <v>9780748642458</v>
          </cell>
        </row>
        <row r="1889">
          <cell r="A1889" t="str">
            <v>Reading Dylan Thomas</v>
          </cell>
          <cell r="B1889" t="str">
            <v>Ebook - pdf</v>
          </cell>
          <cell r="C1889">
            <v>9781474411561</v>
          </cell>
        </row>
        <row r="1890">
          <cell r="A1890" t="str">
            <v>Reading Elizabeth Bishop: An Edinburgh Companion</v>
          </cell>
          <cell r="B1890" t="str">
            <v>Ebook - pdf</v>
          </cell>
          <cell r="C1890">
            <v>9781474421348</v>
          </cell>
        </row>
        <row r="1891">
          <cell r="A1891" t="str">
            <v>Reading Experimental Writing</v>
          </cell>
          <cell r="B1891" t="str">
            <v>Ebook - pdf</v>
          </cell>
          <cell r="C1891">
            <v>9781474440400</v>
          </cell>
        </row>
        <row r="1892">
          <cell r="A1892" t="str">
            <v>Reading for Our Time: 'Adam Bede' and 'Middlemarch' Revisited</v>
          </cell>
          <cell r="B1892" t="str">
            <v>Ebook - pdf</v>
          </cell>
          <cell r="C1892">
            <v>9780748646708</v>
          </cell>
        </row>
        <row r="1893">
          <cell r="A1893" t="str">
            <v>Reading Ideas in Victorian Literature: Literary Content as Artistic Experience</v>
          </cell>
          <cell r="B1893" t="str">
            <v>Ebook - pdf</v>
          </cell>
          <cell r="C1893">
            <v>9781474460620</v>
          </cell>
        </row>
        <row r="1894">
          <cell r="A1894" t="str">
            <v>Reading Literature Historically: Drama and Poetry from Chaucer to the Reformation</v>
          </cell>
          <cell r="B1894" t="str">
            <v>Ebook - pdf</v>
          </cell>
          <cell r="C1894">
            <v>9780748681020</v>
          </cell>
        </row>
        <row r="1895">
          <cell r="A1895" t="str">
            <v>Reading Machines in the Modernist Transatlantic: Avant-Gardes, Technology and the Everyday</v>
          </cell>
          <cell r="B1895" t="str">
            <v>Ebook - pdf</v>
          </cell>
          <cell r="C1895">
            <v>9781474441513</v>
          </cell>
        </row>
        <row r="1896">
          <cell r="A1896" t="str">
            <v>Reading the Absurd</v>
          </cell>
          <cell r="B1896" t="str">
            <v>Ebook - pdf</v>
          </cell>
          <cell r="C1896">
            <v>9780748669271</v>
          </cell>
        </row>
        <row r="1897">
          <cell r="A1897" t="str">
            <v>Reading the Road, from Shakespeare’s Crossways to Bunyan’s Highways</v>
          </cell>
          <cell r="B1897" t="str">
            <v>Ebook - pdf</v>
          </cell>
          <cell r="C1897">
            <v>9781474454131</v>
          </cell>
        </row>
        <row r="1898">
          <cell r="A1898" t="str">
            <v>Reading the Times: Temporality and History in Twentieth-Century Fiction</v>
          </cell>
          <cell r="B1898" t="str">
            <v>Ebook - pdf</v>
          </cell>
          <cell r="C1898">
            <v>9781474401562</v>
          </cell>
        </row>
        <row r="1899">
          <cell r="A1899" t="str">
            <v>Reading Victorian Literature: Essays in Honour of J. Hillis Miller</v>
          </cell>
          <cell r="B1899" t="str">
            <v>Ebook - pdf</v>
          </cell>
          <cell r="C1899">
            <v>9781474447997</v>
          </cell>
        </row>
        <row r="1900">
          <cell r="A1900" t="str">
            <v>Reading Virginia Woolf</v>
          </cell>
          <cell r="B1900" t="str">
            <v>Ebook - pdf</v>
          </cell>
          <cell r="C1900">
            <v>9780748626953</v>
          </cell>
        </row>
        <row r="1901">
          <cell r="A1901" t="str">
            <v>Reading Virginia Woolf's Essays and Journalism</v>
          </cell>
          <cell r="B1901" t="str">
            <v>Ebook - pdf</v>
          </cell>
          <cell r="C1901">
            <v>9780748674091</v>
          </cell>
        </row>
        <row r="1902">
          <cell r="A1902" t="str">
            <v>Readings: Acts of Close Reading in Literary Theory</v>
          </cell>
          <cell r="B1902" t="str">
            <v>Ebook - pdf</v>
          </cell>
          <cell r="C1902">
            <v>9780585442044</v>
          </cell>
        </row>
        <row r="1903">
          <cell r="A1903" t="str">
            <v>Reagan and Thatcher's Special Relationship: Latin America and Anglo-American Relations</v>
          </cell>
          <cell r="B1903" t="str">
            <v>Ebook - pdf</v>
          </cell>
          <cell r="C1903">
            <v>9780748686070</v>
          </cell>
        </row>
        <row r="1904">
          <cell r="A1904" t="str">
            <v>Realism and Consensus in the English Novel: Time, Space and Narrative</v>
          </cell>
          <cell r="B1904" t="str">
            <v>Ebook - pdf</v>
          </cell>
          <cell r="C1904">
            <v>9780748674183</v>
          </cell>
        </row>
        <row r="1905">
          <cell r="A1905" t="str">
            <v>Reality TV</v>
          </cell>
          <cell r="B1905" t="str">
            <v>Ebook - pdf</v>
          </cell>
          <cell r="C1905">
            <v>9780748637249</v>
          </cell>
        </row>
        <row r="1906">
          <cell r="A1906" t="str">
            <v>Reality? Knowledge? Philosophy!: An Introduction to Metaphysics and Epistemology</v>
          </cell>
          <cell r="B1906" t="str">
            <v>Ebook - pdf</v>
          </cell>
          <cell r="C1906">
            <v>9781474469128</v>
          </cell>
        </row>
        <row r="1907">
          <cell r="A1907" t="str">
            <v>Reappraisals of British Colonisation in Atlantic Canada, 1700-1930</v>
          </cell>
          <cell r="B1907" t="str">
            <v>Ebook - pdf</v>
          </cell>
          <cell r="C1907">
            <v>9781474459051</v>
          </cell>
        </row>
        <row r="1908">
          <cell r="A1908" t="str">
            <v>Reassessing Legal Humanism and its Claims: Petere Fontes?</v>
          </cell>
          <cell r="B1908" t="str">
            <v>Ebook - pdf</v>
          </cell>
          <cell r="C1908">
            <v>9781474408868</v>
          </cell>
        </row>
        <row r="1909">
          <cell r="A1909" t="str">
            <v>Reclaiming Islamic Tradition: Modern Interpretations of the Classical Heritage</v>
          </cell>
          <cell r="B1909" t="str">
            <v>Ebook - pdf</v>
          </cell>
          <cell r="C1909">
            <v>9781474403122</v>
          </cell>
        </row>
        <row r="1910">
          <cell r="A1910" t="str">
            <v>Reclaiming Wonder: After the Sublime</v>
          </cell>
          <cell r="B1910" t="str">
            <v>Ebook - pdf</v>
          </cell>
          <cell r="C1910">
            <v>9781474433129</v>
          </cell>
        </row>
        <row r="1911">
          <cell r="A1911" t="str">
            <v>Recognition in the Arabic Narrative Tradition: Discovery, Deliverance and Delusion</v>
          </cell>
          <cell r="B1911" t="str">
            <v>Ebook - pdf</v>
          </cell>
          <cell r="C1911">
            <v>9781474413732</v>
          </cell>
        </row>
        <row r="1912">
          <cell r="A1912" t="str">
            <v>Reconstructing Japan's Security: The Role of Military Crises</v>
          </cell>
          <cell r="B1912" t="str">
            <v>Ebook - pdf</v>
          </cell>
          <cell r="C1912">
            <v>9781474446242</v>
          </cell>
        </row>
        <row r="1913">
          <cell r="A1913" t="str">
            <v>Recovering Scotland's Slavery Past: The Caribbean Connection</v>
          </cell>
          <cell r="B1913" t="str">
            <v>Ebook - pdf</v>
          </cell>
          <cell r="C1913">
            <v>9780748698097</v>
          </cell>
        </row>
        <row r="1914">
          <cell r="A1914" t="str">
            <v>Red Scotland!: The Rise and Fall of the Radical Left, c. 1872 to 1932</v>
          </cell>
          <cell r="B1914" t="str">
            <v>Ebook - pdf</v>
          </cell>
          <cell r="C1914">
            <v>9780748630820</v>
          </cell>
        </row>
        <row r="1915">
          <cell r="A1915" t="str">
            <v>Redgauntlet</v>
          </cell>
          <cell r="B1915" t="str">
            <v>Ebook - pdf</v>
          </cell>
          <cell r="C1915">
            <v>9780748698615</v>
          </cell>
        </row>
        <row r="1916">
          <cell r="A1916" t="str">
            <v>Reflections on the Astronomy of Glasgow</v>
          </cell>
          <cell r="B1916" t="str">
            <v>Ebook - pdf</v>
          </cell>
          <cell r="C1916">
            <v>9780748678914</v>
          </cell>
        </row>
        <row r="1917">
          <cell r="A1917" t="str">
            <v>ReFocus: The Films of Albert Brooks</v>
          </cell>
          <cell r="B1917" t="str">
            <v>Ebook - pdf</v>
          </cell>
          <cell r="C1917">
            <v>9781474434263</v>
          </cell>
        </row>
        <row r="1918">
          <cell r="A1918" t="str">
            <v>ReFocus: The Films of Amy Heckerling</v>
          </cell>
          <cell r="B1918" t="str">
            <v>Ebook - pdf</v>
          </cell>
          <cell r="C1918">
            <v>9781474404624</v>
          </cell>
        </row>
        <row r="1919">
          <cell r="A1919" t="str">
            <v>ReFocus: The Films of Andrei Tarkovsky</v>
          </cell>
          <cell r="B1919" t="str">
            <v>Ebook - pdf</v>
          </cell>
          <cell r="C1919">
            <v>9781474437257</v>
          </cell>
        </row>
        <row r="1920">
          <cell r="A1920" t="str">
            <v>ReFocus: The Films of Barbara Kopple</v>
          </cell>
          <cell r="B1920" t="str">
            <v>Ebook - pdf</v>
          </cell>
          <cell r="C1920">
            <v>9781474439961</v>
          </cell>
        </row>
        <row r="1921">
          <cell r="A1921" t="str">
            <v>ReFocus: The Films of Budd Boetticher</v>
          </cell>
          <cell r="B1921" t="str">
            <v>Ebook - pdf</v>
          </cell>
          <cell r="C1921">
            <v>9781474419048</v>
          </cell>
        </row>
        <row r="1922">
          <cell r="A1922" t="str">
            <v>ReFocus: The Films of Delmer Daves</v>
          </cell>
          <cell r="B1922" t="str">
            <v>Ebook - pdf</v>
          </cell>
          <cell r="C1922">
            <v>9781474403023</v>
          </cell>
        </row>
        <row r="1923">
          <cell r="A1923" t="str">
            <v>ReFocus: The Films of Doris Wishman</v>
          </cell>
          <cell r="B1923" t="str">
            <v>Ebook - pdf</v>
          </cell>
          <cell r="C1923">
            <v>9781474482363</v>
          </cell>
        </row>
        <row r="1924">
          <cell r="A1924" t="str">
            <v>ReFocus: The Films of Elaine May</v>
          </cell>
          <cell r="B1924" t="str">
            <v>Ebook - pdf</v>
          </cell>
          <cell r="C1924">
            <v>9781474440202</v>
          </cell>
        </row>
        <row r="1925">
          <cell r="A1925" t="str">
            <v>ReFocus: The Films of Francis Veber</v>
          </cell>
          <cell r="B1925" t="str">
            <v>Ebook - pdf</v>
          </cell>
          <cell r="C1925">
            <v>9781474429504</v>
          </cell>
        </row>
        <row r="1926">
          <cell r="A1926" t="str">
            <v>ReFocus: The Films of François Ozon</v>
          </cell>
          <cell r="B1926" t="str">
            <v>Ebook - pdf</v>
          </cell>
          <cell r="C1926">
            <v>9781474479936</v>
          </cell>
        </row>
        <row r="1927">
          <cell r="A1927" t="str">
            <v>ReFocus: The Films of Jocelyne Saab: Films, Artworks and Cultural Events for the Arab World</v>
          </cell>
          <cell r="B1927" t="str">
            <v>Ebook - pdf</v>
          </cell>
          <cell r="C1927">
            <v>9781474480437</v>
          </cell>
        </row>
        <row r="1928">
          <cell r="A1928" t="str">
            <v>ReFocus: The Films of John Hughes</v>
          </cell>
          <cell r="B1928" t="str">
            <v>Ebook - pdf</v>
          </cell>
          <cell r="C1928">
            <v>9781474449045</v>
          </cell>
        </row>
        <row r="1929">
          <cell r="A1929" t="str">
            <v>ReFocus: The Films of Kelly Reichardt</v>
          </cell>
          <cell r="B1929" t="str">
            <v>Ebook - pdf</v>
          </cell>
          <cell r="C1929">
            <v>9781474411134</v>
          </cell>
        </row>
        <row r="1930">
          <cell r="A1930" t="str">
            <v>ReFocus: The Films of Michel Gondry</v>
          </cell>
          <cell r="B1930" t="str">
            <v>Ebook - pdf</v>
          </cell>
          <cell r="C1930">
            <v>9781474456036</v>
          </cell>
        </row>
        <row r="1931">
          <cell r="A1931" t="str">
            <v>ReFocus: The Films of Pablo Larraín</v>
          </cell>
          <cell r="B1931" t="str">
            <v>Ebook - pdf</v>
          </cell>
          <cell r="C1931">
            <v>9781474448307</v>
          </cell>
        </row>
        <row r="1932">
          <cell r="A1932" t="str">
            <v>ReFocus: The Films of Paul Leni</v>
          </cell>
          <cell r="B1932" t="str">
            <v>Ebook - pdf</v>
          </cell>
          <cell r="C1932">
            <v>9781474454537</v>
          </cell>
        </row>
        <row r="1933">
          <cell r="A1933" t="str">
            <v>ReFocus: The Films of Paul Schrader</v>
          </cell>
          <cell r="B1933" t="str">
            <v>Ebook - pdf</v>
          </cell>
          <cell r="C1933">
            <v>9781474462051</v>
          </cell>
        </row>
        <row r="1934">
          <cell r="A1934" t="str">
            <v>ReFocus: The Films of Pedro Costa: Producing and Consuming Contemporary Art Cinema</v>
          </cell>
          <cell r="B1934" t="str">
            <v>Ebook - pdf</v>
          </cell>
          <cell r="C1934">
            <v>9781474444552</v>
          </cell>
        </row>
        <row r="1935">
          <cell r="A1935" t="str">
            <v>ReFocus: The Films of Preston Sturges</v>
          </cell>
          <cell r="B1935" t="str">
            <v>Ebook - pdf</v>
          </cell>
          <cell r="C1935">
            <v>9781474406567</v>
          </cell>
        </row>
        <row r="1936">
          <cell r="A1936" t="str">
            <v>ReFocus: The Films of Rachid Bouchareb</v>
          </cell>
          <cell r="B1936" t="str">
            <v>Ebook - pdf</v>
          </cell>
          <cell r="C1936">
            <v>9781474466530</v>
          </cell>
        </row>
        <row r="1937">
          <cell r="A1937" t="str">
            <v>ReFocus: The Films of Rakhshan Banietemad</v>
          </cell>
          <cell r="B1937" t="str">
            <v>Ebook - pdf</v>
          </cell>
          <cell r="C1937">
            <v>9781474477635</v>
          </cell>
        </row>
        <row r="1938">
          <cell r="A1938" t="str">
            <v>ReFocus: The Films of Sohrab Shahid-Saless: Exile, Displacement and the Stateless Moving Image</v>
          </cell>
          <cell r="B1938" t="str">
            <v>Ebook - pdf</v>
          </cell>
          <cell r="C1938">
            <v>9781474456418</v>
          </cell>
        </row>
        <row r="1939">
          <cell r="A1939" t="str">
            <v>ReFocus: The Films of Spike Jonze</v>
          </cell>
          <cell r="B1939" t="str">
            <v>Ebook - pdf</v>
          </cell>
          <cell r="C1939">
            <v>9781474447638</v>
          </cell>
        </row>
        <row r="1940">
          <cell r="A1940" t="str">
            <v>ReFocus: The Films of Susanne Bier</v>
          </cell>
          <cell r="B1940" t="str">
            <v>Ebook - pdf</v>
          </cell>
          <cell r="C1940">
            <v>9781474428743</v>
          </cell>
        </row>
        <row r="1941">
          <cell r="A1941" t="str">
            <v>ReFocus: The Films of Teuvo Tulio: An Excessive Outsider</v>
          </cell>
          <cell r="B1941" t="str">
            <v>Ebook - pdf</v>
          </cell>
          <cell r="C1941">
            <v>9781474442169</v>
          </cell>
        </row>
        <row r="1942">
          <cell r="A1942" t="str">
            <v>ReFocus: The Films of William Castle</v>
          </cell>
          <cell r="B1942" t="str">
            <v>Ebook - pdf</v>
          </cell>
          <cell r="C1942">
            <v>9781474424271</v>
          </cell>
        </row>
        <row r="1943">
          <cell r="A1943" t="str">
            <v>ReFocus: The Films of Xavier Dolan</v>
          </cell>
          <cell r="B1943" t="str">
            <v>Ebook - pdf</v>
          </cell>
          <cell r="C1943">
            <v>9781474444590</v>
          </cell>
        </row>
        <row r="1944">
          <cell r="A1944" t="str">
            <v>Reforging a Forgotten History: Iraq and the Assyrians in the Twentieth Century</v>
          </cell>
          <cell r="B1944" t="str">
            <v>Ebook - pdf</v>
          </cell>
          <cell r="C1944">
            <v>9780748686032</v>
          </cell>
        </row>
        <row r="1945">
          <cell r="A1945" t="str">
            <v>Reframing 1968: American Politics, Protest and Identity</v>
          </cell>
          <cell r="B1945" t="str">
            <v>Ebook - pdf</v>
          </cell>
          <cell r="C1945">
            <v>9780748698943</v>
          </cell>
        </row>
        <row r="1946">
          <cell r="A1946" t="str">
            <v>Reframing the Alhambra: Architecture, Poetry, Textiles and Court Ceremonial</v>
          </cell>
          <cell r="B1946" t="str">
            <v>Ebook - pdf</v>
          </cell>
          <cell r="C1946">
            <v>9781474416511</v>
          </cell>
        </row>
        <row r="1947">
          <cell r="A1947" t="str">
            <v>Refugee Imaginaries: Research Across the Humanities</v>
          </cell>
          <cell r="B1947" t="str">
            <v>Ebook - pdf</v>
          </cell>
          <cell r="C1947">
            <v>9781474443210</v>
          </cell>
        </row>
        <row r="1948">
          <cell r="A1948" t="str">
            <v>Refugees in Britain: Practices of Hospitality and Labelling</v>
          </cell>
          <cell r="B1948" t="str">
            <v>Ebook - pdf</v>
          </cell>
          <cell r="C1948">
            <v>9781474447188</v>
          </cell>
        </row>
        <row r="1949">
          <cell r="A1949" t="str">
            <v>Regicide and Republicanism: Politics and Ethics in the English Revolution, 1646-1659</v>
          </cell>
          <cell r="B1949" t="str">
            <v>Ebook - pdf</v>
          </cell>
          <cell r="C1949">
            <v>9781474400732</v>
          </cell>
        </row>
        <row r="1950">
          <cell r="A1950" t="str">
            <v>Regime Change in Contemporary Turkey: Politics, Rights, Mimesis</v>
          </cell>
          <cell r="B1950" t="str">
            <v>Ebook - pdf</v>
          </cell>
          <cell r="C1950">
            <v>9781474416986</v>
          </cell>
        </row>
        <row r="1951">
          <cell r="A1951" t="str">
            <v>Regional Modernisms</v>
          </cell>
          <cell r="B1951" t="str">
            <v>Ebook - pdf</v>
          </cell>
          <cell r="C1951">
            <v>9780748669318</v>
          </cell>
        </row>
        <row r="1952">
          <cell r="A1952" t="str">
            <v>Re-Humanising Shakespeare: Literary Humanism, Wisdom and Modernity</v>
          </cell>
          <cell r="B1952" t="str">
            <v>Ebook - pdf</v>
          </cell>
          <cell r="C1952">
            <v>9780748629978</v>
          </cell>
        </row>
        <row r="1953">
          <cell r="A1953" t="str">
            <v>Re-Humanising Shakespeare: Literary Humanism, Wisdom and Modernity</v>
          </cell>
          <cell r="B1953" t="str">
            <v>Ebook - pdf</v>
          </cell>
          <cell r="C1953">
            <v>9780748692064</v>
          </cell>
        </row>
        <row r="1954">
          <cell r="A1954" t="str">
            <v>Re-imagining the 'Dark Continent' in fin de siècle Literature</v>
          </cell>
          <cell r="B1954" t="str">
            <v>Ebook - pdf</v>
          </cell>
          <cell r="C1954">
            <v>9780748647163</v>
          </cell>
        </row>
        <row r="1955">
          <cell r="A1955" t="str">
            <v>Reinventing Liberty: Nation, Commerce and the Historical Novel from Walpole to Scott</v>
          </cell>
          <cell r="B1955" t="str">
            <v>Ebook - pdf</v>
          </cell>
          <cell r="C1955">
            <v>9781474402972</v>
          </cell>
        </row>
        <row r="1956">
          <cell r="A1956" t="str">
            <v>Religion and Magic</v>
          </cell>
          <cell r="B1956" t="str">
            <v>Ebook - pdf</v>
          </cell>
          <cell r="C1956">
            <v>9780585197258</v>
          </cell>
        </row>
        <row r="1957">
          <cell r="A1957" t="str">
            <v>Religion and National Identity: Governing Scottish Presbyterianism in the Eighteenth Century</v>
          </cell>
          <cell r="B1957" t="str">
            <v>Ebook - pdf</v>
          </cell>
          <cell r="C1957">
            <v>9780748699162</v>
          </cell>
        </row>
        <row r="1958">
          <cell r="A1958" t="str">
            <v>Religion and Politics: European and Global Perspectives</v>
          </cell>
          <cell r="B1958" t="str">
            <v>Ebook - pdf</v>
          </cell>
          <cell r="C1958">
            <v>9780748691746</v>
          </cell>
        </row>
        <row r="1959">
          <cell r="A1959" t="str">
            <v>Religion and Society in Scotland since 1707</v>
          </cell>
          <cell r="B1959" t="str">
            <v>Ebook - pdf</v>
          </cell>
          <cell r="C1959">
            <v>9780748699216</v>
          </cell>
        </row>
        <row r="1960">
          <cell r="A1960" t="str">
            <v>Religion in the Egyptian Novel</v>
          </cell>
          <cell r="B1960" t="str">
            <v>Ebook - pdf</v>
          </cell>
          <cell r="C1960">
            <v>9781474417075</v>
          </cell>
        </row>
        <row r="1961">
          <cell r="A1961" t="str">
            <v>Religion, Culture and Politics in the Twentieth-Century United States</v>
          </cell>
          <cell r="B1961" t="str">
            <v>Ebook - pdf</v>
          </cell>
          <cell r="C1961">
            <v>9780748628247</v>
          </cell>
        </row>
        <row r="1962">
          <cell r="A1962" t="str">
            <v>Religion, Identity and Power: Turkey and the Balkans in the Twenty-First Century</v>
          </cell>
          <cell r="B1962" t="str">
            <v>Ebook - pdf</v>
          </cell>
          <cell r="C1962">
            <v>9781474474719</v>
          </cell>
        </row>
        <row r="1963">
          <cell r="A1963" t="str">
            <v>Religion: The Classical Theories</v>
          </cell>
          <cell r="B1963" t="str">
            <v>Ebook - pdf</v>
          </cell>
          <cell r="C1963">
            <v>9781474473255</v>
          </cell>
        </row>
        <row r="1964">
          <cell r="A1964" t="str">
            <v>Religion: The Modern Theories</v>
          </cell>
          <cell r="B1964" t="str">
            <v>Ebook - pdf</v>
          </cell>
          <cell r="C1964">
            <v>9781474469951</v>
          </cell>
        </row>
        <row r="1965">
          <cell r="A1965" t="str">
            <v>Remapping Persian Literary History, 1700-1900</v>
          </cell>
          <cell r="B1965" t="str">
            <v>Ebook - pdf</v>
          </cell>
          <cell r="C1965">
            <v>9781474450867</v>
          </cell>
        </row>
        <row r="1966">
          <cell r="A1966" t="str">
            <v>Remembering the Past in Nineteenth-Century Scotland: Commemoration, Nationality and Memory</v>
          </cell>
          <cell r="B1966" t="str">
            <v>Ebook - pdf</v>
          </cell>
          <cell r="C1966">
            <v>9780748676910</v>
          </cell>
        </row>
        <row r="1967">
          <cell r="A1967" t="str">
            <v>Renaissance Literature</v>
          </cell>
          <cell r="B1967" t="str">
            <v>Ebook - pdf</v>
          </cell>
          <cell r="C1967">
            <v>9780748631216</v>
          </cell>
        </row>
        <row r="1968">
          <cell r="A1968" t="str">
            <v>Renaissance Literatures and Postcolonial Studies</v>
          </cell>
          <cell r="B1968" t="str">
            <v>Ebook - pdf</v>
          </cell>
          <cell r="C1968">
            <v>9780748636853</v>
          </cell>
        </row>
        <row r="1969">
          <cell r="A1969" t="str">
            <v>Renaissance Personhood: Materiality, Taxonomy, Process</v>
          </cell>
          <cell r="B1969" t="str">
            <v>Ebook - pdf</v>
          </cell>
          <cell r="C1969">
            <v>9781474448109</v>
          </cell>
        </row>
        <row r="1970">
          <cell r="A1970" t="str">
            <v>Renaissance Transformations: The Making of English Writing 1500-1650</v>
          </cell>
          <cell r="B1970" t="str">
            <v>Ebook - pdf</v>
          </cell>
          <cell r="C1970">
            <v>9780748642106</v>
          </cell>
        </row>
        <row r="1971">
          <cell r="A1971" t="str">
            <v>ReOrienting the Sasanians: East Iran in Late Antiquity</v>
          </cell>
          <cell r="B1971" t="str">
            <v>Ebook - pdf</v>
          </cell>
          <cell r="C1971">
            <v>9781474400305</v>
          </cell>
        </row>
        <row r="1972">
          <cell r="A1972" t="str">
            <v>Replication in the Long Nineteenth Century: Re-makings and Reproductions</v>
          </cell>
          <cell r="B1972" t="str">
            <v>Ebook - pdf</v>
          </cell>
          <cell r="C1972">
            <v>9781474424868</v>
          </cell>
        </row>
        <row r="1973">
          <cell r="A1973" t="str">
            <v>Representing and Imagining America</v>
          </cell>
          <cell r="B1973" t="str">
            <v>Ebook - pdf</v>
          </cell>
          <cell r="C1973">
            <v>9781474466035</v>
          </cell>
        </row>
        <row r="1974">
          <cell r="A1974" t="str">
            <v>Republican Democracy: Liberty, Law and Politics</v>
          </cell>
          <cell r="B1974" t="str">
            <v>Ebook - pdf</v>
          </cell>
          <cell r="C1974">
            <v>9780748677597</v>
          </cell>
        </row>
        <row r="1975">
          <cell r="A1975" t="str">
            <v xml:space="preserve">Rereading Heterosexuality: Feminism, Queer Theory and Contemporary Fiction </v>
          </cell>
          <cell r="B1975" t="str">
            <v>Ebook - pdf</v>
          </cell>
          <cell r="C1975">
            <v>9780748649082</v>
          </cell>
        </row>
        <row r="1976">
          <cell r="A1976" t="str">
            <v>Rereading Orphanhood: Texts, Inheritance, Kin</v>
          </cell>
          <cell r="B1976" t="str">
            <v>Ebook - pdf</v>
          </cell>
          <cell r="C1976">
            <v>9781474464383</v>
          </cell>
        </row>
        <row r="1977">
          <cell r="A1977" t="str">
            <v>Research Methods for Creating and Curating Data in the Digital Humanities</v>
          </cell>
          <cell r="B1977" t="str">
            <v>Ebook - pdf</v>
          </cell>
          <cell r="C1977">
            <v>9781474409667</v>
          </cell>
        </row>
        <row r="1978">
          <cell r="A1978" t="str">
            <v>Research Methods for Cultural Studies</v>
          </cell>
          <cell r="B1978" t="str">
            <v>Ebook - pdf</v>
          </cell>
          <cell r="C1978">
            <v>9780748631193</v>
          </cell>
        </row>
        <row r="1979">
          <cell r="A1979" t="str">
            <v>Research Methods for English Studies</v>
          </cell>
          <cell r="B1979" t="str">
            <v>Ebook - pdf</v>
          </cell>
          <cell r="C1979">
            <v>9780748683444</v>
          </cell>
        </row>
        <row r="1980">
          <cell r="A1980" t="str">
            <v>Research Methods for History</v>
          </cell>
          <cell r="B1980" t="str">
            <v>Ebook - pdf</v>
          </cell>
          <cell r="C1980">
            <v>9781474408745</v>
          </cell>
        </row>
        <row r="1981">
          <cell r="A1981" t="str">
            <v>Research Methods for Law</v>
          </cell>
          <cell r="B1981" t="str">
            <v>Ebook - pdf</v>
          </cell>
          <cell r="C1981">
            <v>9781474404259</v>
          </cell>
        </row>
        <row r="1982">
          <cell r="A1982" t="str">
            <v>Research Methods for Memory Studies</v>
          </cell>
          <cell r="B1982" t="str">
            <v>Ebook - pdf</v>
          </cell>
          <cell r="C1982">
            <v>9780748683475</v>
          </cell>
        </row>
        <row r="1983">
          <cell r="A1983" t="str">
            <v>Research Methods for Reading Digital Data in the Digital Humanities</v>
          </cell>
          <cell r="B1983" t="str">
            <v>Ebook - pdf</v>
          </cell>
          <cell r="C1983">
            <v>9781474409629</v>
          </cell>
        </row>
        <row r="1984">
          <cell r="A1984" t="str">
            <v>Research Methods in Theatre and Performance</v>
          </cell>
          <cell r="B1984" t="str">
            <v>Ebook - pdf</v>
          </cell>
          <cell r="C1984">
            <v>9780748646081</v>
          </cell>
        </row>
        <row r="1985">
          <cell r="A1985" t="str">
            <v>Researching the Middle East: Cultural, Conceptual, Theoretical and Practical Issues</v>
          </cell>
          <cell r="B1985" t="str">
            <v>Ebook - pdf</v>
          </cell>
          <cell r="C1985">
            <v>9781474440325</v>
          </cell>
        </row>
        <row r="1986">
          <cell r="A1986" t="str">
            <v>Resistance and Psychoanalysis: Impossible Divisions</v>
          </cell>
          <cell r="B1986" t="str">
            <v>Ebook - pdf</v>
          </cell>
          <cell r="C1986">
            <v>9781474429627</v>
          </cell>
        </row>
        <row r="1987">
          <cell r="A1987" t="str">
            <v>Resisting Militarism: Direct Action and the Politics of Subversion</v>
          </cell>
          <cell r="B1987" t="str">
            <v>Ebook - pdf</v>
          </cell>
          <cell r="C1987">
            <v>9781474443050</v>
          </cell>
        </row>
        <row r="1988">
          <cell r="A1988" t="str">
            <v>Restitution and the Politics of Repair: Tropes, Imaginaries, Theory</v>
          </cell>
          <cell r="B1988" t="str">
            <v>Ebook - pdf</v>
          </cell>
          <cell r="C1988">
            <v>9781474453110</v>
          </cell>
        </row>
        <row r="1989">
          <cell r="A1989" t="str">
            <v>Retheorising Statelessness: A Background Theory of Membership in World Politics</v>
          </cell>
          <cell r="B1989" t="str">
            <v>Ebook - pdf</v>
          </cell>
          <cell r="C1989">
            <v>9780748669066</v>
          </cell>
        </row>
        <row r="1990">
          <cell r="A1990" t="str">
            <v>Rethinking Brechtian Film Theory and Cinema</v>
          </cell>
          <cell r="B1990" t="str">
            <v>Ebook - pdf</v>
          </cell>
          <cell r="C1990">
            <v>9781474418911</v>
          </cell>
        </row>
        <row r="1991">
          <cell r="A1991" t="str">
            <v>Rethinking Humanitarian Intervention in the 21st Century</v>
          </cell>
          <cell r="B1991" t="str">
            <v>Ebook - pdf</v>
          </cell>
          <cell r="C1991">
            <v>9781474423823</v>
          </cell>
        </row>
        <row r="1992">
          <cell r="A1992" t="str">
            <v>Rethinking Islam in the Contemporary World</v>
          </cell>
          <cell r="B1992" t="str">
            <v>Ebook - pdf</v>
          </cell>
          <cell r="C1992">
            <v>9781474468084</v>
          </cell>
        </row>
        <row r="1993">
          <cell r="A1993" t="str">
            <v>Rethinking Language Policy</v>
          </cell>
          <cell r="B1993" t="str">
            <v>Ebook - pdf</v>
          </cell>
          <cell r="C1993">
            <v>9781474485487</v>
          </cell>
        </row>
        <row r="1994">
          <cell r="A1994" t="str">
            <v>Rethinking Morphology</v>
          </cell>
          <cell r="B1994" t="str">
            <v>Ebook - pdf</v>
          </cell>
          <cell r="C1994">
            <v>9781474436175</v>
          </cell>
        </row>
        <row r="1995">
          <cell r="A1995" t="str">
            <v>Rethinking Political Judgement: Arendt and Existentialism</v>
          </cell>
          <cell r="B1995" t="str">
            <v>Ebook - pdf</v>
          </cell>
          <cell r="C1995">
            <v>9781474437158</v>
          </cell>
        </row>
        <row r="1996">
          <cell r="A1996" t="str">
            <v>Rethinking Shakespeare's Political Philosophy: From Lear to Leviathan</v>
          </cell>
          <cell r="B1996" t="str">
            <v>Ebook - pdf</v>
          </cell>
          <cell r="C1996">
            <v>9780748682423</v>
          </cell>
        </row>
        <row r="1997">
          <cell r="A1997" t="str">
            <v>Rethinking the Hollywood Teen Movie: Gender, Genre and Identity</v>
          </cell>
          <cell r="B1997" t="str">
            <v>Ebook - pdf</v>
          </cell>
          <cell r="C1997">
            <v>9781474413107</v>
          </cell>
        </row>
        <row r="1998">
          <cell r="A1998" t="str">
            <v>Rethinking Whitehead’s Symbolism: Thought, Language, Culture</v>
          </cell>
          <cell r="B1998" t="str">
            <v>Ebook - pdf</v>
          </cell>
          <cell r="C1998">
            <v>9781474429580</v>
          </cell>
        </row>
        <row r="1999">
          <cell r="A1999" t="str">
            <v>Return Statements: The Return of Religion in Contemporary Philosophy</v>
          </cell>
          <cell r="B1999" t="str">
            <v>Ebook - pdf</v>
          </cell>
          <cell r="C1999">
            <v>9781474413923</v>
          </cell>
        </row>
        <row r="2000">
          <cell r="A2000" t="str">
            <v>Returning to Revolution: Deleuze, Guattari and Zapatismo</v>
          </cell>
          <cell r="B2000" t="str">
            <v>Ebook - pdf</v>
          </cell>
          <cell r="C2000">
            <v>9780748655878</v>
          </cell>
        </row>
        <row r="2001">
          <cell r="A2001" t="str">
            <v>Revenge and Gender in Classical, Medieval, and Renaissance Literature</v>
          </cell>
          <cell r="B2001" t="str">
            <v>Ebook - pdf</v>
          </cell>
          <cell r="C2001">
            <v>9781474414104</v>
          </cell>
        </row>
        <row r="2002">
          <cell r="A2002" t="str">
            <v>Revenge Tragedy and Classical Philosophy on the Early Modern Stage</v>
          </cell>
          <cell r="B2002" t="str">
            <v>Ebook - pdf</v>
          </cell>
          <cell r="C2002">
            <v>9781474440288</v>
          </cell>
        </row>
        <row r="2003">
          <cell r="A2003" t="str">
            <v>Revenue Law Essentials</v>
          </cell>
          <cell r="B2003" t="str">
            <v>Ebook - pdf</v>
          </cell>
          <cell r="C2003">
            <v>9780748697847</v>
          </cell>
        </row>
        <row r="2004">
          <cell r="A2004" t="str">
            <v>Reverberations of Revolution: Transnational Perspectives, 1770-1850</v>
          </cell>
          <cell r="B2004" t="str">
            <v>Ebook - pdf</v>
          </cell>
          <cell r="C2004">
            <v>9781474481601</v>
          </cell>
        </row>
        <row r="2005">
          <cell r="A2005" t="str">
            <v>Revisiting Star Studies: Cultures, Themes and Methods</v>
          </cell>
          <cell r="B2005" t="str">
            <v>Ebook - pdf</v>
          </cell>
          <cell r="C2005">
            <v>9781474404327</v>
          </cell>
        </row>
        <row r="2006">
          <cell r="A2006" t="str">
            <v>Revolution or Evolution? The 2007 Scottish Elections</v>
          </cell>
          <cell r="B2006" t="str">
            <v>Ebook - pdf</v>
          </cell>
          <cell r="C2006">
            <v>9780748642151</v>
          </cell>
        </row>
        <row r="2007">
          <cell r="A2007" t="str">
            <v>Rhythm and Critique: Technics, Modalities, Practices</v>
          </cell>
          <cell r="B2007" t="str">
            <v>Ebook - pdf</v>
          </cell>
          <cell r="C2007">
            <v>9781474447560</v>
          </cell>
        </row>
        <row r="2008">
          <cell r="A2008" t="str">
            <v>Richard Jefferies, After London; or Wild England</v>
          </cell>
          <cell r="B2008" t="str">
            <v>Ebook - pdf</v>
          </cell>
          <cell r="C2008">
            <v>9781474402408</v>
          </cell>
        </row>
        <row r="2009">
          <cell r="A2009" t="str">
            <v>Richard the Lionheart</v>
          </cell>
          <cell r="B2009" t="str">
            <v>Ebook - pdf</v>
          </cell>
          <cell r="C2009">
            <v>9781474468220</v>
          </cell>
        </row>
        <row r="2010">
          <cell r="A2010" t="str">
            <v>Rights of Personality in Scots Law: A Comparative Perspective</v>
          </cell>
          <cell r="B2010" t="str">
            <v>Ebook - pdf</v>
          </cell>
          <cell r="C2010">
            <v>9780748699544</v>
          </cell>
        </row>
        <row r="2011">
          <cell r="A2011" t="str">
            <v>Risk Management for Islamic Banks</v>
          </cell>
          <cell r="B2011" t="str">
            <v>Ebook - pdf</v>
          </cell>
          <cell r="C2011">
            <v>9780748670093</v>
          </cell>
        </row>
        <row r="2012">
          <cell r="A2012" t="str">
            <v>Rituals of Islamic Monarchy: Accession and Succession in the First Muslim Empire</v>
          </cell>
          <cell r="B2012" t="str">
            <v>Ebook - pdf</v>
          </cell>
          <cell r="C2012">
            <v>9780748630776</v>
          </cell>
        </row>
        <row r="2013">
          <cell r="A2013" t="str">
            <v>Rob Roy</v>
          </cell>
          <cell r="B2013" t="str">
            <v>Ebook - pdf</v>
          </cell>
          <cell r="C2013">
            <v>9780748628384</v>
          </cell>
        </row>
        <row r="2014">
          <cell r="A2014" t="str">
            <v>Robert Bruce: And the Community of the Realm of Scotland: An Edinburgh Classic Edition</v>
          </cell>
          <cell r="B2014" t="str">
            <v>Ebook - pdf</v>
          </cell>
          <cell r="C2014">
            <v>9780748693979</v>
          </cell>
        </row>
        <row r="2015">
          <cell r="A2015" t="str">
            <v>Robert Louis Stevenson and the Art of Collaboration</v>
          </cell>
          <cell r="B2015" t="str">
            <v>Ebook - pdf</v>
          </cell>
          <cell r="C2015">
            <v>9781474452007</v>
          </cell>
        </row>
        <row r="2016">
          <cell r="A2016" t="str">
            <v>Roberto Esposito: New Directions in Biophilosophy</v>
          </cell>
          <cell r="B2016" t="str">
            <v>Ebook - pdf</v>
          </cell>
          <cell r="C2016">
            <v>9781474480369</v>
          </cell>
        </row>
        <row r="2017">
          <cell r="A2017" t="str">
            <v>Roland Barthes, Phenomenon and Myth: An Intellectual Biography</v>
          </cell>
          <cell r="B2017" t="str">
            <v>Ebook - pdf</v>
          </cell>
          <cell r="C2017">
            <v>9780585123332</v>
          </cell>
        </row>
        <row r="2018">
          <cell r="A2018" t="str">
            <v>Roland Penrose: The Life of a Surrealist</v>
          </cell>
          <cell r="B2018" t="str">
            <v>Ebook - pdf</v>
          </cell>
          <cell r="C2018">
            <v>9781474414517</v>
          </cell>
        </row>
        <row r="2019">
          <cell r="A2019" t="str">
            <v>Roman Imperialism</v>
          </cell>
          <cell r="B2019" t="str">
            <v>Ebook - pdf</v>
          </cell>
          <cell r="C2019">
            <v>9780748629053</v>
          </cell>
        </row>
        <row r="2020">
          <cell r="A2020" t="str">
            <v>Roman Law before the Twelve Tables: An Interdisciplinary Approach</v>
          </cell>
          <cell r="B2020" t="str">
            <v>Ebook - pdf</v>
          </cell>
          <cell r="C2020">
            <v>9781474443982</v>
          </cell>
        </row>
        <row r="2021">
          <cell r="A2021" t="str">
            <v>Roman Law Essentials</v>
          </cell>
          <cell r="B2021" t="str">
            <v>Ebook - pdf</v>
          </cell>
          <cell r="C2021">
            <v>9781474425094</v>
          </cell>
        </row>
        <row r="2022">
          <cell r="A2022" t="str">
            <v>Roman Law for Scots Law Students</v>
          </cell>
          <cell r="B2022" t="str">
            <v>Ebook - pdf</v>
          </cell>
          <cell r="C2022">
            <v>9781474450201</v>
          </cell>
        </row>
        <row r="2023">
          <cell r="A2023" t="str">
            <v>Roman Law, Scots Law and Legal History: Selected Essays</v>
          </cell>
          <cell r="B2023" t="str">
            <v>Ebook - pdf</v>
          </cell>
          <cell r="C2023">
            <v>9781474468572</v>
          </cell>
        </row>
        <row r="2024">
          <cell r="A2024" t="str">
            <v>Romani in Britain: The Afterlife of a Language</v>
          </cell>
          <cell r="B2024" t="str">
            <v>Ebook - pdf</v>
          </cell>
          <cell r="C2024">
            <v>9780748643691</v>
          </cell>
        </row>
        <row r="2025">
          <cell r="A2025" t="str">
            <v>Romantic Gothic: An Edinburgh Companion</v>
          </cell>
          <cell r="B2025" t="str">
            <v>Ebook - pdf</v>
          </cell>
          <cell r="C2025">
            <v>9780748696758</v>
          </cell>
        </row>
        <row r="2026">
          <cell r="A2026" t="str">
            <v>Romantic Literature and Postcolonial Studies</v>
          </cell>
          <cell r="B2026" t="str">
            <v>Ebook - pdf</v>
          </cell>
          <cell r="C2026">
            <v>9780748678747</v>
          </cell>
        </row>
        <row r="2027">
          <cell r="A2027" t="str">
            <v>Romantic Masculinities: News From Nowhere Vol.2</v>
          </cell>
          <cell r="B2027" t="str">
            <v>Ebook - pdf</v>
          </cell>
          <cell r="C2027">
            <v>9781474471664</v>
          </cell>
        </row>
        <row r="2028">
          <cell r="A2028" t="str">
            <v>Romantic Periodicals in the Twenty-First Century: Eleven Case Studies from Blackwood's Edinburgh Magazine</v>
          </cell>
          <cell r="B2028" t="str">
            <v>Ebook - pdf</v>
          </cell>
          <cell r="C2028">
            <v>9781474448147</v>
          </cell>
        </row>
        <row r="2029">
          <cell r="A2029" t="str">
            <v>Romantic Realities: Speculative Realism and British Romanticism</v>
          </cell>
          <cell r="B2029" t="str">
            <v>Ebook - pdf</v>
          </cell>
          <cell r="C2029">
            <v>9780748691425</v>
          </cell>
        </row>
        <row r="2030">
          <cell r="A2030" t="str">
            <v>Romanticism : Theory : Gender: News From Nowhere 1</v>
          </cell>
          <cell r="B2030" t="str">
            <v>Ebook - pdf</v>
          </cell>
          <cell r="C2030">
            <v>9781474471671</v>
          </cell>
        </row>
        <row r="2031">
          <cell r="A2031" t="str">
            <v>Romantics and Modernists in British Cinema</v>
          </cell>
          <cell r="B2031" t="str">
            <v>Ebook - pdf</v>
          </cell>
          <cell r="C2031">
            <v>9780748642304</v>
          </cell>
        </row>
        <row r="2032">
          <cell r="A2032" t="str">
            <v>Rome and its Empire, AD 193-284</v>
          </cell>
          <cell r="B2032" t="str">
            <v>Ebook - pdf</v>
          </cell>
          <cell r="C2032">
            <v>9780748629923</v>
          </cell>
        </row>
        <row r="2033">
          <cell r="A2033" t="str">
            <v>Rome and the Mediterranean 290 to 146 BC: The Imperial Republic</v>
          </cell>
          <cell r="B2033" t="str">
            <v>Ebook - pdf</v>
          </cell>
          <cell r="C2033">
            <v>9780748629992</v>
          </cell>
        </row>
        <row r="2034">
          <cell r="A2034" t="str">
            <v>Rome in Late Antiquity: Everyday Life and Urban Change, AD 312-609</v>
          </cell>
          <cell r="B2034" t="str">
            <v>Ebook - pdf</v>
          </cell>
          <cell r="C2034">
            <v>9781474469975</v>
          </cell>
        </row>
        <row r="2035">
          <cell r="A2035" t="str">
            <v>Rome Season Two: Trial and Triumph</v>
          </cell>
          <cell r="B2035" t="str">
            <v>Ebook - pdf</v>
          </cell>
          <cell r="C2035">
            <v>9781474400282</v>
          </cell>
        </row>
        <row r="2036">
          <cell r="A2036" t="str">
            <v>Ronald Dworkin</v>
          </cell>
          <cell r="B2036" t="str">
            <v>Ebook - pdf</v>
          </cell>
          <cell r="C2036">
            <v>9780585121857</v>
          </cell>
        </row>
        <row r="2037">
          <cell r="A2037" t="str">
            <v>Roomscape: Women Writers in the British Museum from George Eliot to Virginia Woolf</v>
          </cell>
          <cell r="B2037" t="str">
            <v>Ebook - pdf</v>
          </cell>
          <cell r="C2037">
            <v>9780748681617</v>
          </cell>
        </row>
        <row r="2038">
          <cell r="A2038" t="str">
            <v>Rudyard Kipling's Fiction: Mapping Psychic Spaces</v>
          </cell>
          <cell r="B2038" t="str">
            <v>Ebook - pdf</v>
          </cell>
          <cell r="C2038">
            <v>9780748698561</v>
          </cell>
        </row>
        <row r="2039">
          <cell r="A2039" t="str">
            <v>Ruler Visibility and Popular Belonging in the Ottoman Empire, 1808-1908</v>
          </cell>
          <cell r="B2039" t="str">
            <v>Ebook - pdf</v>
          </cell>
          <cell r="C2039">
            <v>9781474441438</v>
          </cell>
        </row>
        <row r="2040">
          <cell r="A2040" t="str">
            <v>Rum Seljuq Architecture, 1170-1220: The Patronage of Sultans</v>
          </cell>
          <cell r="B2040" t="str">
            <v>Ebook - pdf</v>
          </cell>
          <cell r="C2040">
            <v>9781474417488</v>
          </cell>
        </row>
        <row r="2041">
          <cell r="A2041" t="str">
            <v>Rural Modernity in Britain: A Critical Intervention</v>
          </cell>
          <cell r="B2041" t="str">
            <v>Ebook - pdf</v>
          </cell>
          <cell r="C2041">
            <v>9781474420969</v>
          </cell>
        </row>
        <row r="2042">
          <cell r="A2042" t="str">
            <v>Russia Before and After Crimea: Nationalism and Identity, 2010–17</v>
          </cell>
          <cell r="B2042" t="str">
            <v>Ebook - pdf</v>
          </cell>
          <cell r="C2042">
            <v>9781474433877</v>
          </cell>
        </row>
        <row r="2043">
          <cell r="A2043" t="str">
            <v>Russia’s New Authoritarianism: Putin and the Politics of Order</v>
          </cell>
          <cell r="B2043" t="str">
            <v>Ebook - pdf</v>
          </cell>
          <cell r="C2043">
            <v>9781474454780</v>
          </cell>
        </row>
        <row r="2044">
          <cell r="A2044" t="str">
            <v>Russian Futurist Theatre: Theory and Practice</v>
          </cell>
          <cell r="B2044" t="str">
            <v>Ebook - pdf</v>
          </cell>
          <cell r="C2044">
            <v>9781474402453</v>
          </cell>
        </row>
        <row r="2045">
          <cell r="A2045" t="str">
            <v>Russian-speakers in post-Soviet Latvia: Discursive Identity Strategies</v>
          </cell>
          <cell r="B2045" t="str">
            <v>Ebook - pdf</v>
          </cell>
          <cell r="C2045">
            <v>9780748697441</v>
          </cell>
        </row>
        <row r="2046">
          <cell r="A2046" t="str">
            <v>Ruth Davidson's Conservatives: The Scottish Tory Party, 2011-19</v>
          </cell>
          <cell r="B2046" t="str">
            <v>Ebook - pdf</v>
          </cell>
          <cell r="C2046">
            <v>9781474455640</v>
          </cell>
        </row>
        <row r="2047">
          <cell r="A2047" t="str">
            <v>Rwanda and the Moral Obligation of Humanitarian Intervention</v>
          </cell>
          <cell r="B2047" t="str">
            <v>Ebook - pdf</v>
          </cell>
          <cell r="C2047">
            <v>9780748644599</v>
          </cell>
        </row>
        <row r="2048">
          <cell r="A2048" t="str">
            <v>Sacred Place and Sacred Time in the Medieval Islamic Middle East: A Historical Perspective</v>
          </cell>
          <cell r="B2048" t="str">
            <v>Ebook - pdf</v>
          </cell>
          <cell r="C2048">
            <v>9781474460996</v>
          </cell>
        </row>
        <row r="2049">
          <cell r="A2049" t="str">
            <v>Saint Ronan's Well</v>
          </cell>
          <cell r="B2049" t="str">
            <v>Ebook - pdf</v>
          </cell>
          <cell r="C2049">
            <v>9781474433020</v>
          </cell>
        </row>
        <row r="2050">
          <cell r="A2050" t="str">
            <v>Salafi Social and Political Movements: National and Transnational Contexts</v>
          </cell>
          <cell r="B2050" t="str">
            <v>Ebook - pdf</v>
          </cell>
          <cell r="C2050">
            <v>9781474479158</v>
          </cell>
        </row>
        <row r="2051">
          <cell r="A2051" t="str">
            <v>Salt and Olives: Morality and Custom in Ancient Greece</v>
          </cell>
          <cell r="B2051" t="str">
            <v>Ebook - pdf</v>
          </cell>
          <cell r="C2051">
            <v>9781474467742</v>
          </cell>
        </row>
        <row r="2052">
          <cell r="A2052" t="str">
            <v>Samuel Beckett and Technology</v>
          </cell>
          <cell r="B2052" t="str">
            <v>Ebook - pdf</v>
          </cell>
          <cell r="C2052">
            <v>9781474463300</v>
          </cell>
        </row>
        <row r="2053">
          <cell r="A2053" t="str">
            <v>Samuel Beckett and the Terror of Literature</v>
          </cell>
          <cell r="B2053" t="str">
            <v>Ebook - pdf</v>
          </cell>
          <cell r="C2053">
            <v>9781474419017</v>
          </cell>
        </row>
        <row r="2054">
          <cell r="A2054" t="str">
            <v>Samuel Beckett and Translation</v>
          </cell>
          <cell r="B2054" t="str">
            <v>Ebook - pdf</v>
          </cell>
          <cell r="C2054">
            <v>9781474483841</v>
          </cell>
        </row>
        <row r="2055">
          <cell r="A2055" t="str">
            <v>Samuel Beckett: Laughing Matters, Comic Timing</v>
          </cell>
          <cell r="B2055" t="str">
            <v>Ebook - pdf</v>
          </cell>
          <cell r="C2055">
            <v>9780748647491</v>
          </cell>
        </row>
        <row r="2056">
          <cell r="A2056" t="str">
            <v>Samuel Beckett's How It Is: Philosophy in Translation</v>
          </cell>
          <cell r="B2056" t="str">
            <v>Ebook - pdf</v>
          </cell>
          <cell r="C2056">
            <v>9781474440622</v>
          </cell>
        </row>
        <row r="2057">
          <cell r="A2057" t="str">
            <v>Sapphism on Screen: Lesbian Desire in French and Francophone Cinema</v>
          </cell>
          <cell r="B2057" t="str">
            <v>Ebook - pdf</v>
          </cell>
          <cell r="C2057">
            <v>9780748626632</v>
          </cell>
        </row>
        <row r="2058">
          <cell r="A2058" t="str">
            <v>Sasanian Persia: Between Rome and the Steppes of Eurasia</v>
          </cell>
          <cell r="B2058" t="str">
            <v>Ebook - pdf</v>
          </cell>
          <cell r="C2058">
            <v>9781474401029</v>
          </cell>
        </row>
        <row r="2059">
          <cell r="A2059" t="str">
            <v>Saussure and his Interpreters</v>
          </cell>
          <cell r="B2059" t="str">
            <v>Ebook - pdf</v>
          </cell>
          <cell r="C2059">
            <v>9781474468848</v>
          </cell>
        </row>
        <row r="2060">
          <cell r="A2060" t="str">
            <v>Sayfo - An Account of the Assyrian Genocide</v>
          </cell>
          <cell r="B2060" t="str">
            <v>Ebook - pdf</v>
          </cell>
          <cell r="C2060">
            <v>9781474447522</v>
          </cell>
        </row>
        <row r="2061">
          <cell r="A2061" t="str">
            <v>Scandalous Knowledge: Science, Truth and the Human</v>
          </cell>
          <cell r="B2061" t="str">
            <v>Ebook - pdf</v>
          </cell>
          <cell r="C2061">
            <v>9780748626342</v>
          </cell>
        </row>
        <row r="2062">
          <cell r="A2062" t="str">
            <v>Scenes from the Suburbs: The Suburb in Contemporary US Film and Television</v>
          </cell>
          <cell r="B2062" t="str">
            <v>Ebook - pdf</v>
          </cell>
          <cell r="C2062">
            <v>9780748691678</v>
          </cell>
        </row>
        <row r="2063">
          <cell r="A2063" t="str">
            <v>Schelling's Naturalism: Space, Motion and the Volition of Thought</v>
          </cell>
          <cell r="B2063" t="str">
            <v>Ebook - pdf</v>
          </cell>
          <cell r="C2063">
            <v>9781474438193</v>
          </cell>
        </row>
        <row r="2064">
          <cell r="A2064" t="str">
            <v>Schelling's Ontology of Powers</v>
          </cell>
          <cell r="B2064" t="str">
            <v>Ebook - pdf</v>
          </cell>
          <cell r="C2064">
            <v>9781474451307</v>
          </cell>
        </row>
        <row r="2065">
          <cell r="A2065" t="str">
            <v>Scheming: A Social History of Glasgow Council Housing, 1919-1956</v>
          </cell>
          <cell r="B2065" t="str">
            <v>Ebook - pdf</v>
          </cell>
          <cell r="C2065">
            <v>9781474440585</v>
          </cell>
        </row>
        <row r="2066">
          <cell r="A2066" t="str">
            <v>Schreber’s Law: Jurisprudence and Judgment in Transition</v>
          </cell>
          <cell r="B2066" t="str">
            <v>Ebook - pdf</v>
          </cell>
          <cell r="C2066">
            <v>9781474426589</v>
          </cell>
        </row>
        <row r="2067">
          <cell r="A2067" t="str">
            <v>Science Fiction Cinema: Between Fantasy and Reality</v>
          </cell>
          <cell r="B2067" t="str">
            <v>Ebook - pdf</v>
          </cell>
          <cell r="C2067">
            <v>9780748628704</v>
          </cell>
        </row>
        <row r="2068">
          <cell r="A2068" t="str">
            <v>Scotland After the Ice Age: Environment, Archaeology and History 8000 BC - AD 1000</v>
          </cell>
          <cell r="B2068" t="str">
            <v>Ebook - pdf</v>
          </cell>
          <cell r="C2068">
            <v>9781474467995</v>
          </cell>
        </row>
        <row r="2069">
          <cell r="A2069" t="str">
            <v>Scotland and the Abolition of Black Slavery, 1756-1838</v>
          </cell>
          <cell r="B2069" t="str">
            <v>Ebook - pdf</v>
          </cell>
          <cell r="C2069">
            <v>9780748626991</v>
          </cell>
        </row>
        <row r="2070">
          <cell r="A2070" t="str">
            <v>Scotland and the French Revolutionary War, 1792-1802</v>
          </cell>
          <cell r="B2070" t="str">
            <v>Ebook - pdf</v>
          </cell>
          <cell r="C2070">
            <v>9781474403320</v>
          </cell>
        </row>
        <row r="2071">
          <cell r="A2071" t="str">
            <v>Scotland and the Union 1707-2007</v>
          </cell>
          <cell r="B2071" t="str">
            <v>Ebook - pdf</v>
          </cell>
          <cell r="C2071">
            <v>9780748635436</v>
          </cell>
        </row>
        <row r="2072">
          <cell r="A2072" t="str">
            <v>Scotland and the Union: Hume Papers on Public Policy 2.2</v>
          </cell>
          <cell r="B2072" t="str">
            <v>Ebook - pdf</v>
          </cell>
          <cell r="C2072">
            <v>9781474470612</v>
          </cell>
        </row>
        <row r="2073">
          <cell r="A2073" t="str">
            <v>Scotland in Revolution, 1685–1690</v>
          </cell>
          <cell r="B2073" t="str">
            <v>Ebook - pdf</v>
          </cell>
          <cell r="C2073">
            <v>9781474471848</v>
          </cell>
        </row>
        <row r="2074">
          <cell r="A2074" t="str">
            <v>Scotland in the Age of Improvement</v>
          </cell>
          <cell r="B2074" t="str">
            <v>Ebook - pdf</v>
          </cell>
          <cell r="C2074">
            <v>9780585060859</v>
          </cell>
        </row>
        <row r="2075">
          <cell r="A2075" t="str">
            <v>Scotland Re-formed, 1488-1587</v>
          </cell>
          <cell r="B2075" t="str">
            <v>Ebook - pdf</v>
          </cell>
          <cell r="C2075">
            <v>9780748628445</v>
          </cell>
        </row>
        <row r="2076">
          <cell r="A2076" t="str">
            <v>Scotland The Making and Unmaking of the Nation c.1100-1707: Volumes 1-5</v>
          </cell>
          <cell r="B2076" t="str">
            <v>Ebook - pdf</v>
          </cell>
          <cell r="C2076">
            <v>9781474468855</v>
          </cell>
        </row>
        <row r="2077">
          <cell r="A2077" t="str">
            <v>Scotland, Darien and the Atlantic World, 1698-1700</v>
          </cell>
          <cell r="B2077" t="str">
            <v>Ebook - pdf</v>
          </cell>
          <cell r="C2077">
            <v>9781474427555</v>
          </cell>
        </row>
        <row r="2078">
          <cell r="A2078" t="str">
            <v>Scotland: Archaeology and Early History: A General Introduction</v>
          </cell>
          <cell r="B2078" t="str">
            <v>Ebook - pdf</v>
          </cell>
          <cell r="C2078">
            <v>9781474472043</v>
          </cell>
        </row>
        <row r="2079">
          <cell r="A2079" t="str">
            <v>Scotland: Global Cinema: Genres, Modes and Identities</v>
          </cell>
          <cell r="B2079" t="str">
            <v>Ebook - pdf</v>
          </cell>
          <cell r="C2079">
            <v>9780748633937</v>
          </cell>
        </row>
        <row r="2080">
          <cell r="A2080" t="str">
            <v>Scotland: The Making and Unmaking of the Nation c.1100-1707: Volume 1:The Scottish Nation: Origins to c. 1500</v>
          </cell>
          <cell r="B2080" t="str">
            <v>Ebook - pdf</v>
          </cell>
          <cell r="C2080">
            <v>9780748699582</v>
          </cell>
        </row>
        <row r="2081">
          <cell r="A2081" t="str">
            <v>Scotland: The Making and Unmaking of the Nation c.1100-1707: Volume 1:The Scottish Nation: Origins to c. 1500</v>
          </cell>
          <cell r="B2081" t="str">
            <v>Ebook - pdf</v>
          </cell>
          <cell r="C2081">
            <v>9781474468862</v>
          </cell>
        </row>
        <row r="2082">
          <cell r="A2082" t="str">
            <v>Scotland: The Making and Unmaking of the Nation c.1100-1707: Volume 2 Early Modern Scotland: c.1500-1707</v>
          </cell>
          <cell r="B2082" t="str">
            <v>Ebook - pdf</v>
          </cell>
          <cell r="C2082">
            <v>9781474468879</v>
          </cell>
        </row>
        <row r="2083">
          <cell r="A2083" t="str">
            <v>Scotland: The Making and Unmaking of the Nation c.1100-1707: Volume 3 Readings, c1100-1500</v>
          </cell>
          <cell r="B2083" t="str">
            <v>Ebook - pdf</v>
          </cell>
          <cell r="C2083">
            <v>9781474468886</v>
          </cell>
        </row>
        <row r="2084">
          <cell r="A2084" t="str">
            <v>Scotland: The Making and Unmaking of the Nation c.1100-1707: Volume 4 Readings: c.1500-1707</v>
          </cell>
          <cell r="B2084" t="str">
            <v>Ebook - pdf</v>
          </cell>
          <cell r="C2084">
            <v>9781474468893</v>
          </cell>
        </row>
        <row r="2085">
          <cell r="A2085" t="str">
            <v>Scotland: The Making and Unmaking of the Nation: Volume 5 Major Documents</v>
          </cell>
          <cell r="B2085" t="str">
            <v>Ebook - pdf</v>
          </cell>
          <cell r="C2085">
            <v>9780748699629</v>
          </cell>
        </row>
        <row r="2086">
          <cell r="A2086" t="str">
            <v>Scotland’s Choices: The Referendum and What Happens Afterwards</v>
          </cell>
          <cell r="B2086" t="str">
            <v>Ebook - pdf</v>
          </cell>
          <cell r="C2086">
            <v>9780748696390</v>
          </cell>
        </row>
        <row r="2087">
          <cell r="A2087" t="str">
            <v>Scotland’s Foreshore: Public Rights, Private Rights and the Crown 1840 - 2017</v>
          </cell>
          <cell r="B2087" t="str">
            <v>Ebook - pdf</v>
          </cell>
          <cell r="C2087">
            <v>9781474436939</v>
          </cell>
        </row>
        <row r="2088">
          <cell r="A2088" t="str">
            <v>Scotland's Best Churches</v>
          </cell>
          <cell r="B2088" t="str">
            <v>Ebook - pdf</v>
          </cell>
          <cell r="C2088">
            <v>9781474469364</v>
          </cell>
        </row>
        <row r="2089">
          <cell r="A2089" t="str">
            <v>Scotland's Landscape: Endangered Icon</v>
          </cell>
          <cell r="B2089" t="str">
            <v>Ebook - pdf</v>
          </cell>
          <cell r="C2089">
            <v>9780585441771</v>
          </cell>
        </row>
        <row r="2090">
          <cell r="A2090" t="str">
            <v>Scotland's Muslims: Society, Politics and Identity</v>
          </cell>
          <cell r="B2090" t="str">
            <v>Ebook - pdf</v>
          </cell>
          <cell r="C2090">
            <v>9781474427258</v>
          </cell>
        </row>
        <row r="2091">
          <cell r="A2091" t="str">
            <v>Scotland's Referendum and the Media: National and International Perspectives</v>
          </cell>
          <cell r="B2091" t="str">
            <v>Ebook - pdf</v>
          </cell>
          <cell r="C2091">
            <v>9780748696604</v>
          </cell>
        </row>
        <row r="2092">
          <cell r="A2092" t="str">
            <v>Scots and the Spanish Civil War: Solidarity, Activism and Humanitarianism</v>
          </cell>
          <cell r="B2092" t="str">
            <v>Ebook - pdf</v>
          </cell>
          <cell r="C2092">
            <v>9781474459495</v>
          </cell>
        </row>
        <row r="2093">
          <cell r="A2093" t="str">
            <v>Scots at School: An Anthology</v>
          </cell>
          <cell r="B2093" t="str">
            <v>Ebook - pdf</v>
          </cell>
          <cell r="C2093">
            <v>9781474471374</v>
          </cell>
        </row>
        <row r="2094">
          <cell r="A2094" t="str">
            <v>Scots Commercial Law</v>
          </cell>
          <cell r="B2094" t="str">
            <v>Ebook - pdf</v>
          </cell>
          <cell r="C2094">
            <v>9781474475501</v>
          </cell>
        </row>
        <row r="2095">
          <cell r="A2095" t="str">
            <v>Scots Criminal Law: A Critical Analysis</v>
          </cell>
          <cell r="B2095" t="str">
            <v>Ebook - pdf</v>
          </cell>
          <cell r="C2095">
            <v>9780748695812</v>
          </cell>
        </row>
        <row r="2096">
          <cell r="A2096" t="str">
            <v>Scots Law for Students: An Introduction</v>
          </cell>
          <cell r="B2096" t="str">
            <v>Ebook - pdf</v>
          </cell>
          <cell r="C2096">
            <v>9780748699506</v>
          </cell>
        </row>
        <row r="2097">
          <cell r="A2097" t="str">
            <v>Scots Law Tales</v>
          </cell>
          <cell r="B2097" t="str">
            <v>Ebook - pdf</v>
          </cell>
          <cell r="C2097">
            <v>9780748698530</v>
          </cell>
        </row>
        <row r="2098">
          <cell r="A2098" t="str">
            <v>Scottish Administrative Law Essentials</v>
          </cell>
          <cell r="B2098" t="str">
            <v>Ebook - pdf</v>
          </cell>
          <cell r="C2098">
            <v>9780748698479</v>
          </cell>
        </row>
        <row r="2099">
          <cell r="A2099" t="str">
            <v>Scottish Arbitration Handbook: A Practitioner’s Guide</v>
          </cell>
          <cell r="B2099" t="str">
            <v>Ebook - pdf</v>
          </cell>
          <cell r="C2099">
            <v>9781474482776</v>
          </cell>
        </row>
        <row r="2100">
          <cell r="A2100" t="str">
            <v>Scottish Coal Miners in the Twentieth Century</v>
          </cell>
          <cell r="B2100" t="str">
            <v>Ebook - pdf</v>
          </cell>
          <cell r="C2100">
            <v>9781474452335</v>
          </cell>
        </row>
        <row r="2101">
          <cell r="A2101" t="str">
            <v>Scottish Colonial Literature: Writing the Atlantic, 1603-1707</v>
          </cell>
          <cell r="B2101" t="str">
            <v>Ebook - pdf</v>
          </cell>
          <cell r="C2101">
            <v>9781474464024</v>
          </cell>
        </row>
        <row r="2102">
          <cell r="A2102" t="str">
            <v>Scottish Contract Law Essentials</v>
          </cell>
          <cell r="B2102" t="str">
            <v>Ebook - pdf</v>
          </cell>
          <cell r="C2102">
            <v>9781474405928</v>
          </cell>
        </row>
        <row r="2103">
          <cell r="A2103" t="str">
            <v>Scottish Country Houses, 1600-1914</v>
          </cell>
          <cell r="B2103" t="str">
            <v>Ebook - pdf</v>
          </cell>
          <cell r="C2103">
            <v>9781474468602</v>
          </cell>
        </row>
        <row r="2104">
          <cell r="A2104" t="str">
            <v>Scottish Criminal Evidence Law: Current Developments and Future Trends</v>
          </cell>
          <cell r="B2104" t="str">
            <v>Ebook - pdf</v>
          </cell>
          <cell r="C2104">
            <v>9781474414777</v>
          </cell>
        </row>
        <row r="2105">
          <cell r="A2105" t="str">
            <v>Scottish Criminal Law Essentials</v>
          </cell>
          <cell r="B2105" t="str">
            <v>Ebook - pdf</v>
          </cell>
          <cell r="C2105">
            <v>9781474420327</v>
          </cell>
        </row>
        <row r="2106">
          <cell r="A2106" t="str">
            <v>Scottish Education in the Twentieth Century</v>
          </cell>
          <cell r="B2106" t="str">
            <v>Ebook - pdf</v>
          </cell>
          <cell r="C2106">
            <v>9781474471565</v>
          </cell>
        </row>
        <row r="2107">
          <cell r="A2107" t="str">
            <v>Scottish Education: Fifth Edition</v>
          </cell>
          <cell r="B2107" t="str">
            <v>Ebook - pdf</v>
          </cell>
          <cell r="C2107">
            <v>9781474437851</v>
          </cell>
        </row>
        <row r="2108">
          <cell r="A2108" t="str">
            <v>Scottish Environmental Law Essentials</v>
          </cell>
          <cell r="B2108" t="str">
            <v>Ebook - pdf</v>
          </cell>
          <cell r="C2108">
            <v>9781474419741</v>
          </cell>
        </row>
        <row r="2109">
          <cell r="A2109" t="str">
            <v>Scottish Ethnicity and the Making of New Zealand Society, 1850-1930</v>
          </cell>
          <cell r="B2109" t="str">
            <v>Ebook - pdf</v>
          </cell>
          <cell r="C2109">
            <v>9780748646364</v>
          </cell>
        </row>
        <row r="2110">
          <cell r="A2110" t="str">
            <v>Scottish Evidence Law Essentials</v>
          </cell>
          <cell r="B2110" t="str">
            <v>Ebook - pdf</v>
          </cell>
          <cell r="C2110">
            <v>9781474461290</v>
          </cell>
        </row>
        <row r="2111">
          <cell r="A2111" t="str">
            <v>Scottish Family Law</v>
          </cell>
          <cell r="B2111" t="str">
            <v>Ebook - pdf</v>
          </cell>
          <cell r="C2111">
            <v>9781474401982</v>
          </cell>
        </row>
        <row r="2112">
          <cell r="A2112" t="str">
            <v>Scottish Fiction and the British Empire</v>
          </cell>
          <cell r="B2112" t="str">
            <v>Ebook - pdf</v>
          </cell>
          <cell r="C2112">
            <v>9781474470506</v>
          </cell>
        </row>
        <row r="2113">
          <cell r="A2113" t="str">
            <v>Scottish Gods: Religion in Modern Scotland 1900-2012</v>
          </cell>
          <cell r="B2113" t="str">
            <v>Ebook - pdf</v>
          </cell>
          <cell r="C2113">
            <v>9780748682904</v>
          </cell>
        </row>
        <row r="2114">
          <cell r="A2114" t="str">
            <v>Scottish Gothic: An Edinburgh Companion</v>
          </cell>
          <cell r="B2114" t="str">
            <v>Ebook - pdf</v>
          </cell>
          <cell r="C2114">
            <v>9781474408202</v>
          </cell>
        </row>
        <row r="2115">
          <cell r="A2115" t="str">
            <v>Scottish Government and Politics: An Introduction</v>
          </cell>
          <cell r="B2115" t="str">
            <v>Ebook - pdf</v>
          </cell>
          <cell r="C2115">
            <v>9781474470377</v>
          </cell>
        </row>
        <row r="2116">
          <cell r="A2116" t="str">
            <v>Scottish History: The Power of the Past</v>
          </cell>
          <cell r="B2116" t="str">
            <v>Ebook - pdf</v>
          </cell>
          <cell r="C2116">
            <v>9780748679553</v>
          </cell>
        </row>
        <row r="2117">
          <cell r="A2117" t="str">
            <v>Scottish Independence and the Idea of Britain: From the Picts to Alexander III</v>
          </cell>
          <cell r="B2117" t="str">
            <v>Ebook - pdf</v>
          </cell>
          <cell r="C2117">
            <v>9780748630110</v>
          </cell>
        </row>
        <row r="2118">
          <cell r="A2118" t="str">
            <v>Scottish Independence: A Practical Guide</v>
          </cell>
          <cell r="B2118" t="str">
            <v>Ebook - pdf</v>
          </cell>
          <cell r="C2118">
            <v>9781474471190</v>
          </cell>
        </row>
        <row r="2119">
          <cell r="A2119" t="str">
            <v>Scottish Legal History: Volume 1: 1000-1707</v>
          </cell>
          <cell r="B2119" t="str">
            <v>Ebook - pdf</v>
          </cell>
          <cell r="C2119">
            <v>9780748697427</v>
          </cell>
        </row>
        <row r="2120">
          <cell r="A2120" t="str">
            <v>Scottish Legal System Essentials</v>
          </cell>
          <cell r="B2120" t="str">
            <v>Ebook - pdf</v>
          </cell>
          <cell r="C2120">
            <v>9781474466486</v>
          </cell>
        </row>
        <row r="2121">
          <cell r="A2121" t="str">
            <v>Scottish Literature</v>
          </cell>
          <cell r="B2121" t="str">
            <v>Ebook - pdf</v>
          </cell>
          <cell r="C2121">
            <v>9780748633104</v>
          </cell>
        </row>
        <row r="2122">
          <cell r="A2122" t="str">
            <v>Scottish Literature and Postcolonial Literature: Comparative Texts and Critical Perspectives</v>
          </cell>
          <cell r="B2122" t="str">
            <v>Ebook - pdf</v>
          </cell>
          <cell r="C2122">
            <v>9780748637751</v>
          </cell>
        </row>
        <row r="2123">
          <cell r="A2123" t="str">
            <v>Scottish Literature and World War I</v>
          </cell>
          <cell r="B2123" t="str">
            <v>Ebook - pdf</v>
          </cell>
          <cell r="C2123">
            <v>9781474454612</v>
          </cell>
        </row>
        <row r="2124">
          <cell r="A2124" t="str">
            <v>Scottish Liturgical Traditions and Religious Politics: From Reformers to Jacobites, 1560–1764</v>
          </cell>
          <cell r="B2124" t="str">
            <v>Ebook - pdf</v>
          </cell>
          <cell r="C2124">
            <v>9781474483070</v>
          </cell>
        </row>
        <row r="2125">
          <cell r="A2125" t="str">
            <v>Scottish Local Government</v>
          </cell>
          <cell r="B2125" t="str">
            <v>Ebook - pdf</v>
          </cell>
          <cell r="C2125">
            <v>9781474470834</v>
          </cell>
        </row>
        <row r="2126">
          <cell r="A2126" t="str">
            <v>Scottish Modernism and its Contexts 1918-1959: Literature, National Identity and Cultural Exchange</v>
          </cell>
          <cell r="B2126" t="str">
            <v>Ebook - pdf</v>
          </cell>
          <cell r="C2126">
            <v>9780748634750</v>
          </cell>
        </row>
        <row r="2127">
          <cell r="A2127" t="str">
            <v>Scottish Newspapers, Language and Identity</v>
          </cell>
          <cell r="B2127" t="str">
            <v>Ebook - pdf</v>
          </cell>
          <cell r="C2127">
            <v>9780748630431</v>
          </cell>
        </row>
        <row r="2128">
          <cell r="A2128" t="str">
            <v>Scottish Popular Politics: From Radicalism to Labour</v>
          </cell>
          <cell r="B2128" t="str">
            <v>Ebook - pdf</v>
          </cell>
          <cell r="C2128">
            <v>9781474496896</v>
          </cell>
        </row>
        <row r="2129">
          <cell r="A2129" t="str">
            <v>Scottish Presbyterians and the Act of Union 1707</v>
          </cell>
          <cell r="B2129" t="str">
            <v>Ebook - pdf</v>
          </cell>
          <cell r="C2129">
            <v>9780748630783</v>
          </cell>
        </row>
        <row r="2130">
          <cell r="A2130" t="str">
            <v>Scottish Romanticism and Collective Memory in the British Atlantic</v>
          </cell>
          <cell r="B2130" t="str">
            <v>Ebook - pdf</v>
          </cell>
          <cell r="C2130">
            <v>9781474455480</v>
          </cell>
        </row>
        <row r="2131">
          <cell r="A2131" t="str">
            <v>Scottish Theatre Since the Seventies</v>
          </cell>
          <cell r="B2131" t="str">
            <v>Ebook - pdf</v>
          </cell>
          <cell r="C2131">
            <v>9781474472869</v>
          </cell>
        </row>
        <row r="2132">
          <cell r="A2132" t="str">
            <v>Scottish Women: A Documentary History</v>
          </cell>
          <cell r="B2132" t="str">
            <v>Ebook - pdf</v>
          </cell>
          <cell r="C2132">
            <v>9780748683406</v>
          </cell>
        </row>
        <row r="2133">
          <cell r="A2133" t="str">
            <v>Scottish Women's Gothic and Fantastic Writing: Fiction since 1978</v>
          </cell>
          <cell r="B2133" t="str">
            <v>Ebook - pdf</v>
          </cell>
          <cell r="C2133">
            <v>9780748637652</v>
          </cell>
        </row>
        <row r="2134">
          <cell r="A2134" t="str">
            <v>Screen Presence: Cinema Culture and the Art of Warhol, Rauschenberg, Hatoum and Gordon</v>
          </cell>
          <cell r="B2134" t="str">
            <v>Ebook - pdf</v>
          </cell>
          <cell r="C2134">
            <v>9781474403382</v>
          </cell>
        </row>
        <row r="2135">
          <cell r="A2135" t="str">
            <v>Screening Divinity</v>
          </cell>
          <cell r="B2135" t="str">
            <v>Ebook - pdf</v>
          </cell>
          <cell r="C2135">
            <v>9781474425759</v>
          </cell>
        </row>
        <row r="2136">
          <cell r="A2136" t="str">
            <v>Screening Shakespeare in the Twenty-First Century</v>
          </cell>
          <cell r="B2136" t="str">
            <v>Ebook - pdf</v>
          </cell>
          <cell r="C2136">
            <v>9780748630080</v>
          </cell>
        </row>
        <row r="2137">
          <cell r="A2137" t="str">
            <v>Screening Statues: Sculpture in Film</v>
          </cell>
          <cell r="B2137" t="str">
            <v>Ebook - pdf</v>
          </cell>
          <cell r="C2137">
            <v>9781474410908</v>
          </cell>
        </row>
        <row r="2138">
          <cell r="A2138" t="str">
            <v>Screening the Golden Ages of the Classical Tradition</v>
          </cell>
          <cell r="B2138" t="str">
            <v>Ebook - pdf</v>
          </cell>
          <cell r="C2138">
            <v>9781474440868</v>
          </cell>
        </row>
        <row r="2139">
          <cell r="A2139" t="str">
            <v>Screening Youth: Contemporary French and Francophone Cinema</v>
          </cell>
          <cell r="B2139" t="str">
            <v>Ebook - pdf</v>
          </cell>
          <cell r="C2139">
            <v>9781474449441</v>
          </cell>
        </row>
        <row r="2140">
          <cell r="A2140" t="str">
            <v>Seamus Heaney: An Introduction</v>
          </cell>
          <cell r="B2140" t="str">
            <v>Ebook - pdf</v>
          </cell>
          <cell r="C2140">
            <v>9781474401678</v>
          </cell>
        </row>
        <row r="2141">
          <cell r="A2141" t="str">
            <v>Second Death: Theatricalities of the Soul in Shakespeare's Drama</v>
          </cell>
          <cell r="B2141" t="str">
            <v>Ebook - pdf</v>
          </cell>
          <cell r="C2141">
            <v>9781474411462</v>
          </cell>
        </row>
        <row r="2142">
          <cell r="A2142" t="str">
            <v>Secretaries and Statecraft in the Early Modern World</v>
          </cell>
          <cell r="B2142" t="str">
            <v>Ebook - pdf</v>
          </cell>
          <cell r="C2142">
            <v>9781474402248</v>
          </cell>
        </row>
        <row r="2143">
          <cell r="A2143" t="str">
            <v>Sectarianism in Scotland</v>
          </cell>
          <cell r="B2143" t="str">
            <v>Ebook - pdf</v>
          </cell>
          <cell r="C2143">
            <v>9781474465465</v>
          </cell>
        </row>
        <row r="2144">
          <cell r="A2144" t="str">
            <v>Secularism in the Arab World: Contexts, Ideas and Consequences</v>
          </cell>
          <cell r="B2144" t="str">
            <v>Ebook - pdf</v>
          </cell>
          <cell r="C2144">
            <v>9781474447492</v>
          </cell>
        </row>
        <row r="2145">
          <cell r="A2145" t="str">
            <v>Security Arabic</v>
          </cell>
          <cell r="B2145" t="str">
            <v>Ebook - pdf</v>
          </cell>
          <cell r="C2145">
            <v>9780748646630</v>
          </cell>
        </row>
        <row r="2146">
          <cell r="A2146" t="str">
            <v>Security as Politics: Beyond the State of Exception</v>
          </cell>
          <cell r="B2146" t="str">
            <v>Ebook - pdf</v>
          </cell>
          <cell r="C2146">
            <v>9781474450942</v>
          </cell>
        </row>
        <row r="2147">
          <cell r="A2147" t="str">
            <v>Security/Capital: A General Theory of Pacification</v>
          </cell>
          <cell r="B2147" t="str">
            <v>Ebook - pdf</v>
          </cell>
          <cell r="C2147">
            <v>9781474413688</v>
          </cell>
        </row>
        <row r="2148">
          <cell r="A2148" t="str">
            <v>Seeing Degree Zero: Barthes/Burgin and Political Aesthetics</v>
          </cell>
          <cell r="B2148" t="str">
            <v>Ebook - pdf</v>
          </cell>
          <cell r="C2148">
            <v>9781474431439</v>
          </cell>
        </row>
        <row r="2149">
          <cell r="A2149" t="str">
            <v>Seeing God in Sufi Qur’an Commentaries: Crossings between This World and the Otherworld</v>
          </cell>
          <cell r="B2149" t="str">
            <v>Ebook - pdf</v>
          </cell>
          <cell r="C2149">
            <v>9781474435079</v>
          </cell>
        </row>
        <row r="2150">
          <cell r="A2150" t="str">
            <v>Seeing with the Hands: Blindness, Vision and Touch After Descartes</v>
          </cell>
          <cell r="B2150" t="str">
            <v>Ebook - pdf</v>
          </cell>
          <cell r="C2150">
            <v>9781474405331</v>
          </cell>
        </row>
        <row r="2151">
          <cell r="A2151" t="str">
            <v>Selected Poems by Robert Burns in Chinese Translation</v>
          </cell>
          <cell r="B2151" t="str">
            <v>Ebook - pdf</v>
          </cell>
          <cell r="C2151">
            <v>9780748642663</v>
          </cell>
        </row>
        <row r="2152">
          <cell r="A2152" t="str">
            <v>Self-Harm in New Woman Writing</v>
          </cell>
          <cell r="B2152" t="str">
            <v>Ebook - pdf</v>
          </cell>
          <cell r="C2152">
            <v>9781474417693</v>
          </cell>
        </row>
        <row r="2153">
          <cell r="A2153" t="str">
            <v>Self-love, Egoism and the Selfish Hypothesis: Key Debates from Eighteenth-Century British Moral Philosophy</v>
          </cell>
          <cell r="B2153" t="str">
            <v>Ebook - pdf</v>
          </cell>
          <cell r="C2153">
            <v>9781474413381</v>
          </cell>
        </row>
        <row r="2154">
          <cell r="A2154" t="str">
            <v>Selling the Splat Pack: The DVD Revolution and the American Horror Film</v>
          </cell>
          <cell r="B2154" t="str">
            <v>Ebook - pdf</v>
          </cell>
          <cell r="C2154">
            <v>9780748685509</v>
          </cell>
        </row>
        <row r="2155">
          <cell r="A2155" t="str">
            <v>Semiramis' Legacy: The History of Persia According to Diodorus of Sicily</v>
          </cell>
          <cell r="B2155" t="str">
            <v>Ebook - pdf</v>
          </cell>
          <cell r="C2155">
            <v>9781474414265</v>
          </cell>
        </row>
        <row r="2156">
          <cell r="A2156" t="str">
            <v>Sensation Drama, 1860–1880: An Anthology</v>
          </cell>
          <cell r="B2156" t="str">
            <v>Ebook - pdf</v>
          </cell>
          <cell r="C2156">
            <v>9781474439558</v>
          </cell>
        </row>
        <row r="2157">
          <cell r="A2157" t="str">
            <v>Sensational Internationalism: The Paris Commune and the Remapping of American Memory in the Long Nineteenth Century</v>
          </cell>
          <cell r="B2157" t="str">
            <v>Ebook - pdf</v>
          </cell>
          <cell r="C2157">
            <v>9781474411219</v>
          </cell>
        </row>
        <row r="2158">
          <cell r="A2158" t="str">
            <v>Sensing Justice through Contemporary Spanish Cinema: Aesthetics, Politics, Law</v>
          </cell>
          <cell r="B2158" t="str">
            <v>Ebook - pdf</v>
          </cell>
          <cell r="C2158">
            <v>9781474442060</v>
          </cell>
        </row>
        <row r="2159">
          <cell r="A2159" t="str">
            <v>Sensing Willa Cather: The Writer and the Body in Transition</v>
          </cell>
          <cell r="B2159" t="str">
            <v>Ebook - pdf</v>
          </cell>
          <cell r="C2159">
            <v>9781474438278</v>
          </cell>
        </row>
        <row r="2160">
          <cell r="A2160" t="str">
            <v>Sentencing Orlando: Virginia Woolf and the Morphology of the Modernist Sentence</v>
          </cell>
          <cell r="B2160" t="str">
            <v>Ebook - pdf</v>
          </cell>
          <cell r="C2160">
            <v>9781474414616</v>
          </cell>
        </row>
        <row r="2161">
          <cell r="A2161" t="str">
            <v>Sex and Difference in Ancient Greece and Rome</v>
          </cell>
          <cell r="B2161" t="str">
            <v>Ebook - pdf</v>
          </cell>
          <cell r="C2161">
            <v>9781474468541</v>
          </cell>
        </row>
        <row r="2162">
          <cell r="A2162" t="str">
            <v>Sex and Sexuality in Classical Athens</v>
          </cell>
          <cell r="B2162" t="str">
            <v>Ebook - pdf</v>
          </cell>
          <cell r="C2162">
            <v>9781474472135</v>
          </cell>
        </row>
        <row r="2163">
          <cell r="A2163" t="str">
            <v>Sex and the Nazi Soldier: Violent, Commercial and Consensual Encounters during the War in the Soviet Union, 1941-45</v>
          </cell>
          <cell r="B2163" t="str">
            <v>Ebook - pdf</v>
          </cell>
          <cell r="C2163">
            <v>9781474459099</v>
          </cell>
        </row>
        <row r="2164">
          <cell r="A2164" t="str">
            <v>Sex for Sale in Scotland: Prostitution in Edinburgh and Glasgow, 1900-1939</v>
          </cell>
          <cell r="B2164" t="str">
            <v>Ebook - pdf</v>
          </cell>
          <cell r="C2164">
            <v>9781474400015</v>
          </cell>
        </row>
        <row r="2165">
          <cell r="A2165" t="str">
            <v>Sex, Consent and Justice: A New Feminist Framework</v>
          </cell>
          <cell r="B2165" t="str">
            <v>Ebook - pdf</v>
          </cell>
          <cell r="C2165">
            <v>9781474479226</v>
          </cell>
        </row>
        <row r="2166">
          <cell r="A2166" t="str">
            <v>Sexual Desire and Romantic Love in Shakespeare: 'Rich in Will'</v>
          </cell>
          <cell r="B2166" t="str">
            <v>Ebook - pdf</v>
          </cell>
          <cell r="C2166">
            <v>9781474488587</v>
          </cell>
        </row>
        <row r="2167">
          <cell r="A2167" t="str">
            <v>Sexual Politics: An Introduction</v>
          </cell>
          <cell r="B2167" t="str">
            <v>Ebook - pdf</v>
          </cell>
          <cell r="C2167">
            <v>9781474467926</v>
          </cell>
        </row>
        <row r="2168">
          <cell r="A2168" t="str">
            <v>Sexuality and Democracy: Identities and Strategies in Lesbian and Gay Politics</v>
          </cell>
          <cell r="B2168" t="str">
            <v>Ebook - pdf</v>
          </cell>
          <cell r="C2168">
            <v>9781474471855</v>
          </cell>
        </row>
        <row r="2169">
          <cell r="A2169" t="str">
            <v>Shakespeare</v>
          </cell>
          <cell r="B2169" t="str">
            <v>Ebook - pdf</v>
          </cell>
          <cell r="C2169">
            <v>9780748630165</v>
          </cell>
        </row>
        <row r="2170">
          <cell r="A2170" t="str">
            <v>Shakespeare and Continental Philosophy</v>
          </cell>
          <cell r="B2170" t="str">
            <v>Ebook - pdf</v>
          </cell>
          <cell r="C2170">
            <v>9780748694952</v>
          </cell>
        </row>
        <row r="2171">
          <cell r="A2171" t="str">
            <v>Shakespeare and Judgment</v>
          </cell>
          <cell r="B2171" t="str">
            <v>Ebook - pdf</v>
          </cell>
          <cell r="C2171">
            <v>9781474413169</v>
          </cell>
        </row>
        <row r="2172">
          <cell r="A2172" t="str">
            <v>Shakespeare and Latinidad</v>
          </cell>
          <cell r="B2172" t="str">
            <v>Ebook - pdf</v>
          </cell>
          <cell r="C2172">
            <v>9781474488501</v>
          </cell>
        </row>
        <row r="2173">
          <cell r="A2173" t="str">
            <v>Shakespeare and the Fall of the Roman Republic: Selfhood, Stoicism and Civil War</v>
          </cell>
          <cell r="B2173" t="str">
            <v>Ebook - pdf</v>
          </cell>
          <cell r="C2173">
            <v>9781474427470</v>
          </cell>
        </row>
        <row r="2174">
          <cell r="A2174" t="str">
            <v>Shakespeare and the Truth-Teller: Confronting the Cynic Ideal</v>
          </cell>
          <cell r="B2174" t="str">
            <v>Ebook - pdf</v>
          </cell>
          <cell r="C2174">
            <v>9781474439596</v>
          </cell>
        </row>
        <row r="2175">
          <cell r="A2175" t="str">
            <v>Shakespeare in Hindsight: Counterfactual Thinking and Shakespearean Tragedy</v>
          </cell>
          <cell r="B2175" t="str">
            <v>Ebook - pdf</v>
          </cell>
          <cell r="C2175">
            <v>9781474409469</v>
          </cell>
        </row>
        <row r="2176">
          <cell r="A2176" t="str">
            <v>Shakespeare in the North: Place, Politics and Performance in England and Scotland</v>
          </cell>
          <cell r="B2176" t="str">
            <v>Ebook - pdf</v>
          </cell>
          <cell r="C2176">
            <v>9781474435949</v>
          </cell>
        </row>
        <row r="2177">
          <cell r="A2177" t="str">
            <v>Shakespeare in Theory and Practice</v>
          </cell>
          <cell r="B2177" t="str">
            <v>Ebook - pdf</v>
          </cell>
          <cell r="C2177">
            <v>9780748632152</v>
          </cell>
        </row>
        <row r="2178">
          <cell r="A2178" t="str">
            <v>Shakespeare’s Moral Compass</v>
          </cell>
          <cell r="B2178" t="str">
            <v>Ebook - pdf</v>
          </cell>
          <cell r="C2178">
            <v>9781474432894</v>
          </cell>
        </row>
        <row r="2179">
          <cell r="A2179" t="str">
            <v>Shakespeare’s Representation of Weather, Climate and Environment: The Early Modern ‘Fated Sky’</v>
          </cell>
          <cell r="B2179" t="str">
            <v>Ebook - pdf</v>
          </cell>
          <cell r="C2179">
            <v>9781474442541</v>
          </cell>
        </row>
        <row r="2180">
          <cell r="A2180" t="str">
            <v>Shakespearean Maternities: Crises of Conception in Early Modern England</v>
          </cell>
          <cell r="B2180" t="str">
            <v>Ebook - pdf</v>
          </cell>
          <cell r="C2180">
            <v>9780748630424</v>
          </cell>
        </row>
        <row r="2181">
          <cell r="A2181" t="str">
            <v>Shakespearean Melancholy: Philosophy, Form, and the Transformation of Comedy</v>
          </cell>
          <cell r="B2181" t="str">
            <v>Ebook - pdf</v>
          </cell>
          <cell r="C2181">
            <v>9781474417341</v>
          </cell>
        </row>
        <row r="2182">
          <cell r="A2182" t="str">
            <v>Shakespeare's Body Parts: Figuring Sovereignty in the History Plays</v>
          </cell>
          <cell r="B2182" t="str">
            <v>Ebook - pdf</v>
          </cell>
          <cell r="C2182">
            <v>9781474448727</v>
          </cell>
        </row>
        <row r="2183">
          <cell r="A2183" t="str">
            <v>Shakespeare's Essays: Sampling Montaigne from Hamlet to The Tempest</v>
          </cell>
          <cell r="B2183" t="str">
            <v>Ebook - pdf</v>
          </cell>
          <cell r="C2183">
            <v>9781474463423</v>
          </cell>
        </row>
        <row r="2184">
          <cell r="A2184" t="str">
            <v>Shakespeare's Fugitive Politics</v>
          </cell>
          <cell r="B2184" t="str">
            <v>Ebook - pdf</v>
          </cell>
          <cell r="C2184">
            <v>9780748697359</v>
          </cell>
        </row>
        <row r="2185">
          <cell r="A2185" t="str">
            <v>Shakespeare's History Plays: Rethinking Historicism</v>
          </cell>
          <cell r="B2185" t="str">
            <v>Ebook - pdf</v>
          </cell>
          <cell r="C2185">
            <v>9781474423540</v>
          </cell>
        </row>
        <row r="2186">
          <cell r="A2186" t="str">
            <v>Shakespeare's Late Plays: New Readings</v>
          </cell>
          <cell r="B2186" t="str">
            <v>Ebook - pdf</v>
          </cell>
          <cell r="C2186">
            <v>9781474472012</v>
          </cell>
        </row>
        <row r="2187">
          <cell r="A2187" t="str">
            <v>Shame: A Genealogy of Queer Practices in the 19th Century</v>
          </cell>
          <cell r="B2187" t="str">
            <v>Ebook - pdf</v>
          </cell>
          <cell r="C2187">
            <v>9781474419833</v>
          </cell>
        </row>
        <row r="2188">
          <cell r="A2188" t="str">
            <v>Shane Meadows: Critical Essays</v>
          </cell>
          <cell r="B2188" t="str">
            <v>Ebook - pdf</v>
          </cell>
          <cell r="C2188">
            <v>9780748676408</v>
          </cell>
        </row>
        <row r="2189">
          <cell r="A2189" t="str">
            <v>Shaping Global Islamic Discourses: The Role of al-Azhar, al-Madinah and al-Mustafa</v>
          </cell>
          <cell r="B2189" t="str">
            <v>Ebook - pdf</v>
          </cell>
          <cell r="C2189">
            <v>9780748696871</v>
          </cell>
        </row>
        <row r="2190">
          <cell r="A2190" t="str">
            <v>Sharīʿa in the Russian Empire: The Reach and Limits of Islamic Law in Central Eurasia, 1550-1917</v>
          </cell>
          <cell r="B2190" t="str">
            <v>Ebook - pdf</v>
          </cell>
          <cell r="C2190">
            <v>9781474444316</v>
          </cell>
        </row>
        <row r="2191">
          <cell r="A2191" t="str">
            <v>Shari'ah Compliant Private Equity and Islamic Venture Capital</v>
          </cell>
          <cell r="B2191" t="str">
            <v>Ebook - pdf</v>
          </cell>
          <cell r="C2191">
            <v>9780748655618</v>
          </cell>
        </row>
        <row r="2192">
          <cell r="A2192" t="str">
            <v>Shari'ah Governance in Islamic Banks</v>
          </cell>
          <cell r="B2192" t="str">
            <v>Ebook - pdf</v>
          </cell>
          <cell r="C2192">
            <v>9780748645596</v>
          </cell>
        </row>
        <row r="2193">
          <cell r="A2193" t="str">
            <v>Shi’a Minorities in the Contemporary World: Migration, Transnationalism and Multilocality</v>
          </cell>
          <cell r="B2193" t="str">
            <v>Ebook - pdf</v>
          </cell>
          <cell r="C2193">
            <v>9781474430395</v>
          </cell>
        </row>
        <row r="2194">
          <cell r="A2194" t="str">
            <v>Shi'i Doctrine, Mu'tazili Theology: al-Sharif al-Murtada and Imami Discourse</v>
          </cell>
          <cell r="B2194" t="str">
            <v>Ebook - pdf</v>
          </cell>
          <cell r="C2194">
            <v>9781474404419</v>
          </cell>
        </row>
        <row r="2195">
          <cell r="A2195" t="str">
            <v>Shi'ism</v>
          </cell>
          <cell r="B2195" t="str">
            <v>Ebook - pdf</v>
          </cell>
          <cell r="C2195">
            <v>9781474496995</v>
          </cell>
        </row>
        <row r="2196">
          <cell r="A2196" t="str">
            <v>Shoe Reels: The History and Philosophy of Footwear in Film</v>
          </cell>
          <cell r="B2196" t="str">
            <v>Ebook - pdf</v>
          </cell>
          <cell r="C2196">
            <v>9781474451420</v>
          </cell>
        </row>
        <row r="2197">
          <cell r="A2197" t="str">
            <v>Short Films from a Small Nation: Danish Informational Cinema 1935-1965</v>
          </cell>
          <cell r="B2197" t="str">
            <v>Ebook - pdf</v>
          </cell>
          <cell r="C2197">
            <v>9781474424141</v>
          </cell>
        </row>
        <row r="2198">
          <cell r="A2198" t="str">
            <v>Short Form American Poetry: The Modernist Tradition</v>
          </cell>
          <cell r="B2198" t="str">
            <v>Ebook - pdf</v>
          </cell>
          <cell r="C2198">
            <v>9780748695331</v>
          </cell>
        </row>
        <row r="2199">
          <cell r="A2199" t="str">
            <v>Shut Up and Listen: A Brief Guide to Clinical Communications Skills</v>
          </cell>
          <cell r="B2199" t="str">
            <v>Ebook - pdf</v>
          </cell>
          <cell r="C2199">
            <v>9781474469524</v>
          </cell>
        </row>
        <row r="2200">
          <cell r="A2200" t="str">
            <v>Sibawayh on ?imalah (Inclination): Text, Translation, Notes and Analysis</v>
          </cell>
          <cell r="B2200" t="str">
            <v>Ebook - pdf</v>
          </cell>
          <cell r="C2200">
            <v>9781474472265</v>
          </cell>
        </row>
        <row r="2201">
          <cell r="A2201" t="str">
            <v>Sicily from Aeneas to Augustus: New Approaches in Archaeology and History</v>
          </cell>
          <cell r="B2201" t="str">
            <v>Ebook - pdf</v>
          </cell>
          <cell r="C2201">
            <v>9781474472708</v>
          </cell>
        </row>
        <row r="2202">
          <cell r="A2202" t="str">
            <v>Simone de Beauvoir's Philosophy of Individuation: The Problem of the Second Sex</v>
          </cell>
          <cell r="B2202" t="str">
            <v>Ebook - pdf</v>
          </cell>
          <cell r="C2202">
            <v>9781474418881</v>
          </cell>
        </row>
        <row r="2203">
          <cell r="A2203" t="str">
            <v>Simply Philosophy: Guided Readings</v>
          </cell>
          <cell r="B2203" t="str">
            <v>Ebook - pdf</v>
          </cell>
          <cell r="C2203">
            <v>9781474473613</v>
          </cell>
        </row>
        <row r="2204">
          <cell r="A2204" t="str">
            <v>Singapore English</v>
          </cell>
          <cell r="B2204" t="str">
            <v>Ebook - pdf</v>
          </cell>
          <cell r="C2204">
            <v>9780748630967</v>
          </cell>
        </row>
        <row r="2205">
          <cell r="A2205" t="str">
            <v>Sinn Féin and the IRA: From Revolution to Moderation</v>
          </cell>
          <cell r="B2205" t="str">
            <v>Ebook - pdf</v>
          </cell>
          <cell r="C2205">
            <v>9781474420556</v>
          </cell>
        </row>
        <row r="2206">
          <cell r="A2206" t="str">
            <v>Sino-Enchantment: The Fantastic in Contemporary Chinese Cinemas</v>
          </cell>
          <cell r="B2206" t="str">
            <v>Ebook - pdf</v>
          </cell>
          <cell r="C2206">
            <v>9781474460866</v>
          </cell>
        </row>
        <row r="2207">
          <cell r="A2207" t="str">
            <v>Sixties British Cinema Reconsidered</v>
          </cell>
          <cell r="B2207" t="str">
            <v>Ebook - pdf</v>
          </cell>
          <cell r="C2207">
            <v>9781474443906</v>
          </cell>
        </row>
        <row r="2208">
          <cell r="A2208" t="str">
            <v>Slave Trade and the Economic Development of 18th-Century Lancaster</v>
          </cell>
          <cell r="B2208" t="str">
            <v>Ebook - pdf</v>
          </cell>
          <cell r="C2208">
            <v>9781474468022</v>
          </cell>
        </row>
        <row r="2209">
          <cell r="A2209" t="str">
            <v>Slavery</v>
          </cell>
          <cell r="B2209" t="str">
            <v>Ebook - pdf</v>
          </cell>
          <cell r="C2209">
            <v>9780585105161</v>
          </cell>
        </row>
        <row r="2210">
          <cell r="A2210" t="str">
            <v>Slavery and Servitude in North America, 1607-1800</v>
          </cell>
          <cell r="B2210" t="str">
            <v>Ebook - pdf</v>
          </cell>
          <cell r="C2210">
            <v>9781474471107</v>
          </cell>
        </row>
        <row r="2211">
          <cell r="A2211" t="str">
            <v>Slavery in America: A Reader and Guide</v>
          </cell>
          <cell r="B2211" t="str">
            <v>Ebook - pdf</v>
          </cell>
          <cell r="C2211">
            <v>9781474471114</v>
          </cell>
        </row>
        <row r="2212">
          <cell r="A2212" t="str">
            <v>Slow Cinema</v>
          </cell>
          <cell r="B2212" t="str">
            <v>Ebook - pdf</v>
          </cell>
          <cell r="C2212">
            <v>9780748696031</v>
          </cell>
        </row>
        <row r="2213">
          <cell r="A2213" t="str">
            <v>Slum Imaginaries and Spatial Justice in Philippine Cinema</v>
          </cell>
          <cell r="B2213" t="str">
            <v>Ebook - pdf</v>
          </cell>
          <cell r="C2213">
            <v>9781474451918</v>
          </cell>
        </row>
        <row r="2214">
          <cell r="A2214" t="str">
            <v>Slums on Screen: World Cinema and the Planet of Slums</v>
          </cell>
          <cell r="B2214" t="str">
            <v>Ebook - pdf</v>
          </cell>
          <cell r="C2214">
            <v>9781474406871</v>
          </cell>
        </row>
        <row r="2215">
          <cell r="A2215" t="str">
            <v>Small-Gauge Storytelling: Discovering the Amateur Fiction Film</v>
          </cell>
          <cell r="B2215" t="str">
            <v>Ebook - pdf</v>
          </cell>
          <cell r="C2215">
            <v>9780748656356</v>
          </cell>
        </row>
        <row r="2216">
          <cell r="A2216" t="str">
            <v>Social Class in America and Britain</v>
          </cell>
          <cell r="B2216" t="str">
            <v>Ebook - pdf</v>
          </cell>
          <cell r="C2216">
            <v>9780585102788</v>
          </cell>
        </row>
        <row r="2217">
          <cell r="A2217" t="str">
            <v>Social Interaction and English Language Teacher Identity</v>
          </cell>
          <cell r="B2217" t="str">
            <v>Ebook - pdf</v>
          </cell>
          <cell r="C2217">
            <v>9780748656127</v>
          </cell>
        </row>
        <row r="2218">
          <cell r="A2218" t="str">
            <v>Social Interaction and L2 Classroom Discourse</v>
          </cell>
          <cell r="B2218" t="str">
            <v>Ebook - pdf</v>
          </cell>
          <cell r="C2218">
            <v>9780748692651</v>
          </cell>
        </row>
        <row r="2219">
          <cell r="A2219" t="str">
            <v>Social Interaction and Teacher Cognition</v>
          </cell>
          <cell r="B2219" t="str">
            <v>Ebook - pdf</v>
          </cell>
          <cell r="C2219">
            <v>9780748675760</v>
          </cell>
        </row>
        <row r="2220">
          <cell r="A2220" t="str">
            <v>Social Interaction in Language Teacher Education: A Corpus and Discourse Perspective</v>
          </cell>
          <cell r="B2220" t="str">
            <v>Ebook - pdf</v>
          </cell>
          <cell r="C2220">
            <v>9781474412636</v>
          </cell>
        </row>
        <row r="2221">
          <cell r="A2221" t="str">
            <v>Social Interaction in Second Language Chat Rooms</v>
          </cell>
          <cell r="B2221" t="str">
            <v>Ebook - pdf</v>
          </cell>
          <cell r="C2221">
            <v>9780748649501</v>
          </cell>
        </row>
        <row r="2222">
          <cell r="A2222" t="str">
            <v>Social Issues in Television Fiction</v>
          </cell>
          <cell r="B2222" t="str">
            <v>Ebook - pdf</v>
          </cell>
          <cell r="C2222">
            <v>9780748630899</v>
          </cell>
        </row>
        <row r="2223">
          <cell r="A2223" t="str">
            <v>Social Theory: A Reader</v>
          </cell>
          <cell r="B2223" t="str">
            <v>Ebook - pdf</v>
          </cell>
          <cell r="C2223">
            <v>9781474469654</v>
          </cell>
        </row>
        <row r="2224">
          <cell r="A2224" t="str">
            <v>Social Theory: Conflict, Cohesion and Consent</v>
          </cell>
          <cell r="B2224" t="str">
            <v>Ebook - pdf</v>
          </cell>
          <cell r="C2224">
            <v>9781474469647</v>
          </cell>
        </row>
        <row r="2225">
          <cell r="A2225" t="str">
            <v>Social Transformations and Revolutions: Reflections and Analyses</v>
          </cell>
          <cell r="B2225" t="str">
            <v>Ebook - pdf</v>
          </cell>
          <cell r="C2225">
            <v>9781474415354</v>
          </cell>
        </row>
        <row r="2226">
          <cell r="A2226" t="str">
            <v>Sociolinguistic Variation and Change</v>
          </cell>
          <cell r="B2226" t="str">
            <v>Ebook - pdf</v>
          </cell>
          <cell r="C2226">
            <v>9781474473330</v>
          </cell>
        </row>
        <row r="2227">
          <cell r="A2227" t="str">
            <v>Sociolinguistics and Mobile Communication</v>
          </cell>
          <cell r="B2227" t="str">
            <v>Ebook - pdf</v>
          </cell>
          <cell r="C2227">
            <v>9780748655755</v>
          </cell>
        </row>
        <row r="2228">
          <cell r="A2228" t="str">
            <v>Solidarity Across Divides: Promoting the Moral Point of View</v>
          </cell>
          <cell r="B2228" t="str">
            <v>Ebook - pdf</v>
          </cell>
          <cell r="C2228">
            <v>9780748697311</v>
          </cell>
        </row>
        <row r="2229">
          <cell r="A2229" t="str">
            <v>Some Passages in the Life of Mr Adam Blair, Minister of the Gospel at Cross-Miekle</v>
          </cell>
          <cell r="B2229" t="str">
            <v>Ebook - pdf</v>
          </cell>
          <cell r="C2229">
            <v>9781474456104</v>
          </cell>
        </row>
        <row r="2230">
          <cell r="A2230" t="str">
            <v>Sonallah Ibrahim: Rebel with a Pen</v>
          </cell>
          <cell r="B2230" t="str">
            <v>Ebook - pdf</v>
          </cell>
          <cell r="C2230">
            <v>9781474405799</v>
          </cell>
        </row>
        <row r="2231">
          <cell r="A2231" t="str">
            <v>Songs by the Ettrick Shepherd</v>
          </cell>
          <cell r="B2231" t="str">
            <v>Ebook - pdf</v>
          </cell>
          <cell r="C2231">
            <v>9781474433037</v>
          </cell>
        </row>
        <row r="2232">
          <cell r="A2232" t="str">
            <v>Songs of the Women Migrants: Performance and Identity in South Africa</v>
          </cell>
          <cell r="B2232" t="str">
            <v>Ebook - pdf</v>
          </cell>
          <cell r="C2232">
            <v>9781474469579</v>
          </cell>
        </row>
        <row r="2233">
          <cell r="A2233" t="str">
            <v>Sonic Modernity: Representing Sound in Literature, Culture and the Arts</v>
          </cell>
          <cell r="B2233" t="str">
            <v>Ebook - pdf</v>
          </cell>
          <cell r="C2233">
            <v>9780748632565</v>
          </cell>
        </row>
        <row r="2234">
          <cell r="A2234" t="str">
            <v>Sound Change</v>
          </cell>
          <cell r="B2234" t="str">
            <v>Ebook - pdf</v>
          </cell>
          <cell r="C2234">
            <v>9781474461740</v>
          </cell>
        </row>
        <row r="2235">
          <cell r="A2235" t="str">
            <v>Sounding Modernism: Rhythm and Sonic Mediation in Modern Literature and Film</v>
          </cell>
          <cell r="B2235" t="str">
            <v>Ebook - pdf</v>
          </cell>
          <cell r="C2235">
            <v>9781474416375</v>
          </cell>
        </row>
        <row r="2236">
          <cell r="A2236" t="str">
            <v>South Asian Atlantic Literature, 1970-2010</v>
          </cell>
          <cell r="B2236" t="str">
            <v>Ebook - pdf</v>
          </cell>
          <cell r="C2236">
            <v>9781474423557</v>
          </cell>
        </row>
        <row r="2237">
          <cell r="A2237" t="str">
            <v>Sovereignty After Empire: Comparing the Middle East and Central Asia</v>
          </cell>
          <cell r="B2237" t="str">
            <v>Ebook - pdf</v>
          </cell>
          <cell r="C2237">
            <v>9780748647545</v>
          </cell>
        </row>
        <row r="2238">
          <cell r="A2238" t="str">
            <v>Soviet Defectors: Revelations of Renegade Intelligence Officers, 1924-1954</v>
          </cell>
          <cell r="B2238" t="str">
            <v>Ebook - pdf</v>
          </cell>
          <cell r="C2238">
            <v>9781474467254</v>
          </cell>
        </row>
        <row r="2239">
          <cell r="A2239" t="str">
            <v>Space in Modern Egyptian Fiction</v>
          </cell>
          <cell r="B2239" t="str">
            <v>Ebook - pdf</v>
          </cell>
          <cell r="C2239">
            <v>9781474427661</v>
          </cell>
        </row>
        <row r="2240">
          <cell r="A2240" t="str">
            <v>Space, Politics and Aesthetics</v>
          </cell>
          <cell r="B2240" t="str">
            <v>Ebook - pdf</v>
          </cell>
          <cell r="C2240">
            <v>9780748685998</v>
          </cell>
        </row>
        <row r="2241">
          <cell r="A2241" t="str">
            <v>Spaces of Capital: Towards a Critical Geography</v>
          </cell>
          <cell r="B2241" t="str">
            <v>Ebook - pdf</v>
          </cell>
          <cell r="C2241">
            <v>9781474468954</v>
          </cell>
        </row>
        <row r="2242">
          <cell r="A2242" t="str">
            <v>Spaces of Hope</v>
          </cell>
          <cell r="B2242" t="str">
            <v>Ebook - pdf</v>
          </cell>
          <cell r="C2242">
            <v>9781474468961</v>
          </cell>
        </row>
        <row r="2243">
          <cell r="A2243" t="str">
            <v>Spaghetti Westerns at the Crossroads: Studies in Relocation, Transition and Appropriation</v>
          </cell>
          <cell r="B2243" t="str">
            <v>Ebook - pdf</v>
          </cell>
          <cell r="C2243">
            <v>9780748695461</v>
          </cell>
        </row>
        <row r="2244">
          <cell r="A2244" t="str">
            <v>Spanish America and British Romanticism, 1777–1826: Rewriting Conquest</v>
          </cell>
          <cell r="B2244" t="str">
            <v>Ebook - pdf</v>
          </cell>
          <cell r="C2244">
            <v>9780748641611</v>
          </cell>
        </row>
        <row r="2245">
          <cell r="A2245" t="str">
            <v>Spanish Erotic Cinema</v>
          </cell>
          <cell r="B2245" t="str">
            <v>Ebook - pdf</v>
          </cell>
          <cell r="C2245">
            <v>9781474400480</v>
          </cell>
        </row>
        <row r="2246">
          <cell r="A2246" t="str">
            <v>Spanish Horror Film</v>
          </cell>
          <cell r="B2246" t="str">
            <v>Ebook - pdf</v>
          </cell>
          <cell r="C2246">
            <v>9780748636402</v>
          </cell>
        </row>
        <row r="2247">
          <cell r="A2247" t="str">
            <v>Spanish Queer Cinema</v>
          </cell>
          <cell r="B2247" t="str">
            <v>Ebook - pdf</v>
          </cell>
          <cell r="C2247">
            <v>9780748665877</v>
          </cell>
        </row>
        <row r="2248">
          <cell r="A2248" t="str">
            <v>Sparta</v>
          </cell>
          <cell r="B2248" t="str">
            <v>Ebook - pdf</v>
          </cell>
          <cell r="C2248">
            <v>9781474473569</v>
          </cell>
        </row>
        <row r="2249">
          <cell r="A2249" t="str">
            <v>Speaking Against Number: Heidegger, Language and the Politics of Calculation</v>
          </cell>
          <cell r="B2249" t="str">
            <v>Ebook - pdf</v>
          </cell>
          <cell r="C2249">
            <v>9781474468015</v>
          </cell>
        </row>
        <row r="2250">
          <cell r="A2250" t="str">
            <v>Speaking in Subtitles: Revaluing Screen Translation</v>
          </cell>
          <cell r="B2250" t="str">
            <v>Ebook - pdf</v>
          </cell>
          <cell r="C2250">
            <v>9781474410953</v>
          </cell>
        </row>
        <row r="2251">
          <cell r="A2251" t="str">
            <v>Speaking With the Dead: Explorations in Literature and History</v>
          </cell>
          <cell r="B2251" t="str">
            <v>Ebook - pdf</v>
          </cell>
          <cell r="C2251">
            <v>9781474471619</v>
          </cell>
        </row>
        <row r="2252">
          <cell r="A2252" t="str">
            <v>Special Affects: Cinema, Animation and the Translation of Consumer Culture</v>
          </cell>
          <cell r="B2252" t="str">
            <v>Ebook - pdf</v>
          </cell>
          <cell r="C2252">
            <v>9780748695485</v>
          </cell>
        </row>
        <row r="2253">
          <cell r="A2253" t="str">
            <v>Spectacular Science, Technology and Superstition in the Age of Shakespeare</v>
          </cell>
          <cell r="B2253" t="str">
            <v>Ebook - pdf</v>
          </cell>
          <cell r="C2253">
            <v>9781474427838</v>
          </cell>
        </row>
        <row r="2254">
          <cell r="A2254" t="str">
            <v>Specters of World Literature: Orientalism, Modernity, and the Novel in the Middle East</v>
          </cell>
          <cell r="B2254" t="str">
            <v>Ebook - pdf</v>
          </cell>
          <cell r="C2254">
            <v>9781474467063</v>
          </cell>
        </row>
        <row r="2255">
          <cell r="A2255" t="str">
            <v>Speculative Art Histories: Analysis at the Limits</v>
          </cell>
          <cell r="B2255" t="str">
            <v>Ebook - pdf</v>
          </cell>
          <cell r="C2255">
            <v>9781474421065</v>
          </cell>
        </row>
        <row r="2256">
          <cell r="A2256" t="str">
            <v>Speculative Empiricism: Revisiting Whitehead</v>
          </cell>
          <cell r="B2256" t="str">
            <v>Ebook - pdf</v>
          </cell>
          <cell r="C2256">
            <v>9781474423069</v>
          </cell>
        </row>
        <row r="2257">
          <cell r="A2257" t="str">
            <v>Speculative Realism and Science Fiction</v>
          </cell>
          <cell r="B2257" t="str">
            <v>Ebook - pdf</v>
          </cell>
          <cell r="C2257">
            <v>9781474422710</v>
          </cell>
        </row>
        <row r="2258">
          <cell r="A2258" t="str">
            <v>Spelling Scots: The Orthography of Literary Scots, 1700-2000</v>
          </cell>
          <cell r="B2258" t="str">
            <v>Ebook - pdf</v>
          </cell>
          <cell r="C2258">
            <v>9780748696451</v>
          </cell>
        </row>
        <row r="2259">
          <cell r="A2259" t="str">
            <v>Spies, Spin and the Fourth Estate: British Intelligence and the Media</v>
          </cell>
          <cell r="B2259" t="str">
            <v>Ebook - pdf</v>
          </cell>
          <cell r="C2259">
            <v>9781474443098</v>
          </cell>
        </row>
        <row r="2260">
          <cell r="A2260" t="str">
            <v>Spinoza and Relational Autonomy: Being With Others</v>
          </cell>
          <cell r="B2260" t="str">
            <v>Ebook - pdf</v>
          </cell>
          <cell r="C2260">
            <v>9781474419703</v>
          </cell>
        </row>
        <row r="2261">
          <cell r="A2261" t="str">
            <v>Spinoza and the Politics of Freedom</v>
          </cell>
          <cell r="B2261" t="str">
            <v>Ebook - pdf</v>
          </cell>
          <cell r="C2261">
            <v>9781474478427</v>
          </cell>
        </row>
        <row r="2262">
          <cell r="A2262" t="str">
            <v>Spinoza Beyond Philosophy</v>
          </cell>
          <cell r="B2262" t="str">
            <v>Ebook - pdf</v>
          </cell>
          <cell r="C2262">
            <v>9780748644810</v>
          </cell>
        </row>
        <row r="2263">
          <cell r="A2263" t="str">
            <v>Spinoza, the Epicurean: Authority and Utility in Materialism</v>
          </cell>
          <cell r="B2263" t="str">
            <v>Ebook - pdf</v>
          </cell>
          <cell r="C2263">
            <v>9781474476072</v>
          </cell>
        </row>
        <row r="2264">
          <cell r="A2264" t="str">
            <v>Spinoza, the Transindividual</v>
          </cell>
          <cell r="B2264" t="str">
            <v>Ebook - pdf</v>
          </cell>
          <cell r="C2264">
            <v>9781474454308</v>
          </cell>
        </row>
        <row r="2265">
          <cell r="A2265" t="str">
            <v>Spinoza's Ethics: An Edinburgh Philosophical Guide</v>
          </cell>
          <cell r="B2265" t="str">
            <v>Ebook - pdf</v>
          </cell>
          <cell r="C2265">
            <v>9780748634514</v>
          </cell>
        </row>
        <row r="2266">
          <cell r="A2266" t="str">
            <v>Spinoza's Philosophy of Ratio</v>
          </cell>
          <cell r="B2266" t="str">
            <v>Ebook - pdf</v>
          </cell>
          <cell r="C2266">
            <v>9781474420440</v>
          </cell>
        </row>
        <row r="2267">
          <cell r="A2267" t="str">
            <v>Spinsters, Widows and Chars: The Ageing Woman in British Film</v>
          </cell>
          <cell r="B2267" t="str">
            <v>Ebook - pdf</v>
          </cell>
          <cell r="C2267">
            <v>9781474452847</v>
          </cell>
        </row>
        <row r="2268">
          <cell r="A2268" t="str">
            <v>Spirit Becomes Matter: The Brontes, George Eliot, Nietzsche</v>
          </cell>
          <cell r="B2268" t="str">
            <v>Ebook - pdf</v>
          </cell>
          <cell r="C2268">
            <v>9780748694594</v>
          </cell>
        </row>
        <row r="2269">
          <cell r="A2269" t="str">
            <v>Spying on the World: The Declassified Documents of the Joint Intelligence Committee, 1936-2013</v>
          </cell>
          <cell r="B2269" t="str">
            <v>Ebook - pdf</v>
          </cell>
          <cell r="C2269">
            <v>9780748678587</v>
          </cell>
        </row>
        <row r="2270">
          <cell r="A2270" t="str">
            <v>Stalinist Cinema and the Production of History: Museum of the Revolution</v>
          </cell>
          <cell r="B2270" t="str">
            <v>Ebook - pdf</v>
          </cell>
          <cell r="C2270">
            <v>9780748632435</v>
          </cell>
        </row>
        <row r="2271">
          <cell r="A2271" t="str">
            <v>Standard Written English: A Guide</v>
          </cell>
          <cell r="B2271" t="str">
            <v>Ebook - pdf</v>
          </cell>
          <cell r="C2271">
            <v>9781474468367</v>
          </cell>
        </row>
        <row r="2272">
          <cell r="A2272" t="str">
            <v>Standing Up for Scotland: Nationalist Unionism and Scottish Party Politics, 1884-2014</v>
          </cell>
          <cell r="B2272" t="str">
            <v>Ebook - pdf</v>
          </cell>
          <cell r="C2272">
            <v>9781474447836</v>
          </cell>
        </row>
        <row r="2273">
          <cell r="A2273" t="str">
            <v>Stanley Cavell and the Magic of Hollywood Films</v>
          </cell>
          <cell r="B2273" t="str">
            <v>Ebook - pdf</v>
          </cell>
          <cell r="C2273">
            <v>9781474455725</v>
          </cell>
        </row>
        <row r="2274">
          <cell r="A2274" t="str">
            <v>STARZ Spartacus: Reimagining an Icon on Screen</v>
          </cell>
          <cell r="B2274" t="str">
            <v>Ebook - pdf</v>
          </cell>
          <cell r="C2274">
            <v>9781474407854</v>
          </cell>
        </row>
        <row r="2275">
          <cell r="A2275" t="str">
            <v>State Ideology and Language in Tanzania: Second and revised edition</v>
          </cell>
          <cell r="B2275" t="str">
            <v>Ebook - pdf</v>
          </cell>
          <cell r="C2275">
            <v>9780748675814</v>
          </cell>
        </row>
        <row r="2276">
          <cell r="A2276" t="str">
            <v>Statistics for Corpus Linguistics</v>
          </cell>
          <cell r="B2276" t="str">
            <v>Ebook - pdf</v>
          </cell>
          <cell r="C2276">
            <v>9781474471381</v>
          </cell>
        </row>
        <row r="2277">
          <cell r="A2277" t="str">
            <v>Stiegler and Technics</v>
          </cell>
          <cell r="B2277" t="str">
            <v>Ebook - pdf</v>
          </cell>
          <cell r="C2277">
            <v>9780748677030</v>
          </cell>
        </row>
        <row r="2278">
          <cell r="A2278" t="str">
            <v>Straight Girls and Queer Guys: The Hetero Media Gaze in Film and Television</v>
          </cell>
          <cell r="B2278" t="str">
            <v>Ebook - pdf</v>
          </cell>
          <cell r="C2278">
            <v>9780748694853</v>
          </cell>
        </row>
        <row r="2279">
          <cell r="A2279" t="str">
            <v>Strangers and Traders: Yoruba Migrants, Markets and the State in Northern Ghana</v>
          </cell>
          <cell r="B2279" t="str">
            <v>Ebook - pdf</v>
          </cell>
          <cell r="C2279">
            <v>9781474467940</v>
          </cell>
        </row>
        <row r="2280">
          <cell r="A2280" t="str">
            <v>Strategy in War and Peace: A Critical Introduction</v>
          </cell>
          <cell r="B2280" t="str">
            <v>Ebook - pdf</v>
          </cell>
          <cell r="C2280">
            <v>9780748683994</v>
          </cell>
        </row>
        <row r="2281">
          <cell r="A2281" t="str">
            <v>Stuarts and Romanovs: The Rise and Fall of a Special Relationship</v>
          </cell>
          <cell r="B2281" t="str">
            <v>Ebook - pdf</v>
          </cell>
          <cell r="C2281">
            <v>9781474467865</v>
          </cell>
        </row>
        <row r="2282">
          <cell r="A2282" t="str">
            <v>Studies in Arab Architecture</v>
          </cell>
          <cell r="B2282" t="str">
            <v>Ebook - pdf</v>
          </cell>
          <cell r="C2282">
            <v>9781474474900</v>
          </cell>
        </row>
        <row r="2283">
          <cell r="A2283" t="str">
            <v>Studies in Islamic Painting, Epigraphy and Decorative Arts</v>
          </cell>
          <cell r="B2283" t="str">
            <v>Ebook - pdf</v>
          </cell>
          <cell r="C2283">
            <v>9781474474825</v>
          </cell>
        </row>
        <row r="2284">
          <cell r="A2284" t="str">
            <v>Studies in Persian Architecture</v>
          </cell>
          <cell r="B2284" t="str">
            <v>Ebook - pdf</v>
          </cell>
          <cell r="C2284">
            <v>9781474474870</v>
          </cell>
        </row>
        <row r="2285">
          <cell r="A2285" t="str">
            <v>Studying Media: Problems of Theory and Method</v>
          </cell>
          <cell r="B2285" t="str">
            <v>Ebook - pdf</v>
          </cell>
          <cell r="C2285">
            <v>9780748674114</v>
          </cell>
        </row>
        <row r="2286">
          <cell r="A2286" t="str">
            <v>Studying Modern Arabic Literature: Mustafa Badawi, Scholar and Critic</v>
          </cell>
          <cell r="B2286" t="str">
            <v>Ebook - pdf</v>
          </cell>
          <cell r="C2286">
            <v>9780748696635</v>
          </cell>
        </row>
        <row r="2287">
          <cell r="A2287" t="str">
            <v>Sublime Art: Towards an Aesthetics of the Future</v>
          </cell>
          <cell r="B2287" t="str">
            <v>Ebook - pdf</v>
          </cell>
          <cell r="C2287">
            <v>9780748670000</v>
          </cell>
        </row>
        <row r="2288">
          <cell r="A2288" t="str">
            <v>Success in Law Studies</v>
          </cell>
          <cell r="B2288" t="str">
            <v>Ebook - pdf</v>
          </cell>
          <cell r="C2288">
            <v>9781474468121</v>
          </cell>
        </row>
        <row r="2289">
          <cell r="A2289" t="str">
            <v>Succession Law Essentials</v>
          </cell>
          <cell r="B2289" t="str">
            <v>Ebook - pdf</v>
          </cell>
          <cell r="C2289">
            <v>9780748698493</v>
          </cell>
        </row>
        <row r="2290">
          <cell r="A2290" t="str">
            <v>Suffragist Artists in Partnership: Gender, Word and Image</v>
          </cell>
          <cell r="B2290" t="str">
            <v>Ebook - pdf</v>
          </cell>
          <cell r="C2290">
            <v>9781474421461</v>
          </cell>
        </row>
        <row r="2291">
          <cell r="A2291" t="str">
            <v>Sufism and Theology</v>
          </cell>
          <cell r="B2291" t="str">
            <v>Ebook - pdf</v>
          </cell>
          <cell r="C2291">
            <v>9780748631346</v>
          </cell>
        </row>
        <row r="2292">
          <cell r="A2292" t="str">
            <v>Sufism in the Contemporary Arabic Novel</v>
          </cell>
          <cell r="B2292" t="str">
            <v>Ebook - pdf</v>
          </cell>
          <cell r="C2292">
            <v>9780748655649</v>
          </cell>
        </row>
        <row r="2293">
          <cell r="A2293" t="str">
            <v>Sufism: The Formative Period</v>
          </cell>
          <cell r="B2293" t="str">
            <v>Ebook - pdf</v>
          </cell>
          <cell r="C2293">
            <v>9780748628971</v>
          </cell>
        </row>
        <row r="2294">
          <cell r="A2294" t="str">
            <v>Sweden, the Swastika and Stalin: The Swedish experience in the Second World War</v>
          </cell>
          <cell r="B2294" t="str">
            <v>Ebook - pdf</v>
          </cell>
          <cell r="C2294">
            <v>9780748631520</v>
          </cell>
        </row>
        <row r="2295">
          <cell r="A2295" t="str">
            <v>Swedish Military Intelligence: Producing Knowledge</v>
          </cell>
          <cell r="B2295" t="str">
            <v>Ebook - pdf</v>
          </cell>
          <cell r="C2295">
            <v>9781474413459</v>
          </cell>
        </row>
        <row r="2296">
          <cell r="A2296" t="str">
            <v>Sylvia Plath's Fiction: A Critical Study</v>
          </cell>
          <cell r="B2296" t="str">
            <v>Ebook - pdf</v>
          </cell>
          <cell r="C2296">
            <v>9780748630752</v>
          </cell>
        </row>
        <row r="2297">
          <cell r="A2297" t="str">
            <v>Synagogues in the Islamic World: Architecture, Design and Identity</v>
          </cell>
          <cell r="B2297" t="str">
            <v>Ebook - pdf</v>
          </cell>
          <cell r="C2297">
            <v>9781474468435</v>
          </cell>
        </row>
        <row r="2298">
          <cell r="A2298" t="str">
            <v>Syria in Crusader Times: Conflict and Co-Existence</v>
          </cell>
          <cell r="B2298" t="str">
            <v>Ebook - pdf</v>
          </cell>
          <cell r="C2298">
            <v>9781474429726</v>
          </cell>
        </row>
        <row r="2299">
          <cell r="A2299" t="str">
            <v>Tactile Poetics: Touch and Contemporary Writing</v>
          </cell>
          <cell r="B2299" t="str">
            <v>Ebook - pdf</v>
          </cell>
          <cell r="C2299">
            <v>9780748685325</v>
          </cell>
        </row>
        <row r="2300">
          <cell r="A2300" t="str">
            <v>Tales of the Troubled Dead: Ghost Stories in Cultural History</v>
          </cell>
          <cell r="B2300" t="str">
            <v>Ebook - pdf</v>
          </cell>
          <cell r="C2300">
            <v>9781474417389</v>
          </cell>
        </row>
        <row r="2301">
          <cell r="A2301" t="str">
            <v>Tales of the Wars of Montrose</v>
          </cell>
          <cell r="B2301" t="str">
            <v>Ebook - pdf</v>
          </cell>
          <cell r="C2301">
            <v>9780748698622</v>
          </cell>
        </row>
        <row r="2302">
          <cell r="A2302" t="str">
            <v>Talkies, Road Movies and Chick Flicks: Gender, Genre and Film Sound in American Cinema</v>
          </cell>
          <cell r="B2302" t="str">
            <v>Ebook - pdf</v>
          </cell>
          <cell r="C2302">
            <v>9781474406901</v>
          </cell>
        </row>
        <row r="2303">
          <cell r="A2303" t="str">
            <v>Tanaka Kinuyo: Nation, Stardom and Female Subjectivity</v>
          </cell>
          <cell r="B2303" t="str">
            <v>Ebook - pdf</v>
          </cell>
          <cell r="C2303">
            <v>9781474409704</v>
          </cell>
        </row>
        <row r="2304">
          <cell r="A2304" t="str">
            <v>Taylor and Politics: A Critical Introduction</v>
          </cell>
          <cell r="B2304" t="str">
            <v>Ebook - pdf</v>
          </cell>
          <cell r="C2304">
            <v>9780748691951</v>
          </cell>
        </row>
        <row r="2305">
          <cell r="A2305" t="str">
            <v>Teaching Language and Promoting Citizenship</v>
          </cell>
          <cell r="B2305" t="str">
            <v>Ebook - pdf</v>
          </cell>
          <cell r="C2305">
            <v>9781474424318</v>
          </cell>
        </row>
        <row r="2306">
          <cell r="A2306" t="str">
            <v>Teaching Literature in a Second Language</v>
          </cell>
          <cell r="B2306" t="str">
            <v>Ebook - pdf</v>
          </cell>
          <cell r="C2306">
            <v>9781474471534</v>
          </cell>
        </row>
        <row r="2307">
          <cell r="A2307" t="str">
            <v>Teaching Scottish Literature: Curriculum and Classroom Applications (Scottish Language and Literature Volume 3)</v>
          </cell>
          <cell r="B2307" t="str">
            <v>Ebook - pdf</v>
          </cell>
          <cell r="C2307">
            <v>9781474470483</v>
          </cell>
        </row>
        <row r="2308">
          <cell r="A2308" t="str">
            <v>Teaching Social Justice Through Shakespeare: Why Renaissance Literature Matters Now</v>
          </cell>
          <cell r="B2308" t="str">
            <v>Ebook - pdf</v>
          </cell>
          <cell r="C2308">
            <v>9781474455602</v>
          </cell>
        </row>
        <row r="2309">
          <cell r="A2309" t="str">
            <v>Teaching Transatlanticism: Resources for Teaching Nineteenth-Century Anglo-American Print Culture</v>
          </cell>
          <cell r="B2309" t="str">
            <v>Ebook - pdf</v>
          </cell>
          <cell r="C2309">
            <v>9780748694471</v>
          </cell>
        </row>
        <row r="2310">
          <cell r="A2310" t="str">
            <v>Tears of the Dead: The Social Biography of an African Family</v>
          </cell>
          <cell r="B2310" t="str">
            <v>Ebook - pdf</v>
          </cell>
          <cell r="C2310">
            <v>9781474473538</v>
          </cell>
        </row>
        <row r="2311">
          <cell r="A2311" t="str">
            <v>Technology, Innovation and Access to Justice: Dialogues on the Future of Law</v>
          </cell>
          <cell r="B2311" t="str">
            <v>Ebook - pdf</v>
          </cell>
          <cell r="C2311">
            <v>9781474473880</v>
          </cell>
        </row>
        <row r="2312">
          <cell r="A2312" t="str">
            <v>Television Policy: The MacTaggart Lectures</v>
          </cell>
          <cell r="B2312" t="str">
            <v>Ebook - pdf</v>
          </cell>
          <cell r="C2312">
            <v>9781474468268</v>
          </cell>
        </row>
        <row r="2313">
          <cell r="A2313" t="str">
            <v>Temporality and Film Analysis</v>
          </cell>
          <cell r="B2313" t="str">
            <v>Ebook - pdf</v>
          </cell>
          <cell r="C2313">
            <v>9780748643479</v>
          </cell>
        </row>
        <row r="2314">
          <cell r="A2314" t="str">
            <v>Tennyson and Goethe’s Faust</v>
          </cell>
          <cell r="B2314" t="str">
            <v>Ebook - pdf</v>
          </cell>
          <cell r="C2314">
            <v>9781474488549</v>
          </cell>
        </row>
        <row r="2315">
          <cell r="A2315" t="str">
            <v>Tennyson Echoing Wordsworth</v>
          </cell>
          <cell r="B2315" t="str">
            <v>Ebook - pdf</v>
          </cell>
          <cell r="C2315">
            <v>9781474436892</v>
          </cell>
        </row>
        <row r="2316">
          <cell r="A2316" t="str">
            <v>Terms of Endearment: Hollywood Romantic Comedy of the 1980s and 1990s</v>
          </cell>
          <cell r="B2316" t="str">
            <v>Ebook - pdf</v>
          </cell>
          <cell r="C2316">
            <v>9780585070186</v>
          </cell>
        </row>
        <row r="2317">
          <cell r="A2317" t="str">
            <v>TESOL Teacher Education: A Reflective Approach</v>
          </cell>
          <cell r="B2317" t="str">
            <v>Ebook - pdf</v>
          </cell>
          <cell r="C2317">
            <v>9781474474443</v>
          </cell>
        </row>
        <row r="2318">
          <cell r="A2318" t="str">
            <v>Text and Image in Medieval Persian Art</v>
          </cell>
          <cell r="B2318" t="str">
            <v>Ebook - pdf</v>
          </cell>
          <cell r="C2318">
            <v>9781474464499</v>
          </cell>
        </row>
        <row r="2319">
          <cell r="A2319" t="str">
            <v>Text World Theory: An Introduction</v>
          </cell>
          <cell r="B2319" t="str">
            <v>Ebook - pdf</v>
          </cell>
          <cell r="C2319">
            <v>9780748629909</v>
          </cell>
        </row>
        <row r="2320">
          <cell r="A2320" t="str">
            <v>Texts: Contemporary Cultural Texts and Critical Approaches</v>
          </cell>
          <cell r="B2320" t="str">
            <v>Ebook - pdf</v>
          </cell>
          <cell r="C2320">
            <v>9780748629183</v>
          </cell>
        </row>
        <row r="2321">
          <cell r="A2321" t="str">
            <v>Textual Deceptions: False Memoirs and Literary Hoaxes in the Contemporary Era</v>
          </cell>
          <cell r="B2321" t="str">
            <v>Ebook - pdf</v>
          </cell>
          <cell r="C2321">
            <v>9780748675562</v>
          </cell>
        </row>
        <row r="2322">
          <cell r="A2322" t="str">
            <v>Texture - A Cognitive Aesthetics of Reading</v>
          </cell>
          <cell r="B2322" t="str">
            <v>Ebook - pdf</v>
          </cell>
          <cell r="C2322">
            <v>9780748631209</v>
          </cell>
        </row>
        <row r="2323">
          <cell r="A2323" t="str">
            <v>Texture - A Cognitive Aesthetics of Reading</v>
          </cell>
          <cell r="B2323" t="str">
            <v>Ebook - pdf</v>
          </cell>
          <cell r="C2323">
            <v>9781474472890</v>
          </cell>
        </row>
        <row r="2324">
          <cell r="A2324" t="str">
            <v>The 21st-Century Novel: Notes from the Edinburgh World Writers' Conference</v>
          </cell>
          <cell r="B2324" t="str">
            <v>Ebook - pdf</v>
          </cell>
          <cell r="C2324">
            <v>9781474464253</v>
          </cell>
        </row>
        <row r="2325">
          <cell r="A2325" t="str">
            <v>The 3 Estaites: The Millennium Version</v>
          </cell>
          <cell r="B2325" t="str">
            <v>Ebook - pdf</v>
          </cell>
          <cell r="C2325">
            <v>9781474472760</v>
          </cell>
        </row>
        <row r="2326">
          <cell r="A2326" t="str">
            <v>The Abbot</v>
          </cell>
          <cell r="B2326" t="str">
            <v>Ebook - pdf</v>
          </cell>
          <cell r="C2326">
            <v>9781474433044</v>
          </cell>
        </row>
        <row r="2327">
          <cell r="A2327" t="str">
            <v>The Acts of Alexander III King of Scots 1249 -1286: Regesta Regum Scottorum Vol 4 Part 1</v>
          </cell>
          <cell r="B2327" t="str">
            <v>Ebook - pdf</v>
          </cell>
          <cell r="C2327">
            <v>9780748631445</v>
          </cell>
        </row>
        <row r="2328">
          <cell r="A2328" t="str">
            <v>The Acts of David II (1329-1371)</v>
          </cell>
          <cell r="B2328" t="str">
            <v>Ebook - pdf</v>
          </cell>
          <cell r="C2328">
            <v>9781474473514</v>
          </cell>
        </row>
        <row r="2329">
          <cell r="A2329" t="str">
            <v>The Acts of Malcolm IV (1153-1165)</v>
          </cell>
          <cell r="B2329" t="str">
            <v>Ebook - pdf</v>
          </cell>
          <cell r="C2329">
            <v>9781474464208</v>
          </cell>
        </row>
        <row r="2330">
          <cell r="A2330" t="str">
            <v>The Acts of Robert I (1306-1329)</v>
          </cell>
          <cell r="B2330" t="str">
            <v>Ebook - pdf</v>
          </cell>
          <cell r="C2330">
            <v>9781474467896</v>
          </cell>
        </row>
        <row r="2331">
          <cell r="A2331" t="str">
            <v>The Acts of William I (1165-1214)</v>
          </cell>
          <cell r="B2331" t="str">
            <v>Ebook - pdf</v>
          </cell>
          <cell r="C2331">
            <v>9781474464215</v>
          </cell>
        </row>
        <row r="2332">
          <cell r="A2332" t="str">
            <v>The Administration of Justice in Medieval Egypt: From the 7th to the 12th Century</v>
          </cell>
          <cell r="B2332" t="str">
            <v>Ebook - pdf</v>
          </cell>
          <cell r="C2332">
            <v>9781474459266</v>
          </cell>
        </row>
        <row r="2333">
          <cell r="A2333" t="str">
            <v>The Advance of African Capital: The Growth of Nigerian Private Enterprise</v>
          </cell>
          <cell r="B2333" t="str">
            <v>Ebook - pdf</v>
          </cell>
          <cell r="C2333">
            <v>9781474496889</v>
          </cell>
        </row>
        <row r="2334">
          <cell r="A2334" t="str">
            <v>The Aesthetics of Space in Nineteenth-Century British Literature, 1843-1907</v>
          </cell>
          <cell r="B2334" t="str">
            <v>Ebook - pdf</v>
          </cell>
          <cell r="C2334">
            <v>9781474443746</v>
          </cell>
        </row>
        <row r="2335">
          <cell r="A2335" t="str">
            <v>The Afterlives of Georges Perec</v>
          </cell>
          <cell r="B2335" t="str">
            <v>Ebook - pdf</v>
          </cell>
          <cell r="C2335">
            <v>9781474401258</v>
          </cell>
        </row>
        <row r="2336">
          <cell r="A2336" t="str">
            <v>The Agamben Dictionary</v>
          </cell>
          <cell r="B2336" t="str">
            <v>Ebook - pdf</v>
          </cell>
          <cell r="C2336">
            <v>9780748646982</v>
          </cell>
        </row>
        <row r="2337">
          <cell r="A2337" t="str">
            <v>The Age of Empires: Mesopotamia in the first millennium BC</v>
          </cell>
          <cell r="B2337" t="str">
            <v>Ebook - pdf</v>
          </cell>
          <cell r="C2337">
            <v>9781474469593</v>
          </cell>
        </row>
        <row r="2338">
          <cell r="A2338" t="str">
            <v>The 'Alids: The First Family of Islam, 750-1200</v>
          </cell>
          <cell r="B2338" t="str">
            <v>Ebook - pdf</v>
          </cell>
          <cell r="C2338">
            <v>9780748638482</v>
          </cell>
        </row>
        <row r="2339">
          <cell r="A2339" t="str">
            <v>The Almoravid and Almohad Empires</v>
          </cell>
          <cell r="B2339" t="str">
            <v>Ebook - pdf</v>
          </cell>
          <cell r="C2339">
            <v>9780748646821</v>
          </cell>
        </row>
        <row r="2340">
          <cell r="A2340" t="str">
            <v>The Amateur Emigrant, by Robert Louis Stevenson</v>
          </cell>
          <cell r="B2340" t="str">
            <v>Ebook - pdf</v>
          </cell>
          <cell r="C2340">
            <v>9781474471954</v>
          </cell>
        </row>
        <row r="2341">
          <cell r="A2341" t="str">
            <v>The American Counterculture</v>
          </cell>
          <cell r="B2341" t="str">
            <v>Ebook - pdf</v>
          </cell>
          <cell r="C2341">
            <v>9780748629091</v>
          </cell>
        </row>
        <row r="2342">
          <cell r="A2342" t="str">
            <v>The American Horror Film: An Introduction</v>
          </cell>
          <cell r="B2342" t="str">
            <v>Ebook - pdf</v>
          </cell>
          <cell r="C2342">
            <v>9781474469418</v>
          </cell>
        </row>
        <row r="2343">
          <cell r="A2343" t="str">
            <v>The American Landscape</v>
          </cell>
          <cell r="B2343" t="str">
            <v>Ebook - pdf</v>
          </cell>
          <cell r="C2343">
            <v>9780585102795</v>
          </cell>
        </row>
        <row r="2344">
          <cell r="A2344" t="str">
            <v>The American Left: Its Impact on Politics and Society since 1900</v>
          </cell>
          <cell r="B2344" t="str">
            <v>Ebook - pdf</v>
          </cell>
          <cell r="C2344">
            <v>9780748668892</v>
          </cell>
        </row>
        <row r="2345">
          <cell r="A2345" t="str">
            <v>The American Photo-Text, 1930-1960</v>
          </cell>
          <cell r="B2345" t="str">
            <v>Ebook - pdf</v>
          </cell>
          <cell r="C2345">
            <v>9781474404112</v>
          </cell>
        </row>
        <row r="2346">
          <cell r="A2346" t="str">
            <v>The American Presidency</v>
          </cell>
          <cell r="B2346" t="str">
            <v>Ebook - pdf</v>
          </cell>
          <cell r="C2346">
            <v>9781474473507</v>
          </cell>
        </row>
        <row r="2347">
          <cell r="A2347" t="str">
            <v>The American Presidents: Heroic Leadership from Kennedy to Clinton</v>
          </cell>
          <cell r="B2347" t="str">
            <v>Ebook - pdf</v>
          </cell>
          <cell r="C2347">
            <v>9781474472173</v>
          </cell>
        </row>
        <row r="2348">
          <cell r="A2348" t="str">
            <v>The American Short Story Cycle</v>
          </cell>
          <cell r="B2348" t="str">
            <v>Ebook - pdf</v>
          </cell>
          <cell r="C2348">
            <v>9781474423946</v>
          </cell>
        </row>
        <row r="2349">
          <cell r="A2349" t="str">
            <v>The American Short Story since 1950</v>
          </cell>
          <cell r="B2349" t="str">
            <v>Ebook - pdf</v>
          </cell>
          <cell r="C2349">
            <v>9780748631636</v>
          </cell>
        </row>
        <row r="2350">
          <cell r="A2350" t="str">
            <v>The American West: Competing Visions</v>
          </cell>
          <cell r="B2350" t="str">
            <v>Ebook - pdf</v>
          </cell>
          <cell r="C2350">
            <v>9780748629732</v>
          </cell>
        </row>
        <row r="2351">
          <cell r="A2351" t="str">
            <v>The American Western</v>
          </cell>
          <cell r="B2351" t="str">
            <v>Ebook - pdf</v>
          </cell>
          <cell r="C2351">
            <v>9780748629442</v>
          </cell>
        </row>
        <row r="2352">
          <cell r="A2352" t="str">
            <v>The Ancient Economy</v>
          </cell>
          <cell r="B2352" t="str">
            <v>Ebook - pdf</v>
          </cell>
          <cell r="C2352">
            <v>9781474472326</v>
          </cell>
        </row>
        <row r="2353">
          <cell r="A2353" t="str">
            <v>The Animal Question in Deconstruction</v>
          </cell>
          <cell r="B2353" t="str">
            <v>Ebook - pdf</v>
          </cell>
          <cell r="C2353">
            <v>9780748683147</v>
          </cell>
        </row>
        <row r="2354">
          <cell r="A2354" t="str">
            <v>The Antiquary</v>
          </cell>
          <cell r="B2354" t="str">
            <v>Ebook - pdf</v>
          </cell>
          <cell r="C2354">
            <v>9781474433051</v>
          </cell>
        </row>
        <row r="2355">
          <cell r="A2355" t="str">
            <v>The Arab Lefts: Histories and Legacies, 1950s–1970s</v>
          </cell>
          <cell r="B2355" t="str">
            <v>Ebook - pdf</v>
          </cell>
          <cell r="C2355">
            <v>9781474454261</v>
          </cell>
        </row>
        <row r="2356">
          <cell r="A2356" t="str">
            <v xml:space="preserve">The Arab Nahdah: The Making of the Intellectual and Humanist Movement </v>
          </cell>
          <cell r="B2356" t="str">
            <v>Ebook - pdf</v>
          </cell>
          <cell r="C2356">
            <v>9780748677900</v>
          </cell>
        </row>
        <row r="2357">
          <cell r="A2357" t="str">
            <v>The Arab World and Western Intelligence: Analysing the Middle East, 1956-1981</v>
          </cell>
          <cell r="B2357" t="str">
            <v>Ebook - pdf</v>
          </cell>
          <cell r="C2357">
            <v>9780748698929</v>
          </cell>
        </row>
        <row r="2358">
          <cell r="A2358" t="str">
            <v>The Arabic Grammatical Tradition: A Study in ta‘līl</v>
          </cell>
          <cell r="B2358" t="str">
            <v>Ebook - pdf</v>
          </cell>
          <cell r="C2358">
            <v>9781474472920</v>
          </cell>
        </row>
        <row r="2359">
          <cell r="A2359" t="str">
            <v>The Arabic Language</v>
          </cell>
          <cell r="B2359" t="str">
            <v>Ebook - pdf</v>
          </cell>
          <cell r="C2359">
            <v>9780748645299</v>
          </cell>
        </row>
        <row r="2360">
          <cell r="A2360" t="str">
            <v>The Arabic Language and National Identity: A Study in Ideology</v>
          </cell>
          <cell r="B2360" t="str">
            <v>Ebook - pdf</v>
          </cell>
          <cell r="C2360">
            <v>9781474472937</v>
          </cell>
        </row>
        <row r="2361">
          <cell r="A2361" t="str">
            <v>The Arabic Prose Poem: Poetic Theory and Practice</v>
          </cell>
          <cell r="B2361" t="str">
            <v>Ebook - pdf</v>
          </cell>
          <cell r="C2361">
            <v>9781474474986</v>
          </cell>
        </row>
        <row r="2362">
          <cell r="A2362" t="str">
            <v>The Archaeology of Afghanistan: From Earliest Times to the Timurid Period: New Edition</v>
          </cell>
          <cell r="B2362" t="str">
            <v>Ebook - pdf</v>
          </cell>
          <cell r="C2362">
            <v>9781474450478</v>
          </cell>
        </row>
        <row r="2363">
          <cell r="A2363" t="str">
            <v>The Archaeology of Argyll</v>
          </cell>
          <cell r="B2363" t="str">
            <v>Ebook - pdf</v>
          </cell>
          <cell r="C2363">
            <v>9780585101095</v>
          </cell>
        </row>
        <row r="2364">
          <cell r="A2364" t="str">
            <v>The Archaeology of Greece and Rome: Studies In Honour of Anthony Snodgrass</v>
          </cell>
          <cell r="B2364" t="str">
            <v>Ebook - pdf</v>
          </cell>
          <cell r="C2364">
            <v>9781474417105</v>
          </cell>
        </row>
        <row r="2365">
          <cell r="A2365" t="str">
            <v>The Archaeology of Skye and the Western Isles</v>
          </cell>
          <cell r="B2365" t="str">
            <v>Ebook - pdf</v>
          </cell>
          <cell r="C2365">
            <v>9780748679614</v>
          </cell>
        </row>
        <row r="2366">
          <cell r="A2366" t="str">
            <v>The Architecture of Scotland, 1660-1750</v>
          </cell>
          <cell r="B2366" t="str">
            <v>Ebook - pdf</v>
          </cell>
          <cell r="C2366">
            <v>9781474455282</v>
          </cell>
        </row>
        <row r="2367">
          <cell r="A2367" t="str">
            <v>The Arsenal of Democracy: Aircraft Supply and the Anglo-American Alliance, 1938-1942</v>
          </cell>
          <cell r="B2367" t="str">
            <v>Ebook - pdf</v>
          </cell>
          <cell r="C2367">
            <v>9780748649730</v>
          </cell>
        </row>
        <row r="2368">
          <cell r="A2368" t="str">
            <v>The Art and Politics of Film</v>
          </cell>
          <cell r="B2368" t="str">
            <v>Ebook - pdf</v>
          </cell>
          <cell r="C2368">
            <v>9781474471480</v>
          </cell>
        </row>
        <row r="2369">
          <cell r="A2369" t="str">
            <v>The Art of Minorities: Cultural Representation in Museums of the Middle East and North Africa</v>
          </cell>
          <cell r="B2369" t="str">
            <v>Ebook - pdf</v>
          </cell>
          <cell r="C2369">
            <v>9781474443784</v>
          </cell>
        </row>
        <row r="2370">
          <cell r="A2370" t="str">
            <v>The Art that all Arts do Approve: Manifestations of the Dance Impulse in High Renaissance Culture: Studies in Honour of Margaret M McGowan: Dance Research Volume 25 Issue 2</v>
          </cell>
          <cell r="B2370" t="str">
            <v>Ebook - pdf</v>
          </cell>
          <cell r="C2370">
            <v>9780748679607</v>
          </cell>
        </row>
        <row r="2371">
          <cell r="A2371" t="str">
            <v>The Athenian Empire</v>
          </cell>
          <cell r="B2371" t="str">
            <v>Ebook - pdf</v>
          </cell>
          <cell r="C2371">
            <v>9780748631247</v>
          </cell>
        </row>
        <row r="2372">
          <cell r="A2372" t="str">
            <v>The Audience Effect: On the Collective Cinema Experience</v>
          </cell>
          <cell r="B2372" t="str">
            <v>Ebook - pdf</v>
          </cell>
          <cell r="C2372">
            <v>9781474414968</v>
          </cell>
        </row>
        <row r="2373">
          <cell r="A2373" t="str">
            <v>The Auditory Setting: Environmental Sounds in Film and Media Arts</v>
          </cell>
          <cell r="B2373" t="str">
            <v>Ebook - pdf</v>
          </cell>
          <cell r="C2373">
            <v>9781474474405</v>
          </cell>
        </row>
        <row r="2374">
          <cell r="A2374" t="str">
            <v>The Autonomy of Modern Scotland</v>
          </cell>
          <cell r="B2374" t="str">
            <v>Ebook - pdf</v>
          </cell>
          <cell r="C2374">
            <v>9781474471572</v>
          </cell>
        </row>
        <row r="2375">
          <cell r="A2375" t="str">
            <v>The Badiou Dictionary</v>
          </cell>
          <cell r="B2375" t="str">
            <v>Ebook - pdf</v>
          </cell>
          <cell r="C2375">
            <v>9780748669646</v>
          </cell>
        </row>
        <row r="2376">
          <cell r="A2376" t="str">
            <v>The Battle of Britain on Screen: 'The Few' in British Film and Television Drama</v>
          </cell>
          <cell r="B2376" t="str">
            <v>Ebook - pdf</v>
          </cell>
          <cell r="C2376">
            <v>9780748630240</v>
          </cell>
        </row>
        <row r="2377">
          <cell r="A2377" t="str">
            <v xml:space="preserve">The Baudrillard Dictionary </v>
          </cell>
          <cell r="B2377" t="str">
            <v>Ebook - pdf</v>
          </cell>
          <cell r="C2377">
            <v>9780748642915</v>
          </cell>
        </row>
        <row r="2378">
          <cell r="A2378" t="str">
            <v>The Bazaar and Other Stories</v>
          </cell>
          <cell r="B2378" t="str">
            <v>Ebook - pdf</v>
          </cell>
          <cell r="C2378">
            <v>9780748635733</v>
          </cell>
        </row>
        <row r="2379">
          <cell r="A2379" t="str">
            <v>The Beats: Authorships, Legacies</v>
          </cell>
          <cell r="B2379" t="str">
            <v>Ebook - pdf</v>
          </cell>
          <cell r="C2379">
            <v>9781474403986</v>
          </cell>
        </row>
        <row r="2380">
          <cell r="A2380" t="str">
            <v>The Beckett Critical Reader: Archives, Theories and Translations</v>
          </cell>
          <cell r="B2380" t="str">
            <v>Ebook - pdf</v>
          </cell>
          <cell r="C2380">
            <v>9781474468558</v>
          </cell>
        </row>
        <row r="2381">
          <cell r="A2381" t="str">
            <v>The Becoming of the Body: Contemporary Women's Writing in French</v>
          </cell>
          <cell r="B2381" t="str">
            <v>Ebook - pdf</v>
          </cell>
          <cell r="C2381">
            <v>9780748668229</v>
          </cell>
        </row>
        <row r="2382">
          <cell r="A2382" t="str">
            <v>The Besieged Ego: Doppelgangers and Split Identity Onscreen</v>
          </cell>
          <cell r="B2382" t="str">
            <v>Ebook - pdf</v>
          </cell>
          <cell r="C2382">
            <v>9780748692033</v>
          </cell>
        </row>
        <row r="2383">
          <cell r="A2383" t="str">
            <v>The Betrothed</v>
          </cell>
          <cell r="B2383" t="str">
            <v>Ebook - pdf</v>
          </cell>
          <cell r="C2383">
            <v>9780748628346</v>
          </cell>
        </row>
        <row r="2384">
          <cell r="A2384" t="str">
            <v>The Biopolitics of Stalinism: Ideology and Life in Soviet Socialism</v>
          </cell>
          <cell r="B2384" t="str">
            <v>Ebook - pdf</v>
          </cell>
          <cell r="C2384">
            <v>9781474410540</v>
          </cell>
        </row>
        <row r="2385">
          <cell r="A2385" t="str">
            <v>The Birth of Nomos</v>
          </cell>
          <cell r="B2385" t="str">
            <v>Ebook - pdf</v>
          </cell>
          <cell r="C2385">
            <v>9781474442022</v>
          </cell>
        </row>
        <row r="2386">
          <cell r="A2386" t="str">
            <v>The Birth of the American Horror Film</v>
          </cell>
          <cell r="B2386" t="str">
            <v>Ebook - pdf</v>
          </cell>
          <cell r="C2386">
            <v>9781474430876</v>
          </cell>
        </row>
        <row r="2387">
          <cell r="A2387" t="str">
            <v>The Black Dwarf</v>
          </cell>
          <cell r="B2387" t="str">
            <v>Ebook - pdf</v>
          </cell>
          <cell r="C2387">
            <v>9781474433471</v>
          </cell>
        </row>
        <row r="2388">
          <cell r="A2388" t="str">
            <v>The Blasphemies of Thomas Aikenhead: Boundaries of Belief on the Eve of the Enlightenment</v>
          </cell>
          <cell r="B2388" t="str">
            <v>Ebook - pdf</v>
          </cell>
          <cell r="C2388">
            <v>9780748634279</v>
          </cell>
        </row>
        <row r="2389">
          <cell r="A2389" t="str">
            <v>The Blind and Blindness in Literature of the Romantic Period</v>
          </cell>
          <cell r="B2389" t="str">
            <v>Ebook - pdf</v>
          </cell>
          <cell r="C2389">
            <v>9780748632015</v>
          </cell>
        </row>
        <row r="2390">
          <cell r="A2390" t="str">
            <v>The BNC Handbook: Exploring the British National Corpus with SARA</v>
          </cell>
          <cell r="B2390" t="str">
            <v>Ebook - pdf</v>
          </cell>
          <cell r="C2390">
            <v>9780748628889</v>
          </cell>
        </row>
        <row r="2391">
          <cell r="A2391" t="str">
            <v>The Body in Arabic Love Poetry: The Udhri Tradition</v>
          </cell>
          <cell r="B2391" t="str">
            <v>Ebook - pdf</v>
          </cell>
          <cell r="C2391">
            <v>9781474486361</v>
          </cell>
        </row>
        <row r="2392">
          <cell r="A2392" t="str">
            <v>The Body's Perilous Pleasures: Dangerous Desires and Contemporary Culture</v>
          </cell>
          <cell r="B2392" t="str">
            <v>Ebook - pdf</v>
          </cell>
          <cell r="C2392">
            <v>9780585159225</v>
          </cell>
        </row>
        <row r="2393">
          <cell r="A2393" t="str">
            <v>The Book of Tribulations": The Syrian Muslim Apocalyptic Tradition": An Annotated Translation by Nu'aym b. Hammad al-Marwazi</v>
          </cell>
          <cell r="B2393" t="str">
            <v>Ebook - pdf</v>
          </cell>
          <cell r="C2393">
            <v>9781474424110</v>
          </cell>
        </row>
        <row r="2394">
          <cell r="A2394" t="str">
            <v>The Bride of Lammermoor</v>
          </cell>
          <cell r="B2394" t="str">
            <v>Ebook - pdf</v>
          </cell>
          <cell r="C2394">
            <v>9780748698585</v>
          </cell>
        </row>
        <row r="2395">
          <cell r="A2395" t="str">
            <v>The British Labour Government and The Greek Civil War: 1945-1949</v>
          </cell>
          <cell r="B2395" t="str">
            <v>Ebook - pdf</v>
          </cell>
          <cell r="C2395">
            <v>9781474472494</v>
          </cell>
        </row>
        <row r="2396">
          <cell r="A2396" t="str">
            <v>The Bush aboon Traquair and The Royal Jubilee</v>
          </cell>
          <cell r="B2396" t="str">
            <v>Ebook - pdf</v>
          </cell>
          <cell r="C2396">
            <v>9780748634538</v>
          </cell>
        </row>
        <row r="2397">
          <cell r="A2397" t="str">
            <v>The Call of Classical Literature in the Romantic Age</v>
          </cell>
          <cell r="B2397" t="str">
            <v>Ebook - pdf</v>
          </cell>
          <cell r="C2397">
            <v>9781474429665</v>
          </cell>
        </row>
        <row r="2398">
          <cell r="A2398" t="str">
            <v>The Carbon Footprint Wars: What Might Happen If We Retreat From Globalization?</v>
          </cell>
          <cell r="B2398" t="str">
            <v>Ebook - pdf</v>
          </cell>
          <cell r="C2398">
            <v>9780748637676</v>
          </cell>
        </row>
        <row r="2399">
          <cell r="A2399" t="str">
            <v>The Case of Sherlock Holmes: Secrets and Lies in Conan Doyle's Detective Fiction</v>
          </cell>
          <cell r="B2399" t="str">
            <v>Ebook - pdf</v>
          </cell>
          <cell r="C2399">
            <v>9781474431323</v>
          </cell>
        </row>
        <row r="2400">
          <cell r="A2400" t="str">
            <v>The Celts: A History From Earliest Times to the Present</v>
          </cell>
          <cell r="B2400" t="str">
            <v>Ebook - pdf</v>
          </cell>
          <cell r="C2400">
            <v>9781474427210</v>
          </cell>
        </row>
        <row r="2401">
          <cell r="A2401" t="str">
            <v>The Centennial History of the Independent Labour Party</v>
          </cell>
          <cell r="B2401" t="str">
            <v>Ebook - pdf</v>
          </cell>
          <cell r="C2401">
            <v>9781474469586</v>
          </cell>
        </row>
        <row r="2402">
          <cell r="A2402" t="str">
            <v>The Challenge of Pluralism: Paradigms from Muslim Contexts</v>
          </cell>
          <cell r="B2402" t="str">
            <v>Ebook - pdf</v>
          </cell>
          <cell r="C2402">
            <v>9780748642090</v>
          </cell>
        </row>
        <row r="2403">
          <cell r="A2403" t="str">
            <v>The Changing Constitution</v>
          </cell>
          <cell r="B2403" t="str">
            <v>Ebook - pdf</v>
          </cell>
          <cell r="C2403">
            <v>9780748626663</v>
          </cell>
        </row>
        <row r="2404">
          <cell r="A2404" t="str">
            <v>The Changing Flora of Glasgow: Urban and Rural Plants through the Centuries</v>
          </cell>
          <cell r="B2404" t="str">
            <v>Ebook - pdf</v>
          </cell>
          <cell r="C2404">
            <v>9781474467711</v>
          </cell>
        </row>
        <row r="2405">
          <cell r="A2405" t="str">
            <v>The CIA and the Pursuit of Security: History, Documents and Contexts</v>
          </cell>
          <cell r="B2405" t="str">
            <v>Ebook - pdf</v>
          </cell>
          <cell r="C2405">
            <v>9781474428866</v>
          </cell>
        </row>
        <row r="2406">
          <cell r="A2406" t="str">
            <v>The Cinema and Cinema-Going in Scotland, 1896-1950</v>
          </cell>
          <cell r="B2406" t="str">
            <v>Ebook - pdf</v>
          </cell>
          <cell r="C2406">
            <v>9780748668045</v>
          </cell>
        </row>
        <row r="2407">
          <cell r="A2407" t="str">
            <v>The Cinema of Basil Dearden and Michael Relph</v>
          </cell>
          <cell r="B2407" t="str">
            <v>Ebook - pdf</v>
          </cell>
          <cell r="C2407">
            <v>9780748632527</v>
          </cell>
        </row>
        <row r="2408">
          <cell r="A2408" t="str">
            <v>The Cinema of Disorientation: Inviting Confusions</v>
          </cell>
          <cell r="B2408" t="str">
            <v>Ebook - pdf</v>
          </cell>
          <cell r="C2408">
            <v>9781474462792</v>
          </cell>
        </row>
        <row r="2409">
          <cell r="A2409" t="str">
            <v>The Cinema of Marguerite Duras: Multisensoriality and Female Subjectivity</v>
          </cell>
          <cell r="B2409" t="str">
            <v>Ebook - pdf</v>
          </cell>
          <cell r="C2409">
            <v>9781474427869</v>
          </cell>
        </row>
        <row r="2410">
          <cell r="A2410" t="str">
            <v>The Cinema of Mia Hansen-Løve: Candour and Vulnerability</v>
          </cell>
          <cell r="B2410" t="str">
            <v>Ebook - pdf</v>
          </cell>
          <cell r="C2410">
            <v>9781474447669</v>
          </cell>
        </row>
        <row r="2411">
          <cell r="A2411" t="str">
            <v>The Cinema of Ozu Yasujiro: Histories of the Everyday</v>
          </cell>
          <cell r="B2411" t="str">
            <v>Ebook - pdf</v>
          </cell>
          <cell r="C2411">
            <v>9780748696338</v>
          </cell>
        </row>
        <row r="2412">
          <cell r="A2412" t="str">
            <v>The Cinema of Small Nations</v>
          </cell>
          <cell r="B2412" t="str">
            <v>Ebook - pdf</v>
          </cell>
          <cell r="C2412">
            <v>9780748630929</v>
          </cell>
        </row>
        <row r="2413">
          <cell r="A2413" t="str">
            <v>The Cinema of Theo Angelopoulos</v>
          </cell>
          <cell r="B2413" t="str">
            <v>Ebook - pdf</v>
          </cell>
          <cell r="C2413">
            <v>9780748697960</v>
          </cell>
        </row>
        <row r="2414">
          <cell r="A2414" t="str">
            <v>The Cinematic Bodies of Eastern Europe and Russia: Between Pain and Pleasure</v>
          </cell>
          <cell r="B2414" t="str">
            <v>Ebook - pdf</v>
          </cell>
          <cell r="C2414">
            <v>9781474405157</v>
          </cell>
        </row>
        <row r="2415">
          <cell r="A2415" t="str">
            <v>The City in Arabic Literature: Classical and Modern Perspectives</v>
          </cell>
          <cell r="B2415" t="str">
            <v>Ebook - pdf</v>
          </cell>
          <cell r="C2415">
            <v>9781474406536</v>
          </cell>
        </row>
        <row r="2416">
          <cell r="A2416" t="str">
            <v>The Civil Rights Movement</v>
          </cell>
          <cell r="B2416" t="str">
            <v>Ebook - pdf</v>
          </cell>
          <cell r="C2416">
            <v>9781474471305</v>
          </cell>
        </row>
        <row r="2417">
          <cell r="A2417" t="str">
            <v>The Civil War in American Culture</v>
          </cell>
          <cell r="B2417" t="str">
            <v>Ebook - pdf</v>
          </cell>
          <cell r="C2417">
            <v>9780748626564</v>
          </cell>
        </row>
        <row r="2418">
          <cell r="A2418" t="str">
            <v>The Clandestine Lives of Colonel David Smiley: Code Name 'Grin'</v>
          </cell>
          <cell r="B2418" t="str">
            <v>Ebook - pdf</v>
          </cell>
          <cell r="C2418">
            <v>9781474441179</v>
          </cell>
        </row>
        <row r="2419">
          <cell r="A2419" t="str">
            <v>The Classical Tradition in Modern American Fiction</v>
          </cell>
          <cell r="B2419" t="str">
            <v>Ebook - pdf</v>
          </cell>
          <cell r="C2419">
            <v>9781474434058</v>
          </cell>
        </row>
        <row r="2420">
          <cell r="A2420" t="str">
            <v>The Collected Fiction of Katherine Mansfield, 1898-1915</v>
          </cell>
          <cell r="B2420" t="str">
            <v>Ebook - pdf</v>
          </cell>
          <cell r="C2420">
            <v>9781399503976</v>
          </cell>
        </row>
        <row r="2421">
          <cell r="A2421" t="str">
            <v>The Collected Fiction of Katherine Mansfield, 1916–1922</v>
          </cell>
          <cell r="B2421" t="str">
            <v>Ebook - pdf</v>
          </cell>
          <cell r="C2421">
            <v>9781399504140</v>
          </cell>
        </row>
        <row r="2422">
          <cell r="A2422" t="str">
            <v>The Collected Letters of James Hogg, Volume 1, 1800-1819</v>
          </cell>
          <cell r="B2422" t="str">
            <v>Ebook - pdf</v>
          </cell>
          <cell r="C2422">
            <v>9781474433846</v>
          </cell>
        </row>
        <row r="2423">
          <cell r="A2423" t="str">
            <v>The Collected Letters of James Hogg, Volume 2, 1820-1831</v>
          </cell>
          <cell r="B2423" t="str">
            <v>Ebook - pdf</v>
          </cell>
          <cell r="C2423">
            <v>9781474433839</v>
          </cell>
        </row>
        <row r="2424">
          <cell r="A2424" t="str">
            <v>The Collected Letters of James Hogg, Volume 3, 1832-1835</v>
          </cell>
          <cell r="B2424" t="str">
            <v>Ebook - pdf</v>
          </cell>
          <cell r="C2424">
            <v>9780748628735</v>
          </cell>
        </row>
        <row r="2425">
          <cell r="A2425" t="str">
            <v>The Collected Poems of Katherine Mansfield</v>
          </cell>
          <cell r="B2425" t="str">
            <v>Ebook - pdf</v>
          </cell>
          <cell r="C2425">
            <v>9781399504096</v>
          </cell>
        </row>
        <row r="2426">
          <cell r="A2426" t="str">
            <v>The Collected Poems of Robert Louis Stevenson</v>
          </cell>
          <cell r="B2426" t="str">
            <v>Ebook - pdf</v>
          </cell>
          <cell r="C2426">
            <v>9781474472876</v>
          </cell>
        </row>
        <row r="2427">
          <cell r="A2427" t="str">
            <v>The Collected Works of Kenneth White, Volume 1: Underground to Otherground</v>
          </cell>
          <cell r="B2427" t="str">
            <v>Ebook - pdf</v>
          </cell>
          <cell r="C2427">
            <v>9781474481304</v>
          </cell>
        </row>
        <row r="2428">
          <cell r="A2428" t="str">
            <v>The Collected Works of Kenneth White, Volume 2: Mappings: Landscape, Mindscape, Wordscape</v>
          </cell>
          <cell r="B2428" t="str">
            <v>Ebook - pdf</v>
          </cell>
          <cell r="C2428">
            <v>9781474481335</v>
          </cell>
        </row>
        <row r="2429">
          <cell r="A2429" t="str">
            <v>The Colonial Documentary Film in South and South-East Asia</v>
          </cell>
          <cell r="B2429" t="str">
            <v>Ebook - pdf</v>
          </cell>
          <cell r="C2429">
            <v>9781474407212</v>
          </cell>
        </row>
        <row r="2430">
          <cell r="A2430" t="str">
            <v>The Common and Counter-Hegemonic Politics: Re-Thinking Social Change</v>
          </cell>
          <cell r="B2430" t="str">
            <v>Ebook - pdf</v>
          </cell>
          <cell r="C2430">
            <v>9781474446167</v>
          </cell>
        </row>
        <row r="2431">
          <cell r="A2431" t="str">
            <v>The Community of the College of Justice: Edinburgh and the Court of Session, 1687-1808</v>
          </cell>
          <cell r="B2431" t="str">
            <v>Ebook - pdf</v>
          </cell>
          <cell r="C2431">
            <v>9780748645787</v>
          </cell>
        </row>
        <row r="2432">
          <cell r="A2432" t="str">
            <v>The Computer-Animated Film: Industry, Style and Genre</v>
          </cell>
          <cell r="B2432" t="str">
            <v>Ebook - pdf</v>
          </cell>
          <cell r="C2432">
            <v>9781474427906</v>
          </cell>
        </row>
        <row r="2433">
          <cell r="A2433" t="str">
            <v>The Concept of Conversation: From Cicero's Sermo to the Grand Siècle's Conversation</v>
          </cell>
          <cell r="B2433" t="str">
            <v>Ebook - pdf</v>
          </cell>
          <cell r="C2433">
            <v>9781474430128</v>
          </cell>
        </row>
        <row r="2434">
          <cell r="A2434" t="str">
            <v>The Concept of the State in International Relations: Philosophy, Sovereignty and Cosmopolitanism</v>
          </cell>
          <cell r="B2434" t="str">
            <v>Ebook - pdf</v>
          </cell>
          <cell r="C2434">
            <v>9780748693634</v>
          </cell>
        </row>
        <row r="2435">
          <cell r="A2435" t="str">
            <v>The Confederate Jurist: The Legal Life of Judah P. Benjamin</v>
          </cell>
          <cell r="B2435" t="str">
            <v>Ebook - pdf</v>
          </cell>
          <cell r="C2435">
            <v>9781474482028</v>
          </cell>
        </row>
        <row r="2436">
          <cell r="A2436" t="str">
            <v>The Consequences of Possession</v>
          </cell>
          <cell r="B2436" t="str">
            <v>Ebook - pdf</v>
          </cell>
          <cell r="C2436">
            <v>9780748693658</v>
          </cell>
        </row>
        <row r="2437">
          <cell r="A2437" t="str">
            <v>The Constructivist Turn in Political Representation</v>
          </cell>
          <cell r="B2437" t="str">
            <v>Ebook - pdf</v>
          </cell>
          <cell r="C2437">
            <v>9781474442626</v>
          </cell>
        </row>
        <row r="2438">
          <cell r="A2438" t="str">
            <v>The Contemporary American Crime Novel: Race, Ethnicity, Gender, Class</v>
          </cell>
          <cell r="B2438" t="str">
            <v>Ebook - pdf</v>
          </cell>
          <cell r="C2438">
            <v>9781474471596</v>
          </cell>
        </row>
        <row r="2439">
          <cell r="A2439" t="str">
            <v>The Contemporary British Novel</v>
          </cell>
          <cell r="B2439" t="str">
            <v>Ebook - pdf</v>
          </cell>
          <cell r="C2439">
            <v>9780748626243</v>
          </cell>
        </row>
        <row r="2440">
          <cell r="A2440" t="str">
            <v>The Contemporary British Novel Since 2000</v>
          </cell>
          <cell r="B2440" t="str">
            <v>Ebook - pdf</v>
          </cell>
          <cell r="C2440">
            <v>9781474403740</v>
          </cell>
        </row>
        <row r="2441">
          <cell r="A2441" t="str">
            <v>The Contemporary Poetry Archive: Essays and Interventions</v>
          </cell>
          <cell r="B2441" t="str">
            <v>Ebook - pdf</v>
          </cell>
          <cell r="C2441">
            <v>9781474432467</v>
          </cell>
        </row>
        <row r="2442">
          <cell r="A2442" t="str">
            <v>The Contemporary Television Series</v>
          </cell>
          <cell r="B2442" t="str">
            <v>Ebook - pdf</v>
          </cell>
          <cell r="C2442">
            <v>9780748679645</v>
          </cell>
        </row>
        <row r="2443">
          <cell r="A2443" t="str">
            <v>The Contemporary Western: An American Genre Post 9/11</v>
          </cell>
          <cell r="B2443" t="str">
            <v>Ebook - pdf</v>
          </cell>
          <cell r="C2443">
            <v>9781474427944</v>
          </cell>
        </row>
        <row r="2444">
          <cell r="A2444" t="str">
            <v>The Contingency of Necessity: Reason and God as Matters of Fact</v>
          </cell>
          <cell r="B2444" t="str">
            <v>Ebook - pdf</v>
          </cell>
          <cell r="C2444">
            <v>9781474428217</v>
          </cell>
        </row>
        <row r="2445">
          <cell r="A2445" t="str">
            <v>The Conversational Enlightenment: The Reconception of Rhetoric in Eighteenth-Century Thought</v>
          </cell>
          <cell r="B2445" t="str">
            <v>Ebook - pdf</v>
          </cell>
          <cell r="C2445">
            <v>9781474448680</v>
          </cell>
        </row>
        <row r="2446">
          <cell r="A2446" t="str">
            <v>The Corpus Phonology of English: Multifocal Analyses of Variation</v>
          </cell>
          <cell r="B2446" t="str">
            <v>Ebook - pdf</v>
          </cell>
          <cell r="C2446">
            <v>9781474467018</v>
          </cell>
        </row>
        <row r="2447">
          <cell r="A2447" t="str">
            <v>The Correspondence and Other Papers of James Boswell Relating to the Making of the Life of Johnson: Correspondence, Volume 2</v>
          </cell>
          <cell r="B2447" t="str">
            <v>Ebook - pdf</v>
          </cell>
          <cell r="C2447">
            <v>9781474441957</v>
          </cell>
        </row>
        <row r="2448">
          <cell r="A2448" t="str">
            <v>The Correspondence Between Hugh MacDiarmid and Sorley MacLean: An Annotated Edition</v>
          </cell>
          <cell r="B2448" t="str">
            <v>Ebook - pdf</v>
          </cell>
          <cell r="C2448">
            <v>9780748642328</v>
          </cell>
        </row>
        <row r="2449">
          <cell r="A2449" t="str">
            <v>The Correspondence of James Boswell and William Johnson Temple, 1756–1795: Volume 1: 1756–1777</v>
          </cell>
          <cell r="B2449" t="str">
            <v>Ebook - pdf</v>
          </cell>
          <cell r="C2449">
            <v>9781474479110</v>
          </cell>
        </row>
        <row r="2450">
          <cell r="A2450" t="str">
            <v>The Correspondence of James Boswell with James Bruce and Andrew Gibb, Overseers of the Auchinleck Estate: Research Edition: Correspondence, Volume 8</v>
          </cell>
          <cell r="B2450" t="str">
            <v>Ebook - pdf</v>
          </cell>
          <cell r="C2450">
            <v>9781474441988</v>
          </cell>
        </row>
        <row r="2451">
          <cell r="A2451" t="str">
            <v>The Correspondence of Thomas Reid</v>
          </cell>
          <cell r="B2451" t="str">
            <v>Ebook - pdf</v>
          </cell>
          <cell r="C2451">
            <v>9780748692408</v>
          </cell>
        </row>
        <row r="2452">
          <cell r="A2452" t="str">
            <v>The Cosmopolitan Novel</v>
          </cell>
          <cell r="B2452" t="str">
            <v>Ebook - pdf</v>
          </cell>
          <cell r="C2452">
            <v>9780748640836</v>
          </cell>
        </row>
        <row r="2453">
          <cell r="A2453" t="str">
            <v>The Courts, the Church and the Constitution: Aspects of the Disruption of 1843</v>
          </cell>
          <cell r="B2453" t="str">
            <v>Ebook - pdf</v>
          </cell>
          <cell r="C2453">
            <v>9780748637553</v>
          </cell>
        </row>
        <row r="2454">
          <cell r="A2454" t="str">
            <v>The Creation of the Ius Commune: From Casus to Regula</v>
          </cell>
          <cell r="B2454" t="str">
            <v>Ebook - pdf</v>
          </cell>
          <cell r="C2454">
            <v>9780748642922</v>
          </cell>
        </row>
        <row r="2455">
          <cell r="A2455" t="str">
            <v>The Crisis of Social Democracy in Europe</v>
          </cell>
          <cell r="B2455" t="str">
            <v>Ebook - pdf</v>
          </cell>
          <cell r="C2455">
            <v>9780748665839</v>
          </cell>
        </row>
        <row r="2456">
          <cell r="A2456" t="str">
            <v>The Crusades: Islamic Perspectives</v>
          </cell>
          <cell r="B2456" t="str">
            <v>Ebook - pdf</v>
          </cell>
          <cell r="C2456">
            <v>9781474469166</v>
          </cell>
        </row>
        <row r="2457">
          <cell r="A2457" t="str">
            <v>The Cuban Missile Crisis: Origins, Course and Aftermath</v>
          </cell>
          <cell r="B2457" t="str">
            <v>Ebook - pdf</v>
          </cell>
          <cell r="C2457">
            <v>9780748696291</v>
          </cell>
        </row>
        <row r="2458">
          <cell r="A2458" t="str">
            <v>The Cultural Memory of Georgian Glasgow</v>
          </cell>
          <cell r="B2458" t="str">
            <v>Ebook - pdf</v>
          </cell>
          <cell r="C2458">
            <v>9781474443296</v>
          </cell>
        </row>
        <row r="2459">
          <cell r="A2459" t="str">
            <v>The Cultural Politics of Emotion</v>
          </cell>
          <cell r="B2459" t="str">
            <v>Ebook - pdf</v>
          </cell>
          <cell r="C2459">
            <v>9780748691142</v>
          </cell>
        </row>
        <row r="2460">
          <cell r="A2460" t="str">
            <v>The Cultural Roots of British Devolution</v>
          </cell>
          <cell r="B2460" t="str">
            <v>Ebook - pdf</v>
          </cell>
          <cell r="C2460">
            <v>9781474468336</v>
          </cell>
        </row>
        <row r="2461">
          <cell r="A2461" t="str">
            <v>The Cultural Work of Empire: The Seven Years' War and the Imagining of the Shandean State</v>
          </cell>
          <cell r="B2461" t="str">
            <v>Ebook - pdf</v>
          </cell>
          <cell r="C2461">
            <v>9780748631223</v>
          </cell>
        </row>
        <row r="2462">
          <cell r="A2462" t="str">
            <v>The Culture of Letter-Writing in Pre-Modern Islamic Society</v>
          </cell>
          <cell r="B2462" t="str">
            <v>Ebook - pdf</v>
          </cell>
          <cell r="C2462">
            <v>9780748633746</v>
          </cell>
        </row>
        <row r="2463">
          <cell r="A2463" t="str">
            <v>The Cultures of the American New West</v>
          </cell>
          <cell r="B2463" t="str">
            <v>Ebook - pdf</v>
          </cell>
          <cell r="C2463">
            <v>9781474465618</v>
          </cell>
        </row>
        <row r="2464">
          <cell r="A2464" t="str">
            <v>The Dandy in Irish and American Southern Fiction: Aristocratic Drag</v>
          </cell>
          <cell r="B2464" t="str">
            <v>Ebook - pdf</v>
          </cell>
          <cell r="C2464">
            <v>9780748631018</v>
          </cell>
        </row>
        <row r="2465">
          <cell r="A2465" t="str">
            <v>The Dangerous Trade: Spies, Spymasters and the Making of Europe</v>
          </cell>
          <cell r="B2465" t="str">
            <v>Ebook - pdf</v>
          </cell>
          <cell r="C2465">
            <v>9781845861551</v>
          </cell>
        </row>
        <row r="2466">
          <cell r="A2466" t="str">
            <v>The Dangerous Trade: Spies, Spymasters and the Making of Europe</v>
          </cell>
          <cell r="B2466" t="str">
            <v>Ebook - pdf</v>
          </cell>
          <cell r="C2466">
            <v>9781474472982</v>
          </cell>
        </row>
        <row r="2467">
          <cell r="A2467" t="str">
            <v>The Dark Age of Greece: An Archaeological Survey of the Eleventh to the Eighth Centuries BC</v>
          </cell>
          <cell r="B2467" t="str">
            <v>Ebook - pdf</v>
          </cell>
          <cell r="C2467">
            <v>9781474472746</v>
          </cell>
        </row>
        <row r="2468">
          <cell r="A2468" t="str">
            <v>The Death and Return of the Author: Criticism and Subjectivity in Barthes, Foucault and Derrida</v>
          </cell>
          <cell r="B2468" t="str">
            <v>Ebook - pdf</v>
          </cell>
          <cell r="C2468">
            <v>9781474482172</v>
          </cell>
        </row>
        <row r="2469">
          <cell r="A2469" t="str">
            <v>The Decadent Image: The Poetry of Wilde, Symons, and Dowson</v>
          </cell>
          <cell r="B2469" t="str">
            <v>Ebook - pdf</v>
          </cell>
          <cell r="C2469">
            <v>9780748690930</v>
          </cell>
        </row>
        <row r="2470">
          <cell r="A2470" t="str">
            <v>The Decadent Short Story: An Annotated Anthology</v>
          </cell>
          <cell r="B2470" t="str">
            <v>Ebook - pdf</v>
          </cell>
          <cell r="C2470">
            <v>9780748692156</v>
          </cell>
        </row>
        <row r="2471">
          <cell r="A2471" t="str">
            <v>The Decline of the Ottoman Empire and The Rise of the Turkish Republic: Observations of an American Diplomat, 1919-1927</v>
          </cell>
          <cell r="B2471" t="str">
            <v>Ebook - pdf</v>
          </cell>
          <cell r="C2471">
            <v>9781474480406</v>
          </cell>
        </row>
        <row r="2472">
          <cell r="A2472" t="str">
            <v>The Deleuze Dictionary Revised Edition</v>
          </cell>
          <cell r="B2472" t="str">
            <v>Ebook - pdf</v>
          </cell>
          <cell r="C2472">
            <v>9780748643271</v>
          </cell>
        </row>
        <row r="2473">
          <cell r="A2473" t="str">
            <v>The Deleuze-Lucretius Encounter</v>
          </cell>
          <cell r="B2473" t="str">
            <v>Ebook - pdf</v>
          </cell>
          <cell r="C2473">
            <v>9781474416542</v>
          </cell>
        </row>
        <row r="2474">
          <cell r="A2474" t="str">
            <v>The Democratic Intellect: Scotland and her Universities in the Nineteenth Century: Edinburgh Classic Editions</v>
          </cell>
          <cell r="B2474" t="str">
            <v>Ebook - pdf</v>
          </cell>
          <cell r="C2474">
            <v>9780748684793</v>
          </cell>
        </row>
        <row r="2475">
          <cell r="A2475" t="str">
            <v>The Derrida - Habermas Reader</v>
          </cell>
          <cell r="B2475" t="str">
            <v>Ebook - pdf</v>
          </cell>
          <cell r="C2475">
            <v>9781474473132</v>
          </cell>
        </row>
        <row r="2476">
          <cell r="A2476" t="str">
            <v>The Derrida Reader: Writing Performances</v>
          </cell>
          <cell r="B2476" t="str">
            <v>Ebook - pdf</v>
          </cell>
          <cell r="C2476">
            <v>9781474473644</v>
          </cell>
        </row>
        <row r="2477">
          <cell r="A2477" t="str">
            <v>The Derrida Wordbook</v>
          </cell>
          <cell r="B2477" t="str">
            <v>Ebook - pdf</v>
          </cell>
          <cell r="C2477">
            <v>9780748680375</v>
          </cell>
        </row>
        <row r="2478">
          <cell r="A2478" t="str">
            <v>The Desert in Modern Literature and Philosophy: Wasteland Aesthetics</v>
          </cell>
          <cell r="B2478" t="str">
            <v>Ebook - pdf</v>
          </cell>
          <cell r="C2478">
            <v>9781474443371</v>
          </cell>
        </row>
        <row r="2479">
          <cell r="A2479" t="str">
            <v>The Diaries of Katherine Mansfield: Including Miscellaneous Works</v>
          </cell>
          <cell r="B2479" t="str">
            <v>Ebook - pdf</v>
          </cell>
          <cell r="C2479">
            <v>9781399504164</v>
          </cell>
        </row>
        <row r="2480">
          <cell r="A2480" t="str">
            <v>The Dictionary of Feminist Theory</v>
          </cell>
          <cell r="B2480" t="str">
            <v>Ebook - pdf</v>
          </cell>
          <cell r="C2480">
            <v>9781474469401</v>
          </cell>
        </row>
        <row r="2481">
          <cell r="A2481" t="str">
            <v>The Dictionary of Historical and Comparative Linguistics</v>
          </cell>
          <cell r="B2481" t="str">
            <v>Ebook - pdf</v>
          </cell>
          <cell r="C2481">
            <v>9781474473316</v>
          </cell>
        </row>
        <row r="2482">
          <cell r="A2482" t="str">
            <v>The Discursive Construction of National Identity</v>
          </cell>
          <cell r="B2482" t="str">
            <v>Ebook - pdf</v>
          </cell>
          <cell r="C2482">
            <v>9780748637355</v>
          </cell>
        </row>
        <row r="2483">
          <cell r="A2483" t="str">
            <v>The Dissolution of Character in Late Romanticism, 1820 - 1839</v>
          </cell>
          <cell r="B2483" t="str">
            <v>Ebook - pdf</v>
          </cell>
          <cell r="C2483">
            <v>9781474421317</v>
          </cell>
        </row>
        <row r="2484">
          <cell r="A2484" t="str">
            <v>The Documentary Film Movement: An Anthology</v>
          </cell>
          <cell r="B2484" t="str">
            <v>Ebook - pdf</v>
          </cell>
          <cell r="C2484">
            <v>9780748672974</v>
          </cell>
        </row>
        <row r="2485">
          <cell r="A2485" t="str">
            <v>The Dome of the Rock and its Umayyad Mosaic Inscriptions</v>
          </cell>
          <cell r="B2485" t="str">
            <v>Ebook - pdf</v>
          </cell>
          <cell r="C2485">
            <v>9781474460446</v>
          </cell>
        </row>
        <row r="2486">
          <cell r="A2486" t="str">
            <v>The Dundee Whaling Fleet: Ships, Masters and Men</v>
          </cell>
          <cell r="B2486" t="str">
            <v>Ebook - pdf</v>
          </cell>
          <cell r="C2486">
            <v>9781474463966</v>
          </cell>
        </row>
        <row r="2487">
          <cell r="A2487" t="str">
            <v>The Early Modern Corpse and Shakespeare's Theatre</v>
          </cell>
          <cell r="B2487" t="str">
            <v>Ebook - pdf</v>
          </cell>
          <cell r="C2487">
            <v>9780748680764</v>
          </cell>
        </row>
        <row r="2488">
          <cell r="A2488" t="str">
            <v>The Early Prehistory of Scotland</v>
          </cell>
          <cell r="B2488" t="str">
            <v>Ebook - pdf</v>
          </cell>
          <cell r="C2488">
            <v>9781474471725</v>
          </cell>
        </row>
        <row r="2489">
          <cell r="A2489" t="str">
            <v>The Edinburgh Book of Twentieth-Century Scottish Poetry</v>
          </cell>
          <cell r="B2489" t="str">
            <v>Ebook - pdf</v>
          </cell>
          <cell r="C2489">
            <v>9781474470278</v>
          </cell>
        </row>
        <row r="2490">
          <cell r="A2490" t="str">
            <v>The Edinburgh Companion to Ancient Greece and Rome</v>
          </cell>
          <cell r="B2490" t="str">
            <v>Ebook - pdf</v>
          </cell>
          <cell r="C2490">
            <v>9780748627141</v>
          </cell>
        </row>
        <row r="2491">
          <cell r="A2491" t="str">
            <v>The Edinburgh Companion to Animal Studies</v>
          </cell>
          <cell r="B2491" t="str">
            <v>Ebook - pdf</v>
          </cell>
          <cell r="C2491">
            <v>9781474418423</v>
          </cell>
        </row>
        <row r="2492">
          <cell r="A2492" t="str">
            <v>The Edinburgh Companion to Anthony Trollope</v>
          </cell>
          <cell r="B2492" t="str">
            <v>Ebook - pdf</v>
          </cell>
          <cell r="C2492">
            <v>9781474424417</v>
          </cell>
        </row>
        <row r="2493">
          <cell r="A2493" t="str">
            <v>The Edinburgh Companion to Atlantic Literary Studies</v>
          </cell>
          <cell r="B2493" t="str">
            <v>Ebook - pdf</v>
          </cell>
          <cell r="C2493">
            <v>9781474402958</v>
          </cell>
        </row>
        <row r="2494">
          <cell r="A2494" t="str">
            <v>The Edinburgh Companion to Children's Literature</v>
          </cell>
          <cell r="B2494" t="str">
            <v>Ebook - pdf</v>
          </cell>
          <cell r="C2494">
            <v>9781474414647</v>
          </cell>
        </row>
        <row r="2495">
          <cell r="A2495" t="str">
            <v>The Edinburgh Companion to Contemporary Liberalism</v>
          </cell>
          <cell r="B2495" t="str">
            <v>Ebook - pdf</v>
          </cell>
          <cell r="C2495">
            <v>9781474468107</v>
          </cell>
        </row>
        <row r="2496">
          <cell r="A2496" t="str">
            <v>The Edinburgh Companion to Contemporary Narrative Theories</v>
          </cell>
          <cell r="B2496" t="str">
            <v>Ebook - pdf</v>
          </cell>
          <cell r="C2496">
            <v>9781474424752</v>
          </cell>
        </row>
        <row r="2497">
          <cell r="A2497" t="str">
            <v>The Edinburgh Companion to Contemporary Scottish Literature</v>
          </cell>
          <cell r="B2497" t="str">
            <v>Ebook - pdf</v>
          </cell>
          <cell r="C2497">
            <v>9780748630288</v>
          </cell>
        </row>
        <row r="2498">
          <cell r="A2498" t="str">
            <v>The Edinburgh Companion to Contemporary Scottish Poetry</v>
          </cell>
          <cell r="B2498" t="str">
            <v>Ebook - pdf</v>
          </cell>
          <cell r="C2498">
            <v>9780748636273</v>
          </cell>
        </row>
        <row r="2499">
          <cell r="A2499" t="str">
            <v>The Edinburgh Companion to Critical Theory</v>
          </cell>
          <cell r="B2499" t="str">
            <v>Ebook - pdf</v>
          </cell>
          <cell r="C2499">
            <v>9780748693405</v>
          </cell>
        </row>
        <row r="2500">
          <cell r="A2500" t="str">
            <v>The Edinburgh Companion to D. H. Lawrence and the Arts</v>
          </cell>
          <cell r="B2500" t="str">
            <v>Ebook - pdf</v>
          </cell>
          <cell r="C2500">
            <v>9781474456630</v>
          </cell>
        </row>
        <row r="2501">
          <cell r="A2501" t="str">
            <v>The Edinburgh Companion to Ezra Pound and the Arts</v>
          </cell>
          <cell r="B2501" t="str">
            <v>Ebook - pdf</v>
          </cell>
          <cell r="C2501">
            <v>9781474429184</v>
          </cell>
        </row>
        <row r="2502">
          <cell r="A2502" t="str">
            <v>The Edinburgh Companion to Fin de Siècle Literature, Culture and the Arts</v>
          </cell>
          <cell r="B2502" t="str">
            <v>Ebook - pdf</v>
          </cell>
          <cell r="C2502">
            <v>9781474408929</v>
          </cell>
        </row>
        <row r="2503">
          <cell r="A2503" t="str">
            <v>The Edinburgh Companion to Gothic and the Arts</v>
          </cell>
          <cell r="B2503" t="str">
            <v>Ebook - pdf</v>
          </cell>
          <cell r="C2503">
            <v>9781474432375</v>
          </cell>
        </row>
        <row r="2504">
          <cell r="A2504" t="str">
            <v>The Edinburgh Companion to Hugh MacDiarmid</v>
          </cell>
          <cell r="B2504" t="str">
            <v>Ebook - pdf</v>
          </cell>
          <cell r="C2504">
            <v>9780748646333</v>
          </cell>
        </row>
        <row r="2505">
          <cell r="A2505" t="str">
            <v>The Edinburgh Companion to Irish Modernism</v>
          </cell>
          <cell r="B2505" t="str">
            <v>Ebook - pdf</v>
          </cell>
          <cell r="C2505">
            <v>9781474456708</v>
          </cell>
        </row>
        <row r="2506">
          <cell r="A2506" t="str">
            <v>The Edinburgh Companion to Irvine Welsh</v>
          </cell>
          <cell r="B2506" t="str">
            <v>Ebook - pdf</v>
          </cell>
          <cell r="C2506">
            <v>9780748642878</v>
          </cell>
        </row>
        <row r="2507">
          <cell r="A2507" t="str">
            <v>The Edinburgh Companion to James Hogg</v>
          </cell>
          <cell r="B2507" t="str">
            <v>Ebook - pdf</v>
          </cell>
          <cell r="C2507">
            <v>9780748655144</v>
          </cell>
        </row>
        <row r="2508">
          <cell r="A2508" t="str">
            <v>The Edinburgh Companion to James Kelman</v>
          </cell>
          <cell r="B2508" t="str">
            <v>Ebook - pdf</v>
          </cell>
          <cell r="C2508">
            <v>9780748642885</v>
          </cell>
        </row>
        <row r="2509">
          <cell r="A2509" t="str">
            <v>The Edinburgh Companion to Literature and Music</v>
          </cell>
          <cell r="B2509" t="str">
            <v>Ebook - pdf</v>
          </cell>
          <cell r="C2509">
            <v>9780748693139</v>
          </cell>
        </row>
        <row r="2510">
          <cell r="A2510" t="str">
            <v>The Edinburgh Companion to Liz Lochhead</v>
          </cell>
          <cell r="B2510" t="str">
            <v>Ebook - pdf</v>
          </cell>
          <cell r="C2510">
            <v>9780748654734</v>
          </cell>
        </row>
        <row r="2511">
          <cell r="A2511" t="str">
            <v>The Edinburgh Companion to Modern Jewish Fiction</v>
          </cell>
          <cell r="B2511" t="str">
            <v>Ebook - pdf</v>
          </cell>
          <cell r="C2511">
            <v>9780748646166</v>
          </cell>
        </row>
        <row r="2512">
          <cell r="A2512" t="str">
            <v>The Edinburgh Companion to Muriel Spark</v>
          </cell>
          <cell r="B2512" t="str">
            <v>Ebook - pdf</v>
          </cell>
          <cell r="C2512">
            <v>9780748637706</v>
          </cell>
        </row>
        <row r="2513">
          <cell r="A2513" t="str">
            <v>The Edinburgh Companion to Nineteenth-Century American Letters and Letter-Writing</v>
          </cell>
          <cell r="B2513" t="str">
            <v>Ebook - pdf</v>
          </cell>
          <cell r="C2513">
            <v>9780748692934</v>
          </cell>
        </row>
        <row r="2514">
          <cell r="A2514" t="str">
            <v>The Edinburgh Companion to Political Realism</v>
          </cell>
          <cell r="B2514" t="str">
            <v>Ebook - pdf</v>
          </cell>
          <cell r="C2514">
            <v>9781474423298</v>
          </cell>
        </row>
        <row r="2515">
          <cell r="A2515" t="str">
            <v>The Edinburgh Companion to Poststructuralism</v>
          </cell>
          <cell r="B2515" t="str">
            <v>Ebook - pdf</v>
          </cell>
          <cell r="C2515">
            <v>9780748653690</v>
          </cell>
        </row>
        <row r="2516">
          <cell r="A2516" t="str">
            <v>The Edinburgh Companion to Robert Burns</v>
          </cell>
          <cell r="B2516" t="str">
            <v>Ebook - pdf</v>
          </cell>
          <cell r="C2516">
            <v>9780748636501</v>
          </cell>
        </row>
        <row r="2517">
          <cell r="A2517" t="str">
            <v>The Edinburgh Companion to Robert Louis Stevenson</v>
          </cell>
          <cell r="B2517" t="str">
            <v>Ebook - pdf</v>
          </cell>
          <cell r="C2517">
            <v>9780748635566</v>
          </cell>
        </row>
        <row r="2518">
          <cell r="A2518" t="str">
            <v>The Edinburgh Companion to Samuel Beckett and the Arts</v>
          </cell>
          <cell r="B2518" t="str">
            <v>Ebook - pdf</v>
          </cell>
          <cell r="C2518">
            <v>9780748675692</v>
          </cell>
        </row>
        <row r="2519">
          <cell r="A2519" t="str">
            <v>The Edinburgh Companion to Scots</v>
          </cell>
          <cell r="B2519" t="str">
            <v>Ebook - pdf</v>
          </cell>
          <cell r="C2519">
            <v>9781474421591</v>
          </cell>
        </row>
        <row r="2520">
          <cell r="A2520" t="str">
            <v>The Edinburgh Companion to Scottish Drama</v>
          </cell>
          <cell r="B2520" t="str">
            <v>Ebook - pdf</v>
          </cell>
          <cell r="C2520">
            <v>9780748646340</v>
          </cell>
        </row>
        <row r="2521">
          <cell r="A2521" t="str">
            <v>The Edinburgh Companion to Scottish Romanticism</v>
          </cell>
          <cell r="B2521" t="str">
            <v>Ebook - pdf</v>
          </cell>
          <cell r="C2521">
            <v>9780748646357</v>
          </cell>
        </row>
        <row r="2522">
          <cell r="A2522" t="str">
            <v>The Edinburgh Companion to Scottish Traditional Literatures</v>
          </cell>
          <cell r="B2522" t="str">
            <v>Ebook - pdf</v>
          </cell>
          <cell r="C2522">
            <v>9780748645411</v>
          </cell>
        </row>
        <row r="2523">
          <cell r="A2523" t="str">
            <v>The Edinburgh Companion to Scottish Women's Writing</v>
          </cell>
          <cell r="B2523" t="str">
            <v>Ebook - pdf</v>
          </cell>
          <cell r="C2523">
            <v>9780748644452</v>
          </cell>
        </row>
        <row r="2524">
          <cell r="A2524" t="str">
            <v>The Edinburgh Companion to Shakespeare and the Arts</v>
          </cell>
          <cell r="B2524" t="str">
            <v>Ebook - pdf</v>
          </cell>
          <cell r="C2524">
            <v>9780748635245</v>
          </cell>
        </row>
        <row r="2525">
          <cell r="A2525" t="str">
            <v>The Edinburgh Companion to Shari'ah Governance in Islamic Finance</v>
          </cell>
          <cell r="B2525" t="str">
            <v>Ebook - pdf</v>
          </cell>
          <cell r="C2525">
            <v>9781474436014</v>
          </cell>
        </row>
        <row r="2526">
          <cell r="A2526" t="str">
            <v>The Edinburgh Companion to Sidonius Apollinaris</v>
          </cell>
          <cell r="B2526" t="str">
            <v>Ebook - pdf</v>
          </cell>
          <cell r="C2526">
            <v>9781474461702</v>
          </cell>
        </row>
        <row r="2527">
          <cell r="A2527" t="str">
            <v>The Edinburgh Companion to Sir Walter Scott</v>
          </cell>
          <cell r="B2527" t="str">
            <v>Ebook - pdf</v>
          </cell>
          <cell r="C2527">
            <v>9780748670192</v>
          </cell>
        </row>
        <row r="2528">
          <cell r="A2528" t="str">
            <v>The Edinburgh Companion to T. S. Eliot and the Arts</v>
          </cell>
          <cell r="B2528" t="str">
            <v>Ebook - pdf</v>
          </cell>
          <cell r="C2528">
            <v>9781474405294</v>
          </cell>
        </row>
        <row r="2529">
          <cell r="A2529" t="str">
            <v>The Edinburgh Companion to the Arab Novel in English: The Politics of Anglo Arab and Arab American Literature and Culture</v>
          </cell>
          <cell r="B2529" t="str">
            <v>Ebook - pdf</v>
          </cell>
          <cell r="C2529">
            <v>9780748685554</v>
          </cell>
        </row>
        <row r="2530">
          <cell r="A2530" t="str">
            <v>The Edinburgh Companion to the Bible and the Arts</v>
          </cell>
          <cell r="B2530" t="str">
            <v>Ebook - pdf</v>
          </cell>
          <cell r="C2530">
            <v>9781474471794</v>
          </cell>
        </row>
        <row r="2531">
          <cell r="A2531" t="str">
            <v>The Edinburgh Companion to the Critical Medical Humanities</v>
          </cell>
          <cell r="B2531" t="str">
            <v>Ebook - pdf</v>
          </cell>
          <cell r="C2531">
            <v>9781474400053</v>
          </cell>
        </row>
        <row r="2532">
          <cell r="A2532" t="str">
            <v>The Edinburgh Companion to the First World War and the Arts</v>
          </cell>
          <cell r="B2532" t="str">
            <v>Ebook - pdf</v>
          </cell>
          <cell r="C2532">
            <v>9781474401647</v>
          </cell>
        </row>
        <row r="2533">
          <cell r="A2533" t="str">
            <v>The Edinburgh Companion to the Gaelic Language</v>
          </cell>
          <cell r="B2533" t="str">
            <v>Ebook - pdf</v>
          </cell>
          <cell r="C2533">
            <v>9780748637102</v>
          </cell>
        </row>
        <row r="2534">
          <cell r="A2534" t="str">
            <v>The Edinburgh Companion to the History of Democracy</v>
          </cell>
          <cell r="B2534" t="str">
            <v>Ebook - pdf</v>
          </cell>
          <cell r="C2534">
            <v>9780748653669</v>
          </cell>
        </row>
        <row r="2535">
          <cell r="A2535" t="str">
            <v>The Edinburgh Companion to the Postcolonial Middle East</v>
          </cell>
          <cell r="B2535" t="str">
            <v>Ebook - pdf</v>
          </cell>
          <cell r="C2535">
            <v>9781474427708</v>
          </cell>
        </row>
        <row r="2536">
          <cell r="A2536" t="str">
            <v>The Edinburgh Companion to the Prose Poem</v>
          </cell>
          <cell r="B2536" t="str">
            <v>Ebook - pdf</v>
          </cell>
          <cell r="C2536">
            <v>9781474462754</v>
          </cell>
        </row>
        <row r="2537">
          <cell r="A2537" t="str">
            <v>The Edinburgh Companion to the Short Story in English</v>
          </cell>
          <cell r="B2537" t="str">
            <v>Ebook - pdf</v>
          </cell>
          <cell r="C2537">
            <v>9781474400664</v>
          </cell>
        </row>
        <row r="2538">
          <cell r="A2538" t="str">
            <v>The Edinburgh Companion to Twentieth-Century British and American War Literature</v>
          </cell>
          <cell r="B2538" t="str">
            <v>Ebook - pdf</v>
          </cell>
          <cell r="C2538">
            <v>9780748653911</v>
          </cell>
        </row>
        <row r="2539">
          <cell r="A2539" t="str">
            <v>The Edinburgh Companion to Twentieth-Century Literatures in English</v>
          </cell>
          <cell r="B2539" t="str">
            <v>Ebook - pdf</v>
          </cell>
          <cell r="C2539">
            <v>9780748627103</v>
          </cell>
        </row>
        <row r="2540">
          <cell r="A2540" t="str">
            <v>The Edinburgh Companion to Twentieth-Century Philosophies</v>
          </cell>
          <cell r="B2540" t="str">
            <v>Ebook - pdf</v>
          </cell>
          <cell r="C2540">
            <v>9780748629299</v>
          </cell>
        </row>
        <row r="2541">
          <cell r="A2541" t="str">
            <v>The Edinburgh Companion to Twentieth-Century Scottish Literature</v>
          </cell>
          <cell r="B2541" t="str">
            <v>Ebook - pdf</v>
          </cell>
          <cell r="C2541">
            <v>9780748636952</v>
          </cell>
        </row>
        <row r="2542">
          <cell r="A2542" t="str">
            <v>The Edinburgh Companion to Virginia Woolf and Contemporary Global Literature</v>
          </cell>
          <cell r="B2542" t="str">
            <v>Ebook - pdf</v>
          </cell>
          <cell r="C2542">
            <v>9781474448482</v>
          </cell>
        </row>
        <row r="2543">
          <cell r="A2543" t="str">
            <v>The Edinburgh Companion to Virginia Woolf and the Arts</v>
          </cell>
          <cell r="B2543" t="str">
            <v>Ebook - pdf</v>
          </cell>
          <cell r="C2543">
            <v>9780748635535</v>
          </cell>
        </row>
        <row r="2544">
          <cell r="A2544" t="str">
            <v>The Edinburgh Critical Edition of the Selected Writings of Andrew Lang, Volume 1: Anthropology, Fairy Tale, Folklore, The Origins of Religion, Psychical Research</v>
          </cell>
          <cell r="B2544" t="str">
            <v>Ebook - pdf</v>
          </cell>
          <cell r="C2544">
            <v>9781474400220</v>
          </cell>
        </row>
        <row r="2545">
          <cell r="A2545" t="str">
            <v>The Edinburgh Critical Edition of the Selected Writings of Andrew Lang, Volume 2: Literary Criticism, History, Biography</v>
          </cell>
          <cell r="B2545" t="str">
            <v>Ebook - pdf</v>
          </cell>
          <cell r="C2545">
            <v>9781474400244</v>
          </cell>
        </row>
        <row r="2546">
          <cell r="A2546" t="str">
            <v>The Edinburgh Critical Edition of the Selected Writings of Andrew Lang: Volume 1 &amp; 2</v>
          </cell>
          <cell r="B2546" t="str">
            <v>Ebook - pdf</v>
          </cell>
          <cell r="C2546">
            <v>9781474400268</v>
          </cell>
        </row>
        <row r="2547">
          <cell r="A2547" t="str">
            <v>The Edinburgh Critical History of Middle Ages and Renaissance Philosophy</v>
          </cell>
          <cell r="B2547" t="str">
            <v>Ebook - pdf</v>
          </cell>
          <cell r="C2547">
            <v>9781474450829</v>
          </cell>
        </row>
        <row r="2548">
          <cell r="A2548" t="str">
            <v>The Edinburgh Critical History of Nineteenth-Century Christian Theology</v>
          </cell>
          <cell r="B2548" t="str">
            <v>Ebook - pdf</v>
          </cell>
          <cell r="C2548">
            <v>9781474405874</v>
          </cell>
        </row>
        <row r="2549">
          <cell r="A2549" t="str">
            <v>The Edinburgh Critical History of Nineteenth-Century Philosophy</v>
          </cell>
          <cell r="B2549" t="str">
            <v>Ebook - pdf</v>
          </cell>
          <cell r="C2549">
            <v>9780748647019</v>
          </cell>
        </row>
        <row r="2550">
          <cell r="A2550" t="str">
            <v>The Edinburgh Dictionary of Continental Philosophy</v>
          </cell>
          <cell r="B2550" t="str">
            <v>Ebook - pdf</v>
          </cell>
          <cell r="C2550">
            <v>9780748626236</v>
          </cell>
        </row>
        <row r="2551">
          <cell r="A2551" t="str">
            <v>The Edinburgh Dictionary of Modernism</v>
          </cell>
          <cell r="B2551" t="str">
            <v>Ebook - pdf</v>
          </cell>
          <cell r="C2551">
            <v>9780748637041</v>
          </cell>
        </row>
        <row r="2552">
          <cell r="A2552" t="str">
            <v>The Edinburgh Edition of the Collected Letters of Katherine Mansfield, Volume 1: Letters to Correspondents A – J</v>
          </cell>
          <cell r="B2552" t="str">
            <v>Ebook - pdf</v>
          </cell>
          <cell r="C2552">
            <v>9781399504171</v>
          </cell>
        </row>
        <row r="2553">
          <cell r="A2553" t="str">
            <v>The Edinburgh Edition of the Collected Works of Katherine Mansfield: Volumes 1-4</v>
          </cell>
          <cell r="B2553" t="str">
            <v>Ebook - pdf</v>
          </cell>
          <cell r="C2553">
            <v>9781474469869</v>
          </cell>
        </row>
        <row r="2554">
          <cell r="A2554" t="str">
            <v>The Edinburgh Edition of the Waverley Novels – 30-Volume Set</v>
          </cell>
          <cell r="B2554" t="str">
            <v>Ebook - pdf</v>
          </cell>
          <cell r="C2554">
            <v>9781474472418</v>
          </cell>
        </row>
        <row r="2555">
          <cell r="A2555" t="str">
            <v>The Edinburgh Encyclopaedia of Continental Philosophy</v>
          </cell>
          <cell r="B2555" t="str">
            <v>Ebook - pdf</v>
          </cell>
          <cell r="C2555">
            <v>9781474468527</v>
          </cell>
        </row>
        <row r="2556">
          <cell r="A2556" t="str">
            <v>The Edinburgh Festivals: Culture and Society in Post-war Britain</v>
          </cell>
          <cell r="B2556" t="str">
            <v>Ebook - pdf</v>
          </cell>
          <cell r="C2556">
            <v>9780748670314</v>
          </cell>
        </row>
        <row r="2557">
          <cell r="A2557" t="str">
            <v>The Edinburgh History of Education in Scotland</v>
          </cell>
          <cell r="B2557" t="str">
            <v>Ebook - pdf</v>
          </cell>
          <cell r="C2557">
            <v>9780748679164</v>
          </cell>
        </row>
        <row r="2558">
          <cell r="A2558" t="str">
            <v>The Edinburgh History of Reading: Common Readers</v>
          </cell>
          <cell r="B2558" t="str">
            <v>Ebook - pdf</v>
          </cell>
          <cell r="C2558">
            <v>9781474461894</v>
          </cell>
        </row>
        <row r="2559">
          <cell r="A2559" t="str">
            <v>The Edinburgh History of Reading: Early Readers</v>
          </cell>
          <cell r="B2559" t="str">
            <v>Ebook - pdf</v>
          </cell>
          <cell r="C2559">
            <v>9781474446099</v>
          </cell>
        </row>
        <row r="2560">
          <cell r="A2560" t="str">
            <v>The Edinburgh History of Reading: Modern Readers</v>
          </cell>
          <cell r="B2560" t="str">
            <v>Ebook - pdf</v>
          </cell>
          <cell r="C2560">
            <v>9781474446129</v>
          </cell>
        </row>
        <row r="2561">
          <cell r="A2561" t="str">
            <v>The Edinburgh History of Reading: Subversive Readers</v>
          </cell>
          <cell r="B2561" t="str">
            <v>Ebook - pdf</v>
          </cell>
          <cell r="C2561">
            <v>9781474461924</v>
          </cell>
        </row>
        <row r="2562">
          <cell r="A2562" t="str">
            <v>The Edinburgh History of Scottish Literature - Three-Volume Set</v>
          </cell>
          <cell r="B2562" t="str">
            <v>Ebook - pdf</v>
          </cell>
          <cell r="C2562">
            <v>9780748632138</v>
          </cell>
        </row>
        <row r="2563">
          <cell r="A2563" t="str">
            <v>The Edinburgh History of Scottish Literature: Enlightenment, Britain and Empire (1707–1918)</v>
          </cell>
          <cell r="B2563" t="str">
            <v>Ebook - pdf</v>
          </cell>
          <cell r="C2563">
            <v>9780748630646</v>
          </cell>
        </row>
        <row r="2564">
          <cell r="A2564" t="str">
            <v>The Edinburgh History of Scottish Literature: From Columba to the Union (until 1707)</v>
          </cell>
          <cell r="B2564" t="str">
            <v>Ebook - pdf</v>
          </cell>
          <cell r="C2564">
            <v>9780748628629</v>
          </cell>
        </row>
        <row r="2565">
          <cell r="A2565" t="str">
            <v>The Edinburgh History of Scottish Literature: Modern Transformations: New Identities (from 1918)</v>
          </cell>
          <cell r="B2565" t="str">
            <v>Ebook - pdf</v>
          </cell>
          <cell r="C2565">
            <v>9780748630653</v>
          </cell>
        </row>
        <row r="2566">
          <cell r="A2566" t="str">
            <v>The Edinburgh History of the Book in Scotland, Volume 2: Enlightenment and Expansion 1707–1800</v>
          </cell>
          <cell r="B2566" t="str">
            <v>Ebook - pdf</v>
          </cell>
          <cell r="C2566">
            <v>9780748628964</v>
          </cell>
        </row>
        <row r="2567">
          <cell r="A2567" t="str">
            <v>The Edinburgh History of the Book in Scotland, Volume 3: Ambition and Industry 1800–1880</v>
          </cell>
          <cell r="B2567" t="str">
            <v>Ebook - pdf</v>
          </cell>
          <cell r="C2567">
            <v>9780748628810</v>
          </cell>
        </row>
        <row r="2568">
          <cell r="A2568" t="str">
            <v>The Edinburgh History of the Book in Scotland, Volume 4: Professionalism and Diversity 1880–2000</v>
          </cell>
          <cell r="B2568" t="str">
            <v>Ebook - pdf</v>
          </cell>
          <cell r="C2568">
            <v>9780748628841</v>
          </cell>
        </row>
        <row r="2569">
          <cell r="A2569" t="str">
            <v>The Edinburgh History of the British and Irish Press, Volume 2: Expansion and Evolution, 1800-1900</v>
          </cell>
          <cell r="B2569" t="str">
            <v>Ebook - pdf</v>
          </cell>
          <cell r="C2569">
            <v>9781474424905</v>
          </cell>
        </row>
        <row r="2570">
          <cell r="A2570" t="str">
            <v>The Edinburgh History of the Greeks, 1453 to 1768: The Ottoman Empire</v>
          </cell>
          <cell r="B2570" t="str">
            <v>Ebook - pdf</v>
          </cell>
          <cell r="C2570">
            <v>9780748694006</v>
          </cell>
        </row>
        <row r="2571">
          <cell r="A2571" t="str">
            <v>The Edinburgh History of the Greeks, 1768 to 1913: The Long Nineteenth Century</v>
          </cell>
          <cell r="B2571" t="str">
            <v>Ebook - pdf</v>
          </cell>
          <cell r="C2571">
            <v>9780748631995</v>
          </cell>
        </row>
        <row r="2572">
          <cell r="A2572" t="str">
            <v>The Edinburgh History of the Greeks, c. 500 to 1050: The Early Middle Ages</v>
          </cell>
          <cell r="B2572" t="str">
            <v>Ebook - pdf</v>
          </cell>
          <cell r="C2572">
            <v>9780748644896</v>
          </cell>
        </row>
        <row r="2573">
          <cell r="A2573" t="str">
            <v>The Edinburgh History of the Scots Language</v>
          </cell>
          <cell r="B2573" t="str">
            <v>Ebook - pdf</v>
          </cell>
          <cell r="C2573">
            <v>9781474410977</v>
          </cell>
        </row>
        <row r="2574">
          <cell r="A2574" t="str">
            <v>The Edinburgh History of the Scots Language</v>
          </cell>
          <cell r="B2574" t="str">
            <v>Ebook - pdf</v>
          </cell>
          <cell r="C2574">
            <v>9781474469630</v>
          </cell>
        </row>
        <row r="2575">
          <cell r="A2575" t="str">
            <v>The Edinburgh International Encyclopaedia of Psychoanalysis</v>
          </cell>
          <cell r="B2575" t="str">
            <v>Ebook - pdf</v>
          </cell>
          <cell r="C2575">
            <v>9780748627066</v>
          </cell>
        </row>
        <row r="2576">
          <cell r="A2576" t="str">
            <v>The Edinburgh Introduction to Studying English Literature</v>
          </cell>
          <cell r="B2576" t="str">
            <v>Ebook - pdf</v>
          </cell>
          <cell r="C2576">
            <v>9780748691333</v>
          </cell>
        </row>
        <row r="2577">
          <cell r="A2577" t="str">
            <v>The Egalitarian Sublime: A Process Philosophy</v>
          </cell>
          <cell r="B2577" t="str">
            <v>Ebook - pdf</v>
          </cell>
          <cell r="C2577">
            <v>9781474439138</v>
          </cell>
        </row>
        <row r="2578">
          <cell r="A2578" t="str">
            <v>The Egyptian Dream: Egyptian National Identity and Uprisings</v>
          </cell>
          <cell r="B2578" t="str">
            <v>Ebook - pdf</v>
          </cell>
          <cell r="C2578">
            <v>9781474403207</v>
          </cell>
        </row>
        <row r="2579">
          <cell r="A2579" t="str">
            <v>The Eighteenth-Century Novel and Contemporary Social Issues: An Introduction</v>
          </cell>
          <cell r="B2579" t="str">
            <v>Ebook - pdf</v>
          </cell>
          <cell r="C2579">
            <v>9780748631315</v>
          </cell>
        </row>
        <row r="2580">
          <cell r="A2580" t="str">
            <v>The Emergence of Irish Gothic Fiction: History, Origins, Theories</v>
          </cell>
          <cell r="B2580" t="str">
            <v>Ebook - pdf</v>
          </cell>
          <cell r="C2580">
            <v>9780748690817</v>
          </cell>
        </row>
        <row r="2581">
          <cell r="A2581" t="str">
            <v>The Emergence of Minorities in the Middle East: The Politics of Community in French Mandate Syria</v>
          </cell>
          <cell r="B2581" t="str">
            <v>Ebook - pdf</v>
          </cell>
          <cell r="C2581">
            <v>9780748647552</v>
          </cell>
        </row>
        <row r="2582">
          <cell r="A2582" t="str">
            <v>The End of Modernity: What the Financial and Environmental Crisis is Really Telling Us</v>
          </cell>
          <cell r="B2582" t="str">
            <v>Ebook - pdf</v>
          </cell>
          <cell r="C2582">
            <v>9780748642410</v>
          </cell>
        </row>
        <row r="2583">
          <cell r="A2583" t="str">
            <v>The End of Phenomenology: Metaphysics and the New Realism</v>
          </cell>
          <cell r="B2583" t="str">
            <v>Ebook - pdf</v>
          </cell>
          <cell r="C2583">
            <v>9780748684847</v>
          </cell>
        </row>
        <row r="2584">
          <cell r="A2584" t="str">
            <v>The End of the Roman Republic 146 to 44 BC: Conquest and Crisis</v>
          </cell>
          <cell r="B2584" t="str">
            <v>Ebook - pdf</v>
          </cell>
          <cell r="C2584">
            <v>9780748629022</v>
          </cell>
        </row>
        <row r="2585">
          <cell r="A2585" t="str">
            <v>The English Aeneid: Translations of Virgil 1555-1646</v>
          </cell>
          <cell r="B2585" t="str">
            <v>Ebook - pdf</v>
          </cell>
          <cell r="C2585">
            <v>9780748699094</v>
          </cell>
        </row>
        <row r="2586">
          <cell r="A2586" t="str">
            <v>The English Novel and Prose Narrative</v>
          </cell>
          <cell r="B2586" t="str">
            <v>Ebook - pdf</v>
          </cell>
          <cell r="C2586">
            <v>9780748673964</v>
          </cell>
        </row>
        <row r="2587">
          <cell r="A2587" t="str">
            <v>The Erotic Thriller in Contemporary Cinema</v>
          </cell>
          <cell r="B2587" t="str">
            <v>Ebook - pdf</v>
          </cell>
          <cell r="C2587">
            <v>9781474473606</v>
          </cell>
        </row>
        <row r="2588">
          <cell r="A2588" t="str">
            <v>The Ethics and Practice of Refugee Repatriation</v>
          </cell>
          <cell r="B2588" t="str">
            <v>Ebook - pdf</v>
          </cell>
          <cell r="C2588">
            <v>9781474437493</v>
          </cell>
        </row>
        <row r="2589">
          <cell r="A2589" t="str">
            <v>The Ethics of Armed Conflict: A Cosmopolitan Just War Theory</v>
          </cell>
          <cell r="B2589" t="str">
            <v>Ebook - pdf</v>
          </cell>
          <cell r="C2589">
            <v>9780748645763</v>
          </cell>
        </row>
        <row r="2590">
          <cell r="A2590" t="str">
            <v>The Ethics of Deconstruction: Derrida and Levinas</v>
          </cell>
          <cell r="B2590" t="str">
            <v>Ebook - pdf</v>
          </cell>
          <cell r="C2590">
            <v>9780748689330</v>
          </cell>
        </row>
        <row r="2591">
          <cell r="A2591" t="str">
            <v>The Ethics of Development</v>
          </cell>
          <cell r="B2591" t="str">
            <v>Ebook - pdf</v>
          </cell>
          <cell r="C2591">
            <v>9781474468381</v>
          </cell>
        </row>
        <row r="2592">
          <cell r="A2592" t="str">
            <v>The Ethics of Peace and War</v>
          </cell>
          <cell r="B2592" t="str">
            <v>Ebook - pdf</v>
          </cell>
          <cell r="C2592">
            <v>9780748680894</v>
          </cell>
        </row>
        <row r="2593">
          <cell r="A2593" t="str">
            <v>The Ethics of Peacebuilding</v>
          </cell>
          <cell r="B2593" t="str">
            <v>Ebook - pdf</v>
          </cell>
          <cell r="C2593">
            <v>9780748630493</v>
          </cell>
        </row>
        <row r="2594">
          <cell r="A2594" t="str">
            <v>The Ethics of Political Resistance: Althusser, Badiou, Deleuze</v>
          </cell>
          <cell r="B2594" t="str">
            <v>Ebook - pdf</v>
          </cell>
          <cell r="C2594">
            <v>9781474447768</v>
          </cell>
        </row>
        <row r="2595">
          <cell r="A2595" t="str">
            <v>The Ethics of the Global Environment</v>
          </cell>
          <cell r="B2595" t="str">
            <v>Ebook - pdf</v>
          </cell>
          <cell r="C2595">
            <v>9780748654826</v>
          </cell>
        </row>
        <row r="2596">
          <cell r="A2596" t="str">
            <v>The Ethics of Writing: Authorship and Legacy in Plato and Nietzsche</v>
          </cell>
          <cell r="B2596" t="str">
            <v>Ebook - pdf</v>
          </cell>
          <cell r="C2596">
            <v>9780748628865</v>
          </cell>
        </row>
        <row r="2597">
          <cell r="A2597" t="str">
            <v>The European Avant-Gardes, 1905-1935: A Portable Guide</v>
          </cell>
          <cell r="B2597" t="str">
            <v>Ebook - pdf</v>
          </cell>
          <cell r="C2597">
            <v>9780748695935</v>
          </cell>
        </row>
        <row r="2598">
          <cell r="A2598" t="str">
            <v>The European Charter of Local Self-Government: A treaty for local democracy</v>
          </cell>
          <cell r="B2598" t="str">
            <v>Ebook - pdf</v>
          </cell>
          <cell r="C2598">
            <v>9781474403344</v>
          </cell>
        </row>
        <row r="2599">
          <cell r="A2599" t="str">
            <v>The European Charter of Local Self-Government: A Treaty for Local Democracy</v>
          </cell>
          <cell r="B2599" t="str">
            <v>Ebook - pdf</v>
          </cell>
          <cell r="C2599">
            <v>9781474469173</v>
          </cell>
        </row>
        <row r="2600">
          <cell r="A2600" t="str">
            <v>The European Court of Human Rights: Implementing Strasbourg’s Judgments on Domestic Policy</v>
          </cell>
          <cell r="B2600" t="str">
            <v>Ebook - pdf</v>
          </cell>
          <cell r="C2600">
            <v>9780748670581</v>
          </cell>
        </row>
        <row r="2601">
          <cell r="A2601" t="str">
            <v>The European Union</v>
          </cell>
          <cell r="B2601" t="str">
            <v>Ebook - pdf</v>
          </cell>
          <cell r="C2601">
            <v>9780748632251</v>
          </cell>
        </row>
        <row r="2602">
          <cell r="A2602" t="str">
            <v>The European Union and South Korea: the Legal Framework for Strengthening Trade, Economic and Political Relations</v>
          </cell>
          <cell r="B2602" t="str">
            <v>Ebook - pdf</v>
          </cell>
          <cell r="C2602">
            <v>9780748668618</v>
          </cell>
        </row>
        <row r="2603">
          <cell r="A2603" t="str">
            <v>The Event Universe: The Revisionary Metaphysics of Alfred North Whitehead</v>
          </cell>
          <cell r="B2603" t="str">
            <v>Ebook - pdf</v>
          </cell>
          <cell r="C2603">
            <v>9781474400350</v>
          </cell>
        </row>
        <row r="2604">
          <cell r="A2604" t="str">
            <v>The Evolution of Culture</v>
          </cell>
          <cell r="B2604" t="str">
            <v>Ebook - pdf</v>
          </cell>
          <cell r="C2604">
            <v>9781474467889</v>
          </cell>
        </row>
        <row r="2605">
          <cell r="A2605" t="str">
            <v>The Evolution of Scotland’s Towns: Creation, Growth and Fragmentation</v>
          </cell>
          <cell r="B2605" t="str">
            <v>Ebook - pdf</v>
          </cell>
          <cell r="C2605">
            <v>9781474409827</v>
          </cell>
        </row>
        <row r="2606">
          <cell r="A2606" t="str">
            <v>The Existentialist Reader: An Anthology of Key Texts</v>
          </cell>
          <cell r="B2606" t="str">
            <v>Ebook - pdf</v>
          </cell>
          <cell r="C2606">
            <v>9781474470414</v>
          </cell>
        </row>
        <row r="2607">
          <cell r="A2607" t="str">
            <v>The Fair Maid of Perth</v>
          </cell>
          <cell r="B2607" t="str">
            <v>Ebook - pdf</v>
          </cell>
          <cell r="C2607">
            <v>9781474433501</v>
          </cell>
        </row>
        <row r="2608">
          <cell r="A2608" t="str">
            <v>The Family Law (Scotland) Act 2006: Text and Commentary</v>
          </cell>
          <cell r="B2608" t="str">
            <v>Ebook - pdf</v>
          </cell>
          <cell r="C2608">
            <v>9781474471350</v>
          </cell>
        </row>
        <row r="2609">
          <cell r="A2609" t="str">
            <v>The Fatimid Empire</v>
          </cell>
          <cell r="B2609" t="str">
            <v>Ebook - pdf</v>
          </cell>
          <cell r="C2609">
            <v>9781474421515</v>
          </cell>
        </row>
        <row r="2610">
          <cell r="A2610" t="str">
            <v>The Federal Theatre Project, 1935-1939: Engagement and Experimentation</v>
          </cell>
          <cell r="B2610" t="str">
            <v>Ebook - pdf</v>
          </cell>
          <cell r="C2610">
            <v>9781474445535</v>
          </cell>
        </row>
        <row r="2611">
          <cell r="A2611" t="str">
            <v>The Feel-Bad Film</v>
          </cell>
          <cell r="B2611" t="str">
            <v>Ebook - pdf</v>
          </cell>
          <cell r="C2611">
            <v>9780748697984</v>
          </cell>
        </row>
        <row r="2612">
          <cell r="A2612" t="str">
            <v>The Fiction of Postmodernity</v>
          </cell>
          <cell r="B2612" t="str">
            <v>Ebook - pdf</v>
          </cell>
          <cell r="C2612">
            <v>9781474464109</v>
          </cell>
        </row>
        <row r="2613">
          <cell r="A2613" t="str">
            <v>The Figure of This World: Agamben and the Question of Political Ontology</v>
          </cell>
          <cell r="B2613" t="str">
            <v>Ebook - pdf</v>
          </cell>
          <cell r="C2613">
            <v>9780748684106</v>
          </cell>
        </row>
        <row r="2614">
          <cell r="A2614" t="str">
            <v>The Filmmaker’s Philosopher: Merab Mamardashvili and Russian Cinema</v>
          </cell>
          <cell r="B2614" t="str">
            <v>Ebook - pdf</v>
          </cell>
          <cell r="C2614">
            <v>9781474444507</v>
          </cell>
        </row>
        <row r="2615">
          <cell r="A2615" t="str">
            <v>The Fin-de-Siècle Scottish Revival: Romance, Decadence and Celtic Identity</v>
          </cell>
          <cell r="B2615" t="str">
            <v>Ebook - pdf</v>
          </cell>
          <cell r="C2615">
            <v>9781474433983</v>
          </cell>
        </row>
        <row r="2616">
          <cell r="A2616" t="str">
            <v>The First World War and Popular Cinema: 1914 to the Present</v>
          </cell>
          <cell r="B2616" t="str">
            <v>Ebook - pdf</v>
          </cell>
          <cell r="C2616">
            <v>9781474471527</v>
          </cell>
        </row>
        <row r="2617">
          <cell r="A2617" t="str">
            <v>The Foreign Policy of Islamist Political Parties: Ideology in Practice</v>
          </cell>
          <cell r="B2617" t="str">
            <v>Ebook - pdf</v>
          </cell>
          <cell r="C2617">
            <v>9781474426664</v>
          </cell>
        </row>
        <row r="2618">
          <cell r="A2618" t="str">
            <v>The Foreign Policy of Lyndon B. Johnson: The United States and the World, 1963-1969</v>
          </cell>
          <cell r="B2618" t="str">
            <v>Ebook - pdf</v>
          </cell>
          <cell r="C2618">
            <v>9780748643288</v>
          </cell>
        </row>
        <row r="2619">
          <cell r="A2619" t="str">
            <v>The Fortunes Of Nigel</v>
          </cell>
          <cell r="B2619" t="str">
            <v>Ebook - pdf</v>
          </cell>
          <cell r="C2619">
            <v>9781474433525</v>
          </cell>
        </row>
        <row r="2620">
          <cell r="A2620" t="str">
            <v>The Foundation of Rome</v>
          </cell>
          <cell r="B2620" t="str">
            <v>Ebook - pdf</v>
          </cell>
          <cell r="C2620">
            <v>9781474468275</v>
          </cell>
        </row>
        <row r="2621">
          <cell r="A2621" t="str">
            <v>The Fragility of Concern for Others: Adorno and the Ethics of Care</v>
          </cell>
          <cell r="B2621" t="str">
            <v>Ebook - pdf</v>
          </cell>
          <cell r="C2621">
            <v>9781474467414</v>
          </cell>
        </row>
        <row r="2622">
          <cell r="A2622" t="str">
            <v>The Franchise Era: Managing Media in the Digital Economy</v>
          </cell>
          <cell r="B2622" t="str">
            <v>Ebook - pdf</v>
          </cell>
          <cell r="C2622">
            <v>9781474419239</v>
          </cell>
        </row>
        <row r="2623">
          <cell r="A2623" t="str">
            <v>The Fundamental Field: Thought, Poetics, World</v>
          </cell>
          <cell r="B2623" t="str">
            <v>Ebook - pdf</v>
          </cell>
          <cell r="C2623">
            <v>9781474485289</v>
          </cell>
        </row>
        <row r="2624">
          <cell r="A2624" t="str">
            <v>The Future of Multicultural Britain: Confronting the Progressive Dilemma</v>
          </cell>
          <cell r="B2624" t="str">
            <v>Ebook - pdf</v>
          </cell>
          <cell r="C2624">
            <v>9780748635467</v>
          </cell>
        </row>
        <row r="2625">
          <cell r="A2625" t="str">
            <v>The General Correspondence of James Boswell, 1757–1763: Research Edition: Correspondence, Volume 9</v>
          </cell>
          <cell r="B2625" t="str">
            <v>Ebook - pdf</v>
          </cell>
          <cell r="C2625">
            <v>9781474441995</v>
          </cell>
        </row>
        <row r="2626">
          <cell r="A2626" t="str">
            <v>The General Correspondence of James Boswell, 1766–1769: Volume 1: 1766–1767</v>
          </cell>
          <cell r="B2626" t="str">
            <v>Ebook - pdf</v>
          </cell>
          <cell r="C2626">
            <v>9781474441964</v>
          </cell>
        </row>
        <row r="2627">
          <cell r="A2627" t="str">
            <v>The General Correspondence of James Boswell, 1766–1769: Volume 2: 1768–1769</v>
          </cell>
          <cell r="B2627" t="str">
            <v>Ebook - pdf</v>
          </cell>
          <cell r="C2627">
            <v>9781474441971</v>
          </cell>
        </row>
        <row r="2628">
          <cell r="A2628" t="str">
            <v>The Geoffrey Hartman Reader</v>
          </cell>
          <cell r="B2628" t="str">
            <v>Ebook - pdf</v>
          </cell>
          <cell r="C2628">
            <v>9781474468930</v>
          </cell>
        </row>
        <row r="2629">
          <cell r="A2629" t="str">
            <v>The Girlhood of Shakespeare's Sisters: Gender, Transgression, Adolescence</v>
          </cell>
          <cell r="B2629" t="str">
            <v>Ebook - pdf</v>
          </cell>
          <cell r="C2629">
            <v>9780748655915</v>
          </cell>
        </row>
        <row r="2630">
          <cell r="A2630" t="str">
            <v>The Gods of Ancient Greece: Identities and Transformations</v>
          </cell>
          <cell r="B2630" t="str">
            <v>Ebook - pdf</v>
          </cell>
          <cell r="C2630">
            <v>9780748642892</v>
          </cell>
        </row>
        <row r="2631">
          <cell r="A2631" t="str">
            <v>The Gods of Ancient Rome: Religion in Everyday Life from Archaic to Imperial Times</v>
          </cell>
          <cell r="B2631" t="str">
            <v>Ebook - pdf</v>
          </cell>
          <cell r="C2631">
            <v>9781474473361</v>
          </cell>
        </row>
        <row r="2632">
          <cell r="A2632" t="str">
            <v>The Gothic and Theory: An Edinburgh Companion</v>
          </cell>
          <cell r="B2632" t="str">
            <v>Ebook - pdf</v>
          </cell>
          <cell r="C2632">
            <v>9781474427791</v>
          </cell>
        </row>
        <row r="2633">
          <cell r="A2633" t="str">
            <v>The Government and Politics of Wales</v>
          </cell>
          <cell r="B2633" t="str">
            <v>Ebook - pdf</v>
          </cell>
          <cell r="C2633">
            <v>9780748699742</v>
          </cell>
        </row>
        <row r="2634">
          <cell r="A2634" t="str">
            <v>The Government of Scotland: Public Policy Making after Devolution</v>
          </cell>
          <cell r="B2634" t="str">
            <v>Ebook - pdf</v>
          </cell>
          <cell r="C2634">
            <v>9780748642243</v>
          </cell>
        </row>
        <row r="2635">
          <cell r="A2635" t="str">
            <v>The Great Seljuk Empire</v>
          </cell>
          <cell r="B2635" t="str">
            <v>Ebook - pdf</v>
          </cell>
          <cell r="C2635">
            <v>9780748638277</v>
          </cell>
        </row>
        <row r="2636">
          <cell r="A2636" t="str">
            <v>The Great War on the Small Screen: Representing the First World War in Contemporary Britain</v>
          </cell>
          <cell r="B2636" t="str">
            <v>Ebook - pdf</v>
          </cell>
          <cell r="C2636">
            <v>9780748633906</v>
          </cell>
        </row>
        <row r="2637">
          <cell r="A2637" t="str">
            <v>The Gulf in World History: Arabian, Persian and Global Connections</v>
          </cell>
          <cell r="B2637" t="str">
            <v>Ebook - pdf</v>
          </cell>
          <cell r="C2637">
            <v>9781474430678</v>
          </cell>
        </row>
        <row r="2638">
          <cell r="A2638" t="str">
            <v>The Hand: A Philosophical Inquiry into Human Being</v>
          </cell>
          <cell r="B2638" t="str">
            <v>Ebook - pdf</v>
          </cell>
          <cell r="C2638">
            <v>9781474473019</v>
          </cell>
        </row>
        <row r="2639">
          <cell r="A2639" t="str">
            <v>The Handbook of Business Discourse</v>
          </cell>
          <cell r="B2639" t="str">
            <v>Ebook - pdf</v>
          </cell>
          <cell r="C2639">
            <v>9780748631834</v>
          </cell>
        </row>
        <row r="2640">
          <cell r="A2640" t="str">
            <v>The Handbook of Creative Writing</v>
          </cell>
          <cell r="B2640" t="str">
            <v>Ebook - pdf</v>
          </cell>
          <cell r="C2640">
            <v>9780748689774</v>
          </cell>
        </row>
        <row r="2641">
          <cell r="A2641" t="str">
            <v>The Harvard Lectures of Alfred North Whitehead, 1924-1925: Philosophical Presuppositions of Science</v>
          </cell>
          <cell r="B2641" t="str">
            <v>Ebook - pdf</v>
          </cell>
          <cell r="C2641">
            <v>9781474401852</v>
          </cell>
        </row>
        <row r="2642">
          <cell r="A2642" t="str">
            <v>The Harvard Lectures of Alfred North Whitehead, 1925 - 1927: The General Metaphysical Problems of Science</v>
          </cell>
          <cell r="B2642" t="str">
            <v>Ebook - pdf</v>
          </cell>
          <cell r="C2642">
            <v>9781474416948</v>
          </cell>
        </row>
        <row r="2643">
          <cell r="A2643" t="str">
            <v>The Harvest of the Hills: Rural Life in Northern England and the Scottish Borders</v>
          </cell>
          <cell r="B2643" t="str">
            <v>Ebook - pdf</v>
          </cell>
          <cell r="C2643">
            <v>9780585441856</v>
          </cell>
        </row>
        <row r="2644">
          <cell r="A2644" t="str">
            <v>The Heart of Mid-Lothian</v>
          </cell>
          <cell r="B2644" t="str">
            <v>Ebook - pdf</v>
          </cell>
          <cell r="C2644">
            <v>9781474433532</v>
          </cell>
        </row>
        <row r="2645">
          <cell r="A2645" t="str">
            <v>The Henri Meschonnic Reader: A Poetics of Society</v>
          </cell>
          <cell r="B2645" t="str">
            <v>Ebook - pdf</v>
          </cell>
          <cell r="C2645">
            <v>9781474445986</v>
          </cell>
        </row>
        <row r="2646">
          <cell r="A2646" t="str">
            <v>The High Intensity Workout</v>
          </cell>
          <cell r="B2646" t="str">
            <v>Ebook - pdf</v>
          </cell>
          <cell r="C2646">
            <v>9781474464062</v>
          </cell>
        </row>
        <row r="2647">
          <cell r="A2647" t="str">
            <v>The History of Gothic Fiction</v>
          </cell>
          <cell r="B2647" t="str">
            <v>Ebook - pdf</v>
          </cell>
          <cell r="C2647">
            <v>9781474497107</v>
          </cell>
        </row>
        <row r="2648">
          <cell r="A2648" t="str">
            <v>The History of Islamic Political Thought: From the Prophet to the Present</v>
          </cell>
          <cell r="B2648" t="str">
            <v>Ebook - pdf</v>
          </cell>
          <cell r="C2648">
            <v>9780748647569</v>
          </cell>
        </row>
        <row r="2649">
          <cell r="A2649" t="str">
            <v>The History of the Present English Subjunctive: A Corpus-based Study of Mood and Modality</v>
          </cell>
          <cell r="B2649" t="str">
            <v>Ebook - pdf</v>
          </cell>
          <cell r="C2649">
            <v>9781474438018</v>
          </cell>
        </row>
        <row r="2650">
          <cell r="A2650" t="str">
            <v>The History of the Scottish Parliament: Parliament in Context, 1235-1707</v>
          </cell>
          <cell r="B2650" t="str">
            <v>Ebook - pdf</v>
          </cell>
          <cell r="C2650">
            <v>9780748628469</v>
          </cell>
        </row>
        <row r="2651">
          <cell r="A2651" t="str">
            <v>The Hollywood Meme: Transnational Adaptations in World Cinema</v>
          </cell>
          <cell r="B2651" t="str">
            <v>Ebook - pdf</v>
          </cell>
          <cell r="C2651">
            <v>9780748677474</v>
          </cell>
        </row>
        <row r="2652">
          <cell r="A2652" t="str">
            <v>The Holocaust: Theoretical Readings</v>
          </cell>
          <cell r="B2652" t="str">
            <v>Ebook - pdf</v>
          </cell>
          <cell r="C2652">
            <v>9781474470230</v>
          </cell>
        </row>
        <row r="2653">
          <cell r="A2653" t="str">
            <v>The House Of Austria</v>
          </cell>
          <cell r="B2653" t="str">
            <v>Ebook - pdf</v>
          </cell>
          <cell r="C2653">
            <v>9780748674886</v>
          </cell>
        </row>
        <row r="2654">
          <cell r="A2654" t="str">
            <v>The Iconography of Islamic Art: Studies in Honour of Robert Hillenbrand</v>
          </cell>
          <cell r="B2654" t="str">
            <v>Ebook - pdf</v>
          </cell>
          <cell r="C2654">
            <v>9781474471428</v>
          </cell>
        </row>
        <row r="2655">
          <cell r="A2655" t="str">
            <v>The Idea of Commercial Society in the Scottish Enlightenment</v>
          </cell>
          <cell r="B2655" t="str">
            <v>Ebook - pdf</v>
          </cell>
          <cell r="C2655">
            <v>9780748645336</v>
          </cell>
        </row>
        <row r="2656">
          <cell r="A2656" t="str">
            <v>The Idea of Continental Philosophy</v>
          </cell>
          <cell r="B2656" t="str">
            <v>Ebook - pdf</v>
          </cell>
          <cell r="C2656">
            <v>9780748627097</v>
          </cell>
        </row>
        <row r="2657">
          <cell r="A2657" t="str">
            <v>The Ideology of Democratic Athens: Institutions, Orators and the Mythical Past</v>
          </cell>
          <cell r="B2657" t="str">
            <v>Ebook - pdf</v>
          </cell>
          <cell r="C2657">
            <v>9781474466448</v>
          </cell>
        </row>
        <row r="2658">
          <cell r="A2658" t="str">
            <v>The Imagination in Hume's Philosophy: The Canvas of the Mind</v>
          </cell>
          <cell r="B2658" t="str">
            <v>Ebook - pdf</v>
          </cell>
          <cell r="C2658">
            <v>9781474436410</v>
          </cell>
        </row>
        <row r="2659">
          <cell r="A2659" t="str">
            <v>The Incomplete Project of Schizoanalysis: Collected Essays on Deleuze and Guattari</v>
          </cell>
          <cell r="B2659" t="str">
            <v>Ebook - pdf</v>
          </cell>
          <cell r="C2659">
            <v>9781474487900</v>
          </cell>
        </row>
        <row r="2660">
          <cell r="A2660" t="str">
            <v>The Incurable-Image: Curating Post-Mexican Film and Media Arts</v>
          </cell>
          <cell r="B2660" t="str">
            <v>Ebook - pdf</v>
          </cell>
          <cell r="C2660">
            <v>9781474403368</v>
          </cell>
        </row>
        <row r="2661">
          <cell r="A2661" t="str">
            <v>The Influence of Islam on Medieval Europe</v>
          </cell>
          <cell r="B2661" t="str">
            <v>Ebook - pdf</v>
          </cell>
          <cell r="C2661">
            <v>9781474473491</v>
          </cell>
        </row>
        <row r="2662">
          <cell r="A2662" t="str">
            <v>The Inner Life of a Rational Agent: In Defence of Philosophical Behaviourism</v>
          </cell>
          <cell r="B2662" t="str">
            <v>Ebook - pdf</v>
          </cell>
          <cell r="C2662">
            <v>9780748626731</v>
          </cell>
        </row>
        <row r="2663">
          <cell r="A2663" t="str">
            <v>The Interaction of Borrowing and Word Formation</v>
          </cell>
          <cell r="B2663" t="str">
            <v>Ebook - pdf</v>
          </cell>
          <cell r="C2663">
            <v>9781474448215</v>
          </cell>
        </row>
        <row r="2664">
          <cell r="A2664" t="str">
            <v>The International Film Musical</v>
          </cell>
          <cell r="B2664" t="str">
            <v>Ebook - pdf</v>
          </cell>
          <cell r="C2664">
            <v>9780748634781</v>
          </cell>
        </row>
        <row r="2665">
          <cell r="A2665" t="str">
            <v>The Invention of a People: Heidegger and Deleuze on Art and the Political</v>
          </cell>
          <cell r="B2665" t="str">
            <v>Ebook - pdf</v>
          </cell>
          <cell r="C2665">
            <v>9780748685363</v>
          </cell>
        </row>
        <row r="2666">
          <cell r="A2666" t="str">
            <v>The Invention of Palestinian Citizenship, 1918-1947</v>
          </cell>
          <cell r="B2666" t="str">
            <v>Ebook - pdf</v>
          </cell>
          <cell r="C2666">
            <v>9781474415514</v>
          </cell>
        </row>
        <row r="2667">
          <cell r="A2667" t="str">
            <v>The Invisibilities of Political Torture: The Presence of Absence in US and Chilean Cinema and Television</v>
          </cell>
          <cell r="B2667" t="str">
            <v>Ebook - pdf</v>
          </cell>
          <cell r="C2667">
            <v>9781474437011</v>
          </cell>
        </row>
        <row r="2668">
          <cell r="A2668" t="str">
            <v>The Iraqi Novel: Key Writers, Key Texts</v>
          </cell>
          <cell r="B2668" t="str">
            <v>Ebook - pdf</v>
          </cell>
          <cell r="C2668">
            <v>9780748685233</v>
          </cell>
        </row>
        <row r="2669">
          <cell r="A2669" t="str">
            <v>The J. Hillis Miller Reader</v>
          </cell>
          <cell r="B2669" t="str">
            <v>Ebook - pdf</v>
          </cell>
          <cell r="C2669">
            <v>9781474473651</v>
          </cell>
        </row>
        <row r="2670">
          <cell r="A2670" t="str">
            <v>The Jacobite Relics of Scotland: Volume 1</v>
          </cell>
          <cell r="B2670" t="str">
            <v>Ebook - pdf</v>
          </cell>
          <cell r="C2670">
            <v>9781474433549</v>
          </cell>
        </row>
        <row r="2671">
          <cell r="A2671" t="str">
            <v>The Jacobite Relics of Scotland: Volume 2</v>
          </cell>
          <cell r="B2671" t="str">
            <v>Ebook - pdf</v>
          </cell>
          <cell r="C2671">
            <v>9781474433556</v>
          </cell>
        </row>
        <row r="2672">
          <cell r="A2672" t="str">
            <v>The Jacobite Wars: Scotland and the Military Campaigns of 1715 and 1745</v>
          </cell>
          <cell r="B2672" t="str">
            <v>Ebook - pdf</v>
          </cell>
          <cell r="C2672">
            <v>9781474472081</v>
          </cell>
        </row>
        <row r="2673">
          <cell r="A2673" t="str">
            <v>The Jalayirids: Dynastic State Formation in the Mongol Middle East</v>
          </cell>
          <cell r="B2673" t="str">
            <v>Ebook - pdf</v>
          </cell>
          <cell r="C2673">
            <v>9781474402262</v>
          </cell>
        </row>
        <row r="2674">
          <cell r="A2674" t="str">
            <v>The Jean Baudrillard Reader</v>
          </cell>
          <cell r="B2674" t="str">
            <v>Ebook - pdf</v>
          </cell>
          <cell r="C2674">
            <v>9781474471893</v>
          </cell>
        </row>
        <row r="2675">
          <cell r="A2675" t="str">
            <v>The Jihadist Preachers of the End Times: ISIS Apocalyptic Propaganda</v>
          </cell>
          <cell r="B2675" t="str">
            <v>Ebook - pdf</v>
          </cell>
          <cell r="C2675">
            <v>9781474439251</v>
          </cell>
        </row>
        <row r="2676">
          <cell r="A2676" t="str">
            <v>The Judicial Imagination: Writing After Nuremberg</v>
          </cell>
          <cell r="B2676" t="str">
            <v>Ebook - pdf</v>
          </cell>
          <cell r="C2676">
            <v>9780748647057</v>
          </cell>
        </row>
        <row r="2677">
          <cell r="A2677" t="str">
            <v>The Judiciary, Civil Liberties and Human Rights</v>
          </cell>
          <cell r="B2677" t="str">
            <v>Ebook - pdf</v>
          </cell>
          <cell r="C2677">
            <v>9780748626670</v>
          </cell>
        </row>
        <row r="2678">
          <cell r="A2678" t="str">
            <v>The Kaʿba Orientations: Readings in Islam’s Ancient House</v>
          </cell>
          <cell r="B2678" t="str">
            <v>Ebook - pdf</v>
          </cell>
          <cell r="C2678">
            <v>9780748699315</v>
          </cell>
        </row>
        <row r="2679">
          <cell r="A2679" t="str">
            <v>The Kennedy Assassination</v>
          </cell>
          <cell r="B2679" t="str">
            <v>Ebook - pdf</v>
          </cell>
          <cell r="C2679">
            <v>9780748630332</v>
          </cell>
        </row>
        <row r="2680">
          <cell r="A2680" t="str">
            <v>The Kharijites in Early Islamic Historical Tradition: Heroes and Villains</v>
          </cell>
          <cell r="B2680" t="str">
            <v>Ebook - pdf</v>
          </cell>
          <cell r="C2680">
            <v>9781474450911</v>
          </cell>
        </row>
        <row r="2681">
          <cell r="A2681" t="str">
            <v>The Kingdom of the Scots: Government, church and society from the eleventh to the fourteenth century</v>
          </cell>
          <cell r="B2681" t="str">
            <v>Ebook - pdf</v>
          </cell>
          <cell r="C2681">
            <v>9781474464222</v>
          </cell>
        </row>
        <row r="2682">
          <cell r="A2682" t="str">
            <v>The Kingship of the Scots, 842-1292: Succession and Independence</v>
          </cell>
          <cell r="B2682" t="str">
            <v>Ebook - pdf</v>
          </cell>
          <cell r="C2682">
            <v>9781474415453</v>
          </cell>
        </row>
        <row r="2683">
          <cell r="A2683" t="str">
            <v>The Kirk and the Kingdom: A Century of Tension in Scottish Social Theology 1830-1929</v>
          </cell>
          <cell r="B2683" t="str">
            <v>Ebook - pdf</v>
          </cell>
          <cell r="C2683">
            <v>9780748644742</v>
          </cell>
        </row>
        <row r="2684">
          <cell r="A2684" t="str">
            <v>The Kizilbash-Alevis in Ottoman Anatolia: Sufism, Politics and Community</v>
          </cell>
          <cell r="B2684" t="str">
            <v>Ebook - pdf</v>
          </cell>
          <cell r="C2684">
            <v>9781474432702</v>
          </cell>
        </row>
        <row r="2685">
          <cell r="A2685" t="str">
            <v>The Knowing Animal: A Philosophical Inquiry into Knowledge and Truth</v>
          </cell>
          <cell r="B2685" t="str">
            <v>Ebook - pdf</v>
          </cell>
          <cell r="C2685">
            <v>9781474473033</v>
          </cell>
        </row>
        <row r="2686">
          <cell r="A2686" t="str">
            <v>The Kristeva Critical Reader</v>
          </cell>
          <cell r="B2686" t="str">
            <v>Ebook - pdf</v>
          </cell>
          <cell r="C2686">
            <v>9781474470186</v>
          </cell>
        </row>
        <row r="2687">
          <cell r="A2687" t="str">
            <v>The Kurds in Erdoğan’s Turkey: Balancing Identity, Resistance and Citizenship</v>
          </cell>
          <cell r="B2687" t="str">
            <v>Ebook - pdf</v>
          </cell>
          <cell r="C2687">
            <v>9781474459228</v>
          </cell>
        </row>
        <row r="2688">
          <cell r="A2688" t="str">
            <v>The Labour of Laziness in Twentieth-Century American Literature</v>
          </cell>
          <cell r="B2688" t="str">
            <v>Ebook - pdf</v>
          </cell>
          <cell r="C2688">
            <v>9781474442947</v>
          </cell>
        </row>
        <row r="2689">
          <cell r="A2689" t="str">
            <v>The Lacanian Left: Psychoanalysis, Theory, Politics</v>
          </cell>
          <cell r="B2689" t="str">
            <v>Ebook - pdf</v>
          </cell>
          <cell r="C2689">
            <v>9780748629077</v>
          </cell>
        </row>
        <row r="2690">
          <cell r="A2690" t="str">
            <v>The Land Agent: 1700 - 1920</v>
          </cell>
          <cell r="B2690" t="str">
            <v>Ebook - pdf</v>
          </cell>
          <cell r="C2690">
            <v>9781474438889</v>
          </cell>
        </row>
        <row r="2691">
          <cell r="A2691" t="str">
            <v>The Languages of Business: An International Perspective</v>
          </cell>
          <cell r="B2691" t="str">
            <v>Ebook - pdf</v>
          </cell>
          <cell r="C2691">
            <v>9781474401005</v>
          </cell>
        </row>
        <row r="2692">
          <cell r="A2692" t="str">
            <v>The Last Muslim Intellectual: The Life and Legacy of Jalal Al-e Ahmad</v>
          </cell>
          <cell r="B2692" t="str">
            <v>Ebook - pdf</v>
          </cell>
          <cell r="C2692">
            <v>9781474479301</v>
          </cell>
        </row>
        <row r="2693">
          <cell r="A2693" t="str">
            <v>The Late-Victorian Little Magazine</v>
          </cell>
          <cell r="B2693" t="str">
            <v>Ebook - pdf</v>
          </cell>
          <cell r="C2693">
            <v>9781474426237</v>
          </cell>
        </row>
        <row r="2694">
          <cell r="A2694" t="str">
            <v>The Legacy of Iraq: From the 2003 War to the 'Islamic State'</v>
          </cell>
          <cell r="B2694" t="str">
            <v>Ebook - pdf</v>
          </cell>
          <cell r="C2694">
            <v>9780748696178</v>
          </cell>
        </row>
        <row r="2695">
          <cell r="A2695" t="str">
            <v>The Lesser Evil</v>
          </cell>
          <cell r="B2695" t="str">
            <v>Ebook - pdf</v>
          </cell>
          <cell r="C2695">
            <v>9781474469432</v>
          </cell>
        </row>
        <row r="2696">
          <cell r="A2696" t="str">
            <v>The Libyan Novel: Humans, Animals and the Poetics of Vulnerability</v>
          </cell>
          <cell r="B2696" t="str">
            <v>Ebook - pdf</v>
          </cell>
          <cell r="C2696">
            <v>9781474457477</v>
          </cell>
        </row>
        <row r="2697">
          <cell r="A2697" t="str">
            <v>The Life and Work of W. Montgomery Watt</v>
          </cell>
          <cell r="B2697" t="str">
            <v>Ebook - pdf</v>
          </cell>
          <cell r="C2697">
            <v>9781474447348</v>
          </cell>
        </row>
        <row r="2698">
          <cell r="A2698" t="str">
            <v>The Life Intense: A Modern Obsession</v>
          </cell>
          <cell r="B2698" t="str">
            <v>Ebook - pdf</v>
          </cell>
          <cell r="C2698">
            <v>9781474437134</v>
          </cell>
        </row>
        <row r="2699">
          <cell r="A2699" t="str">
            <v>The Life of Sir Walter Scott by John Macrone: edited with an introduction by Daniel Grader</v>
          </cell>
          <cell r="B2699" t="str">
            <v>Ebook - pdf</v>
          </cell>
          <cell r="C2699">
            <v>9780748669929</v>
          </cell>
        </row>
        <row r="2700">
          <cell r="A2700" t="str">
            <v>The Life of William Robertson: Minister, Historian, and Principal</v>
          </cell>
          <cell r="B2700" t="str">
            <v>Ebook - pdf</v>
          </cell>
          <cell r="C2700">
            <v>9780748646111</v>
          </cell>
        </row>
        <row r="2701">
          <cell r="A2701" t="str">
            <v>The Linguistics of History</v>
          </cell>
          <cell r="B2701" t="str">
            <v>Ebook - pdf</v>
          </cell>
          <cell r="C2701">
            <v>9781474468909</v>
          </cell>
        </row>
        <row r="2702">
          <cell r="A2702" t="str">
            <v>The Linguistics Student's Handbook</v>
          </cell>
          <cell r="B2702" t="str">
            <v>Ebook - pdf</v>
          </cell>
          <cell r="C2702">
            <v>9781474474108</v>
          </cell>
        </row>
        <row r="2703">
          <cell r="A2703" t="str">
            <v>The Literary Afterlife of Raymond Carver: Influence and Craftmanship in the Neoliberal Era</v>
          </cell>
          <cell r="B2703" t="str">
            <v>Ebook - pdf</v>
          </cell>
          <cell r="C2703">
            <v>9781474455527</v>
          </cell>
        </row>
        <row r="2704">
          <cell r="A2704" t="str">
            <v>The Literary Cold War, 1945 to Vietnam</v>
          </cell>
          <cell r="B2704" t="str">
            <v>Ebook - pdf</v>
          </cell>
          <cell r="C2704">
            <v>9780748635283</v>
          </cell>
        </row>
        <row r="2705">
          <cell r="A2705" t="str">
            <v>The Literary Politics of Scottish Devolution: Voice, Class, Nation</v>
          </cell>
          <cell r="B2705" t="str">
            <v>Ebook - pdf</v>
          </cell>
          <cell r="C2705">
            <v>9781474418157</v>
          </cell>
        </row>
        <row r="2706">
          <cell r="A2706" t="str">
            <v>The Literature of Pity</v>
          </cell>
          <cell r="B2706" t="str">
            <v>Ebook - pdf</v>
          </cell>
          <cell r="C2706">
            <v>9780748691975</v>
          </cell>
        </row>
        <row r="2707">
          <cell r="A2707" t="str">
            <v>The Literature of Suburban Change: Narrating Spatial Complexity in Metropolitan America</v>
          </cell>
          <cell r="B2707" t="str">
            <v>Ebook - pdf</v>
          </cell>
          <cell r="C2707">
            <v>9781474426503</v>
          </cell>
        </row>
        <row r="2708">
          <cell r="A2708" t="str">
            <v>The Little Art Colony and US Modernism: Carmel, Provincetown, Taos</v>
          </cell>
          <cell r="B2708" t="str">
            <v>Ebook - pdf</v>
          </cell>
          <cell r="C2708">
            <v>9781474439770</v>
          </cell>
        </row>
        <row r="2709">
          <cell r="A2709" t="str">
            <v>The Lives of Scottish Women: Women and Scottish Society 1800-1980</v>
          </cell>
          <cell r="B2709" t="str">
            <v>Ebook - pdf</v>
          </cell>
          <cell r="C2709">
            <v>9780748626557</v>
          </cell>
        </row>
        <row r="2710">
          <cell r="A2710" t="str">
            <v>The Long 1890s in Egypt: Colonial Quiescence, Subterranean Resistance</v>
          </cell>
          <cell r="B2710" t="str">
            <v>Ebook - pdf</v>
          </cell>
          <cell r="C2710">
            <v>9780748670130</v>
          </cell>
        </row>
        <row r="2711">
          <cell r="A2711" t="str">
            <v>The Lyotard Dictionary</v>
          </cell>
          <cell r="B2711" t="str">
            <v>Ebook - pdf</v>
          </cell>
          <cell r="C2711">
            <v>9780748646005</v>
          </cell>
        </row>
        <row r="2712">
          <cell r="A2712" t="str">
            <v>The Lyotard Reader and Guide</v>
          </cell>
          <cell r="B2712" t="str">
            <v>Ebook - pdf</v>
          </cell>
          <cell r="C2712">
            <v>9781474465960</v>
          </cell>
        </row>
        <row r="2713">
          <cell r="A2713" t="str">
            <v>The Lyric Poem and Aestheticism: Forms of Modernity</v>
          </cell>
          <cell r="B2713" t="str">
            <v>Ebook - pdf</v>
          </cell>
          <cell r="C2713">
            <v>9781474415675</v>
          </cell>
        </row>
        <row r="2714">
          <cell r="A2714" t="str">
            <v>The 'Magnificent Castle' of Culzean and the Kennedy Family</v>
          </cell>
          <cell r="B2714" t="str">
            <v>Ebook - pdf</v>
          </cell>
          <cell r="C2714">
            <v>9781474471138</v>
          </cell>
        </row>
        <row r="2715">
          <cell r="A2715" t="str">
            <v>The Major Realist Film Theorists: A Critical Anthology</v>
          </cell>
          <cell r="B2715" t="str">
            <v>Ebook - pdf</v>
          </cell>
          <cell r="C2715">
            <v>9781474402224</v>
          </cell>
        </row>
        <row r="2716">
          <cell r="A2716" t="str">
            <v>The Making and Unmaking of Francoist Kitsch Cinema: From Raza to Pan´s Labyrinth</v>
          </cell>
          <cell r="B2716" t="str">
            <v>Ebook - pdf</v>
          </cell>
          <cell r="C2716">
            <v>9780748699230</v>
          </cell>
        </row>
        <row r="2717">
          <cell r="A2717" t="str">
            <v>The Making of Classical Edinburgh: With Photographs by Edwin Smith</v>
          </cell>
          <cell r="B2717" t="str">
            <v>Ebook - pdf</v>
          </cell>
          <cell r="C2717">
            <v>9781474448024</v>
          </cell>
        </row>
        <row r="2718">
          <cell r="A2718" t="str">
            <v>The Making of Islamic Art: Studies in Honour of Sheila Blair and Jonathan Bloom</v>
          </cell>
          <cell r="B2718" t="str">
            <v>Ebook - pdf</v>
          </cell>
          <cell r="C2718">
            <v>9781474434300</v>
          </cell>
        </row>
        <row r="2719">
          <cell r="A2719" t="str">
            <v>The Making of the Artist in Late Timurid Painting</v>
          </cell>
          <cell r="B2719" t="str">
            <v>Ebook - pdf</v>
          </cell>
          <cell r="C2719">
            <v>9781474437455</v>
          </cell>
        </row>
        <row r="2720">
          <cell r="A2720" t="str">
            <v>The Making of the Tunisian Revolution: Contexts, Architects, Prospects</v>
          </cell>
          <cell r="B2720" t="str">
            <v>Ebook - pdf</v>
          </cell>
          <cell r="C2720">
            <v>9780748691050</v>
          </cell>
        </row>
        <row r="2721">
          <cell r="A2721" t="str">
            <v>The Man of Wiles in Popular Arabic Literature: A Study of a Medieval Arab Hero</v>
          </cell>
          <cell r="B2721" t="str">
            <v>Ebook - pdf</v>
          </cell>
          <cell r="C2721">
            <v>9780748645039</v>
          </cell>
        </row>
        <row r="2722">
          <cell r="A2722" t="str">
            <v>The Man-Leopard Murders: History and Society in Colonial Nigeria</v>
          </cell>
          <cell r="B2722" t="str">
            <v>Ebook - pdf</v>
          </cell>
          <cell r="C2722">
            <v>9780748631001</v>
          </cell>
        </row>
        <row r="2723">
          <cell r="A2723" t="str">
            <v>The Many Voices of Lydia Davis: Translation, Rewriting, Intertextuality</v>
          </cell>
          <cell r="B2723" t="str">
            <v>Ebook - pdf</v>
          </cell>
          <cell r="C2723">
            <v>9781474400183</v>
          </cell>
        </row>
        <row r="2724">
          <cell r="A2724" t="str">
            <v>The Media in Scotland</v>
          </cell>
          <cell r="B2724" t="str">
            <v>Ebook - pdf</v>
          </cell>
          <cell r="C2724">
            <v>9780748631827</v>
          </cell>
        </row>
        <row r="2725">
          <cell r="A2725" t="str">
            <v>The Meillassoux Dictionary</v>
          </cell>
          <cell r="B2725" t="str">
            <v>Ebook - pdf</v>
          </cell>
          <cell r="C2725">
            <v>9780748695584</v>
          </cell>
        </row>
        <row r="2726">
          <cell r="A2726" t="str">
            <v>The Middle East from Empire to Sealed Identities</v>
          </cell>
          <cell r="B2726" t="str">
            <v>Ebook - pdf</v>
          </cell>
          <cell r="C2726">
            <v>9781474448963</v>
          </cell>
        </row>
        <row r="2727">
          <cell r="A2727" t="str">
            <v>The Military-Peace Complex: Gender and Materiality in Afghanistan</v>
          </cell>
          <cell r="B2727" t="str">
            <v>Ebook - pdf</v>
          </cell>
          <cell r="C2727">
            <v>9781474453349</v>
          </cell>
        </row>
        <row r="2728">
          <cell r="A2728" t="str">
            <v>The Modern Scottish Diaspora: Contemporary Debates and Perspectives</v>
          </cell>
          <cell r="B2728" t="str">
            <v>Ebook - pdf</v>
          </cell>
          <cell r="C2728">
            <v>9780748681426</v>
          </cell>
        </row>
        <row r="2729">
          <cell r="A2729" t="str">
            <v>The Modern Scottish Novel: Narrative and the National Imagination</v>
          </cell>
          <cell r="B2729" t="str">
            <v>Ebook - pdf</v>
          </cell>
          <cell r="C2729">
            <v>9780748674374</v>
          </cell>
        </row>
        <row r="2730">
          <cell r="A2730" t="str">
            <v>The Modern Short Story and Magazine Culture, 1880-1950</v>
          </cell>
          <cell r="B2730" t="str">
            <v>Ebook - pdf</v>
          </cell>
          <cell r="C2730">
            <v>9781474461108</v>
          </cell>
        </row>
        <row r="2731">
          <cell r="A2731" t="str">
            <v>The Modern SNP: From Protest to Power</v>
          </cell>
          <cell r="B2731" t="str">
            <v>Ebook - pdf</v>
          </cell>
          <cell r="C2731">
            <v>9780748642113</v>
          </cell>
        </row>
        <row r="2732">
          <cell r="A2732" t="str">
            <v>The Modern State: Theories and Ideologies</v>
          </cell>
          <cell r="B2732" t="str">
            <v>Ebook - pdf</v>
          </cell>
          <cell r="C2732">
            <v>9780748629565</v>
          </cell>
        </row>
        <row r="2733">
          <cell r="A2733" t="str">
            <v>The Modernist Exoskeleton: Insects, War, Literary Form</v>
          </cell>
          <cell r="B2733" t="str">
            <v>Ebook - pdf</v>
          </cell>
          <cell r="C2733">
            <v>9781474458214</v>
          </cell>
        </row>
        <row r="2734">
          <cell r="A2734" t="str">
            <v>The Modernist Party</v>
          </cell>
          <cell r="B2734" t="str">
            <v>Ebook - pdf</v>
          </cell>
          <cell r="C2734">
            <v>9780748647323</v>
          </cell>
        </row>
        <row r="2735">
          <cell r="A2735" t="str">
            <v>The Monastery</v>
          </cell>
          <cell r="B2735" t="str">
            <v>Ebook - pdf</v>
          </cell>
          <cell r="C2735">
            <v>9781474433662</v>
          </cell>
        </row>
        <row r="2736">
          <cell r="A2736" t="str">
            <v>The Mongol Empire</v>
          </cell>
          <cell r="B2736" t="str">
            <v>Ebook - pdf</v>
          </cell>
          <cell r="C2736">
            <v>9781474417402</v>
          </cell>
        </row>
        <row r="2737">
          <cell r="A2737" t="str">
            <v>The Moorlands of England and Wales: An Environmental History, 8000 BC - AD 2000</v>
          </cell>
          <cell r="B2737" t="str">
            <v>Ebook - pdf</v>
          </cell>
          <cell r="C2737">
            <v>9781474472616</v>
          </cell>
        </row>
        <row r="2738">
          <cell r="A2738" t="str">
            <v>The Moral Mappings of South and North</v>
          </cell>
          <cell r="B2738" t="str">
            <v>Ebook - pdf</v>
          </cell>
          <cell r="C2738">
            <v>9781474423267</v>
          </cell>
        </row>
        <row r="2739">
          <cell r="A2739" t="str">
            <v>The Morality of Peacekeeping</v>
          </cell>
          <cell r="B2739" t="str">
            <v>Ebook - pdf</v>
          </cell>
          <cell r="C2739">
            <v>9780748675906</v>
          </cell>
        </row>
        <row r="2740">
          <cell r="A2740" t="str">
            <v>The Mountain Bard</v>
          </cell>
          <cell r="B2740" t="str">
            <v>Ebook - pdf</v>
          </cell>
          <cell r="C2740">
            <v>9780748629152</v>
          </cell>
        </row>
        <row r="2741">
          <cell r="A2741" t="str">
            <v>The Museum as a Cinematic Space: The Display of Moving Images in Exhibitions</v>
          </cell>
          <cell r="B2741" t="str">
            <v>Ebook - pdf</v>
          </cell>
          <cell r="C2741">
            <v>9781474416801</v>
          </cell>
        </row>
        <row r="2742">
          <cell r="A2742" t="str">
            <v>The Muslims of Medieval Italy</v>
          </cell>
          <cell r="B2742" t="str">
            <v>Ebook - pdf</v>
          </cell>
          <cell r="C2742">
            <v>9780748629114</v>
          </cell>
        </row>
        <row r="2743">
          <cell r="A2743" t="str">
            <v>The Myth of Evil</v>
          </cell>
          <cell r="B2743" t="str">
            <v>Ebook - pdf</v>
          </cell>
          <cell r="C2743">
            <v>9780748626854</v>
          </cell>
        </row>
        <row r="2744">
          <cell r="A2744" t="str">
            <v>The Myth of the Jacobite Clans: The Jacobite Army in 1745</v>
          </cell>
          <cell r="B2744" t="str">
            <v>Ebook - pdf</v>
          </cell>
          <cell r="C2744">
            <v>9781474471688</v>
          </cell>
        </row>
        <row r="2745">
          <cell r="A2745" t="str">
            <v>The Nancy Dictionary</v>
          </cell>
          <cell r="B2745" t="str">
            <v>Ebook - pdf</v>
          </cell>
          <cell r="C2745">
            <v>9780748646470</v>
          </cell>
        </row>
        <row r="2746">
          <cell r="A2746" t="str">
            <v>The Nation and Nationalism in Europe: An Introduction</v>
          </cell>
          <cell r="B2746" t="str">
            <v>Ebook - pdf</v>
          </cell>
          <cell r="C2746">
            <v>9780748647088</v>
          </cell>
        </row>
        <row r="2747">
          <cell r="A2747" t="str">
            <v>The Native Woodlands of Scotland: Ecology, Conservation and Management</v>
          </cell>
          <cell r="B2747" t="str">
            <v>Ebook - pdf</v>
          </cell>
          <cell r="C2747">
            <v>9780748692866</v>
          </cell>
        </row>
        <row r="2748">
          <cell r="A2748" t="str">
            <v>The Near West: Medieval North Africa, Latin Europe and the Mediterranean in the Second Axial Age</v>
          </cell>
          <cell r="B2748" t="str">
            <v>Ebook - pdf</v>
          </cell>
          <cell r="C2748">
            <v>9781474410076</v>
          </cell>
        </row>
        <row r="2749">
          <cell r="A2749" t="str">
            <v>The Neolithic of Mainland Scotland</v>
          </cell>
          <cell r="B2749" t="str">
            <v>Ebook - pdf</v>
          </cell>
          <cell r="C2749">
            <v>9780748685745</v>
          </cell>
        </row>
        <row r="2750">
          <cell r="A2750" t="str">
            <v>The New Biographical Dictionary of Scottish Women</v>
          </cell>
          <cell r="B2750" t="str">
            <v>Ebook - pdf</v>
          </cell>
          <cell r="C2750">
            <v>9781474436298</v>
          </cell>
        </row>
        <row r="2751">
          <cell r="A2751" t="str">
            <v>The New Deal</v>
          </cell>
          <cell r="B2751" t="str">
            <v>Ebook - pdf</v>
          </cell>
          <cell r="C2751">
            <v>9780585159119</v>
          </cell>
        </row>
        <row r="2752">
          <cell r="A2752" t="str">
            <v>The New Extremism in Cinema: From France to Europe</v>
          </cell>
          <cell r="B2752" t="str">
            <v>Ebook - pdf</v>
          </cell>
          <cell r="C2752">
            <v>9780748647095</v>
          </cell>
        </row>
        <row r="2753">
          <cell r="A2753" t="str">
            <v>The New Islamic Dynasties: A Chronological and Genealogical Manual</v>
          </cell>
          <cell r="B2753" t="str">
            <v>Ebook - pdf</v>
          </cell>
          <cell r="C2753">
            <v>9781474464628</v>
          </cell>
        </row>
        <row r="2754">
          <cell r="A2754" t="str">
            <v>The New Neapolitan Cinema</v>
          </cell>
          <cell r="B2754" t="str">
            <v>Ebook - pdf</v>
          </cell>
          <cell r="C2754">
            <v>9780748645442</v>
          </cell>
        </row>
        <row r="2755">
          <cell r="A2755" t="str">
            <v>The New Romanian Cinema</v>
          </cell>
          <cell r="B2755" t="str">
            <v>Ebook - pdf</v>
          </cell>
          <cell r="C2755">
            <v>9780748696444</v>
          </cell>
        </row>
        <row r="2756">
          <cell r="A2756" t="str">
            <v>The New Russian Nationalism: Imperialism, Ethnicity and Authoritarianism 2000--2015</v>
          </cell>
          <cell r="B2756" t="str">
            <v>Ebook - pdf</v>
          </cell>
          <cell r="C2756">
            <v>9781474410434</v>
          </cell>
        </row>
        <row r="2757">
          <cell r="A2757" t="str">
            <v>The Old Poor Law in Scotland: The Experience of Poverty, 1574-1845</v>
          </cell>
          <cell r="B2757" t="str">
            <v>Ebook - pdf</v>
          </cell>
          <cell r="C2757">
            <v>9781474471060</v>
          </cell>
        </row>
        <row r="2758">
          <cell r="A2758" t="str">
            <v>The Open Door Era: United States Foreign Policy in the Twentieth Century</v>
          </cell>
          <cell r="B2758" t="str">
            <v>Ebook - pdf</v>
          </cell>
          <cell r="C2758">
            <v>9781474401326</v>
          </cell>
        </row>
        <row r="2759">
          <cell r="A2759" t="str">
            <v>The Operatic and the Everyday in Postwar Italian Film Melodrama</v>
          </cell>
          <cell r="B2759" t="str">
            <v>Ebook - pdf</v>
          </cell>
          <cell r="C2759">
            <v>9780748656431</v>
          </cell>
        </row>
        <row r="2760">
          <cell r="A2760" t="str">
            <v>The Ordering of Time: Meditations on the History of Philosophy</v>
          </cell>
          <cell r="B2760" t="str">
            <v>Ebook - pdf</v>
          </cell>
          <cell r="C2760">
            <v>9781474478588</v>
          </cell>
        </row>
        <row r="2761">
          <cell r="A2761" t="str">
            <v>The Origins of English Revenge Tragedy</v>
          </cell>
          <cell r="B2761" t="str">
            <v>Ebook - pdf</v>
          </cell>
          <cell r="C2761">
            <v>9781474441735</v>
          </cell>
        </row>
        <row r="2762">
          <cell r="A2762" t="str">
            <v>The Other Hollywood Renaissance</v>
          </cell>
          <cell r="B2762" t="str">
            <v>Ebook - pdf</v>
          </cell>
          <cell r="C2762">
            <v>9781474442657</v>
          </cell>
        </row>
        <row r="2763">
          <cell r="A2763" t="str">
            <v>The Other Side of Glamour: The Left-wing Studio Network in Hong Kong Cinema in the Cold War Era and Beyond</v>
          </cell>
          <cell r="B2763" t="str">
            <v>Ebook - pdf</v>
          </cell>
          <cell r="C2763">
            <v>9781474424639</v>
          </cell>
        </row>
        <row r="2764">
          <cell r="A2764" t="str">
            <v>The Parks and Gardens of Britain: A Landscape History from the Air</v>
          </cell>
          <cell r="B2764" t="str">
            <v>Ebook - pdf</v>
          </cell>
          <cell r="C2764">
            <v>9781474473101</v>
          </cell>
        </row>
        <row r="2765">
          <cell r="A2765" t="str">
            <v>The Paul de Man Notebooks</v>
          </cell>
          <cell r="B2765" t="str">
            <v>Ebook - pdf</v>
          </cell>
          <cell r="C2765">
            <v>9780748670178</v>
          </cell>
        </row>
        <row r="2766">
          <cell r="A2766" t="str">
            <v>The Paul Virilio Reader</v>
          </cell>
          <cell r="B2766" t="str">
            <v>Ebook - pdf</v>
          </cell>
          <cell r="C2766">
            <v>9781474471886</v>
          </cell>
        </row>
        <row r="2767">
          <cell r="A2767" t="str">
            <v>The Perfectionist Turn: From Metanorms to Metaethics</v>
          </cell>
          <cell r="B2767" t="str">
            <v>Ebook - pdf</v>
          </cell>
          <cell r="C2767">
            <v>9781474413350</v>
          </cell>
        </row>
        <row r="2768">
          <cell r="A2768" t="str">
            <v>The Peripatetic Frame: Images of Walking in Film</v>
          </cell>
          <cell r="B2768" t="str">
            <v>Ebook - pdf</v>
          </cell>
          <cell r="C2768">
            <v>9781474409308</v>
          </cell>
        </row>
        <row r="2769">
          <cell r="A2769" t="str">
            <v>The Persian Presence in Victorian Poetry</v>
          </cell>
          <cell r="B2769" t="str">
            <v>Ebook - pdf</v>
          </cell>
          <cell r="C2769">
            <v>9781474448185</v>
          </cell>
        </row>
        <row r="2770">
          <cell r="A2770" t="str">
            <v>The Persistence of the Negative: A Critique of Contemporary Continental Theory</v>
          </cell>
          <cell r="B2770" t="str">
            <v>Ebook - pdf</v>
          </cell>
          <cell r="C2770">
            <v>9780748643295</v>
          </cell>
        </row>
        <row r="2771">
          <cell r="A2771" t="str">
            <v>The Phantom of Chance: From Fortune to Randomness in Seventeenth-Century French Literature</v>
          </cell>
          <cell r="B2771" t="str">
            <v>Ebook - pdf</v>
          </cell>
          <cell r="C2771">
            <v>9780748645169</v>
          </cell>
        </row>
        <row r="2772">
          <cell r="A2772" t="str">
            <v>The Philosophical Foundations of the Late Schelling: The Turn to the Positive</v>
          </cell>
          <cell r="B2772" t="str">
            <v>Ebook - pdf</v>
          </cell>
          <cell r="C2772">
            <v>9781474410359</v>
          </cell>
        </row>
        <row r="2773">
          <cell r="A2773" t="str">
            <v>The Philosophy of John Duns Scotus</v>
          </cell>
          <cell r="B2773" t="str">
            <v>Ebook - pdf</v>
          </cell>
          <cell r="C2773">
            <v>9780748627257</v>
          </cell>
        </row>
        <row r="2774">
          <cell r="A2774" t="str">
            <v>The Philosophy of Music: Theme and Variations</v>
          </cell>
          <cell r="B2774" t="str">
            <v>Ebook - pdf</v>
          </cell>
          <cell r="C2774">
            <v>9781474472036</v>
          </cell>
        </row>
        <row r="2775">
          <cell r="A2775" t="str">
            <v>The Philosophy of the Environment</v>
          </cell>
          <cell r="B2775" t="str">
            <v>Ebook - pdf</v>
          </cell>
          <cell r="C2775">
            <v>9781474400374</v>
          </cell>
        </row>
        <row r="2776">
          <cell r="A2776" t="str">
            <v>The Philosophy Workbook</v>
          </cell>
          <cell r="B2776" t="str">
            <v>Ebook - pdf</v>
          </cell>
          <cell r="C2776">
            <v>9781474472098</v>
          </cell>
        </row>
        <row r="2777">
          <cell r="A2777" t="str">
            <v>The Phonetics/Phonology Interface</v>
          </cell>
          <cell r="B2777" t="str">
            <v>Ebook - pdf</v>
          </cell>
          <cell r="C2777">
            <v>9780748681808</v>
          </cell>
        </row>
        <row r="2778">
          <cell r="A2778" t="str">
            <v>The Photography of Victorian Scotland</v>
          </cell>
          <cell r="B2778" t="str">
            <v>Ebook - pdf</v>
          </cell>
          <cell r="C2778">
            <v>9780748654628</v>
          </cell>
        </row>
        <row r="2779">
          <cell r="A2779" t="str">
            <v>The Pilgrims Society and Public Diplomacy, 1895-1945</v>
          </cell>
          <cell r="B2779" t="str">
            <v>Ebook - pdf</v>
          </cell>
          <cell r="C2779">
            <v>9781474417822</v>
          </cell>
        </row>
        <row r="2780">
          <cell r="A2780" t="str">
            <v>The Pirate</v>
          </cell>
          <cell r="B2780" t="str">
            <v>Ebook - pdf</v>
          </cell>
          <cell r="C2780">
            <v>9781474433679</v>
          </cell>
        </row>
        <row r="2781">
          <cell r="A2781" t="str">
            <v>The Place of Breath in Cinema</v>
          </cell>
          <cell r="B2781" t="str">
            <v>Ebook - pdf</v>
          </cell>
          <cell r="C2781">
            <v>9780748649006</v>
          </cell>
        </row>
        <row r="2782">
          <cell r="A2782" t="str">
            <v>The Plato Reader</v>
          </cell>
          <cell r="B2782" t="str">
            <v>Ebook - pdf</v>
          </cell>
          <cell r="C2782">
            <v>9780585060804</v>
          </cell>
        </row>
        <row r="2783">
          <cell r="A2783" t="str">
            <v>The Poems of Ossian and Related Works: James Macpherson</v>
          </cell>
          <cell r="B2783" t="str">
            <v>Ebook - pdf</v>
          </cell>
          <cell r="C2783">
            <v>9781474468374</v>
          </cell>
        </row>
        <row r="2784">
          <cell r="A2784" t="str">
            <v>The Poetic Achievement of Ezra Pound</v>
          </cell>
          <cell r="B2784" t="str">
            <v>Ebook - pdf</v>
          </cell>
          <cell r="C2784">
            <v>9780748674398</v>
          </cell>
        </row>
        <row r="2785">
          <cell r="A2785" t="str">
            <v>The Poetics of Friendship in Early Modern Spain: A Study in Literary Form</v>
          </cell>
          <cell r="B2785" t="str">
            <v>Ebook - pdf</v>
          </cell>
          <cell r="C2785">
            <v>9781474458061</v>
          </cell>
        </row>
        <row r="2786">
          <cell r="A2786" t="str">
            <v>The Poetics of Impersonality: T. S. Eliot and Ezra Pound</v>
          </cell>
          <cell r="B2786" t="str">
            <v>Ebook - pdf</v>
          </cell>
          <cell r="C2786">
            <v>9781474468053</v>
          </cell>
        </row>
        <row r="2787">
          <cell r="A2787" t="str">
            <v>The Poetics of Singularity: The Counter-Culturalist Turn in Heidegger, Derrida, Blanchot and the later Gadamer</v>
          </cell>
          <cell r="B2787" t="str">
            <v>Ebook - pdf</v>
          </cell>
          <cell r="C2787">
            <v>9781474465786</v>
          </cell>
        </row>
        <row r="2788">
          <cell r="A2788" t="str">
            <v>The Poetry and Critical Writings of Katherine Mansfield</v>
          </cell>
          <cell r="B2788" t="str">
            <v>Ebook - pdf</v>
          </cell>
          <cell r="C2788">
            <v>9781399504157</v>
          </cell>
        </row>
        <row r="2789">
          <cell r="A2789" t="str">
            <v>The Poetry of Jack Spicer</v>
          </cell>
          <cell r="B2789" t="str">
            <v>Ebook - pdf</v>
          </cell>
          <cell r="C2789">
            <v>9780748677153</v>
          </cell>
        </row>
        <row r="2790">
          <cell r="A2790" t="str">
            <v>The Poetry of Scotland: Gaelic, Scots &amp; English 1380–1980</v>
          </cell>
          <cell r="B2790" t="str">
            <v>Ebook - pdf</v>
          </cell>
          <cell r="C2790">
            <v>9781474473439</v>
          </cell>
        </row>
        <row r="2791">
          <cell r="A2791" t="str">
            <v>The Political Aesthetics of Global Protest: The Arab Spring and Beyond</v>
          </cell>
          <cell r="B2791" t="str">
            <v>Ebook - pdf</v>
          </cell>
          <cell r="C2791">
            <v>9780748693504</v>
          </cell>
        </row>
        <row r="2792">
          <cell r="A2792" t="str">
            <v>The Political Archive of Paul de Man: Property, Sovereignty and the Theotropic</v>
          </cell>
          <cell r="B2792" t="str">
            <v>Ebook - pdf</v>
          </cell>
          <cell r="C2792">
            <v>9780748665624</v>
          </cell>
        </row>
        <row r="2793">
          <cell r="A2793" t="str">
            <v>The Political Mapping of Cyberspace</v>
          </cell>
          <cell r="B2793" t="str">
            <v>Ebook - pdf</v>
          </cell>
          <cell r="C2793">
            <v>9781474465922</v>
          </cell>
        </row>
        <row r="2794">
          <cell r="A2794" t="str">
            <v>The Political Mind: or 'How to Think Differently'</v>
          </cell>
          <cell r="B2794" t="str">
            <v>Ebook - pdf</v>
          </cell>
          <cell r="C2794">
            <v>9780748630226</v>
          </cell>
        </row>
        <row r="2795">
          <cell r="A2795" t="str">
            <v>The Political Philosophy of Niccolò Machiavelli</v>
          </cell>
          <cell r="B2795" t="str">
            <v>Ebook - pdf</v>
          </cell>
          <cell r="C2795">
            <v>9781474404297</v>
          </cell>
        </row>
        <row r="2796">
          <cell r="A2796" t="str">
            <v>The Political Theology of Kierkegaard</v>
          </cell>
          <cell r="B2796" t="str">
            <v>Ebook - pdf</v>
          </cell>
          <cell r="C2796">
            <v>9781474474153</v>
          </cell>
        </row>
        <row r="2797">
          <cell r="A2797" t="str">
            <v>The Political Theology of Schelling</v>
          </cell>
          <cell r="B2797" t="str">
            <v>Ebook - pdf</v>
          </cell>
          <cell r="C2797">
            <v>9781474416917</v>
          </cell>
        </row>
        <row r="2798">
          <cell r="A2798" t="str">
            <v>The Political Thought of Jacques Rancière: Creating Equality</v>
          </cell>
          <cell r="B2798" t="str">
            <v>Ebook - pdf</v>
          </cell>
          <cell r="C2798">
            <v>9780748635337</v>
          </cell>
        </row>
        <row r="2799">
          <cell r="A2799" t="str">
            <v>The Politics of Arabic in Israel: A Sociolinguistic Analysis</v>
          </cell>
          <cell r="B2799" t="str">
            <v>Ebook - pdf</v>
          </cell>
          <cell r="C2799">
            <v>9781474420877</v>
          </cell>
        </row>
        <row r="2800">
          <cell r="A2800" t="str">
            <v>The Politics of Armenian Migration to North America, 1885-1915: Migrants, Smugglers and Dubious Citizens</v>
          </cell>
          <cell r="B2800" t="str">
            <v>Ebook - pdf</v>
          </cell>
          <cell r="C2800">
            <v>9781474445269</v>
          </cell>
        </row>
        <row r="2801">
          <cell r="A2801" t="str">
            <v>The Politics of Association in Hellenistic Rhodes</v>
          </cell>
          <cell r="B2801" t="str">
            <v>Ebook - pdf</v>
          </cell>
          <cell r="C2801">
            <v>9781474452571</v>
          </cell>
        </row>
        <row r="2802">
          <cell r="A2802" t="str">
            <v>The Politics of Community: Theory and Practice</v>
          </cell>
          <cell r="B2802" t="str">
            <v>Ebook - pdf</v>
          </cell>
          <cell r="C2802">
            <v>9781474470292</v>
          </cell>
        </row>
        <row r="2803">
          <cell r="A2803" t="str">
            <v>The Politics of Debt and Europe’s Relations with the ‘South’</v>
          </cell>
          <cell r="B2803" t="str">
            <v>Ebook - pdf</v>
          </cell>
          <cell r="C2803">
            <v>9781474461429</v>
          </cell>
        </row>
        <row r="2804">
          <cell r="A2804" t="str">
            <v>The Politics of Diplomacy: U.S. Presidents and the Northern Ireland Conflict, 1967-1998</v>
          </cell>
          <cell r="B2804" t="str">
            <v>Ebook - pdf</v>
          </cell>
          <cell r="C2804">
            <v>9781474402125</v>
          </cell>
        </row>
        <row r="2805">
          <cell r="A2805" t="str">
            <v>The Politics of International Law and International Justice</v>
          </cell>
          <cell r="B2805" t="str">
            <v>Ebook - pdf</v>
          </cell>
          <cell r="C2805">
            <v>9780748634736</v>
          </cell>
        </row>
        <row r="2806">
          <cell r="A2806" t="str">
            <v>The Politics of Islam: The Muslim Brothers and the State in the Arab Gulf</v>
          </cell>
          <cell r="B2806" t="str">
            <v>Ebook - pdf</v>
          </cell>
          <cell r="C2806">
            <v>9781474490276</v>
          </cell>
        </row>
        <row r="2807">
          <cell r="A2807" t="str">
            <v>The Politics of Islamic Finance</v>
          </cell>
          <cell r="B2807" t="str">
            <v>Ebook - pdf</v>
          </cell>
          <cell r="C2807">
            <v>9781474469081</v>
          </cell>
        </row>
        <row r="2808">
          <cell r="A2808" t="str">
            <v>The Politics of Kathy Acker: Revolution and the Avant-Garde</v>
          </cell>
          <cell r="B2808" t="str">
            <v>Ebook - pdf</v>
          </cell>
          <cell r="C2808">
            <v>9781474424660</v>
          </cell>
        </row>
        <row r="2809">
          <cell r="A2809" t="str">
            <v>The Politics of Military Occupation</v>
          </cell>
          <cell r="B2809" t="str">
            <v>Ebook - pdf</v>
          </cell>
          <cell r="C2809">
            <v>9780748636723</v>
          </cell>
        </row>
        <row r="2810">
          <cell r="A2810" t="str">
            <v>The Politics of Northern Ireland</v>
          </cell>
          <cell r="B2810" t="str">
            <v>Ebook - pdf</v>
          </cell>
          <cell r="C2810">
            <v>9780748630691</v>
          </cell>
        </row>
        <row r="2811">
          <cell r="A2811" t="str">
            <v>The Politics of Postanarchism</v>
          </cell>
          <cell r="B2811" t="str">
            <v>Ebook - pdf</v>
          </cell>
          <cell r="C2811">
            <v>9780748634972</v>
          </cell>
        </row>
        <row r="2812">
          <cell r="A2812" t="str">
            <v>The Politics of Property: Labour, Freedom and Belonging</v>
          </cell>
          <cell r="B2812" t="str">
            <v>Ebook - pdf</v>
          </cell>
          <cell r="C2812">
            <v>9781474464680</v>
          </cell>
        </row>
        <row r="2813">
          <cell r="A2813" t="str">
            <v>The Politics of Radical Democracy</v>
          </cell>
          <cell r="B2813" t="str">
            <v>Ebook - pdf</v>
          </cell>
          <cell r="C2813">
            <v>9781474470308</v>
          </cell>
        </row>
        <row r="2814">
          <cell r="A2814" t="str">
            <v>The Politics of Religious Change on the Upper Guinea Coast: Iconoclasm Done and Undone</v>
          </cell>
          <cell r="B2814" t="str">
            <v>Ebook - pdf</v>
          </cell>
          <cell r="C2814">
            <v>9780748636662</v>
          </cell>
        </row>
        <row r="2815">
          <cell r="A2815" t="str">
            <v>The Politics of Repressed Guilt: The Tragedy of Austrian Silence</v>
          </cell>
          <cell r="B2815" t="str">
            <v>Ebook - pdf</v>
          </cell>
          <cell r="C2815">
            <v>9781474413251</v>
          </cell>
        </row>
        <row r="2816">
          <cell r="A2816" t="str">
            <v>The Politics of Romanticism: The Social Contract and Literature</v>
          </cell>
          <cell r="B2816" t="str">
            <v>Ebook - pdf</v>
          </cell>
          <cell r="C2816">
            <v>9781474401043</v>
          </cell>
        </row>
        <row r="2817">
          <cell r="A2817" t="str">
            <v>The Politics of Slavery</v>
          </cell>
          <cell r="B2817" t="str">
            <v>Ebook - pdf</v>
          </cell>
          <cell r="C2817">
            <v>9781474401159</v>
          </cell>
        </row>
        <row r="2818">
          <cell r="A2818" t="str">
            <v>The Politics of Toleration: Tolerance and Intolerance in Modern Life</v>
          </cell>
          <cell r="B2818" t="str">
            <v>Ebook - pdf</v>
          </cell>
          <cell r="C2818">
            <v>9781474470971</v>
          </cell>
        </row>
        <row r="2819">
          <cell r="A2819" t="str">
            <v>The Popularisation of Sufism in Ayyubid and Mamluk Egypt, 1173-1325</v>
          </cell>
          <cell r="B2819" t="str">
            <v>Ebook - pdf</v>
          </cell>
          <cell r="C2819">
            <v>9780748694228</v>
          </cell>
        </row>
        <row r="2820">
          <cell r="A2820" t="str">
            <v>The Post-Political and its Discontents: Spaces of Depoliticisation, Spectres of Radical Politics</v>
          </cell>
          <cell r="B2820" t="str">
            <v>Ebook - pdf</v>
          </cell>
          <cell r="C2820">
            <v>9780748682980</v>
          </cell>
        </row>
        <row r="2821">
          <cell r="A2821" t="str">
            <v>The Post-Romantic Predicament</v>
          </cell>
          <cell r="B2821" t="str">
            <v>Ebook - pdf</v>
          </cell>
          <cell r="C2821">
            <v>9780748656233</v>
          </cell>
        </row>
        <row r="2822">
          <cell r="A2822" t="str">
            <v>The Practical Turn in Political Theory</v>
          </cell>
          <cell r="B2822" t="str">
            <v>Ebook - pdf</v>
          </cell>
          <cell r="C2822">
            <v>9781474425452</v>
          </cell>
        </row>
        <row r="2823">
          <cell r="A2823" t="str">
            <v>The Practices of Global Ethics: Historical Backgrounds, Current Issues, and Future Prospects</v>
          </cell>
          <cell r="B2823" t="str">
            <v>Ebook - pdf</v>
          </cell>
          <cell r="C2823">
            <v>9781474407069</v>
          </cell>
        </row>
        <row r="2824">
          <cell r="A2824" t="str">
            <v>The Pragmatics of Fiction: Literature, Stage and Screen Discourse</v>
          </cell>
          <cell r="B2824" t="str">
            <v>Ebook - pdf</v>
          </cell>
          <cell r="C2824">
            <v>9781474447959</v>
          </cell>
        </row>
        <row r="2825">
          <cell r="A2825" t="str">
            <v>The Prehistory of Private Property: Implications for Modern Political Theory</v>
          </cell>
          <cell r="B2825" t="str">
            <v>Ebook - pdf</v>
          </cell>
          <cell r="C2825">
            <v>9781474447447</v>
          </cell>
        </row>
        <row r="2826">
          <cell r="A2826" t="str">
            <v>The Pre-Raphaelites and Orientalism: Language and Cognition in Remediations of the East</v>
          </cell>
          <cell r="B2826" t="str">
            <v>Ebook - pdf</v>
          </cell>
          <cell r="C2826">
            <v>9781474407175</v>
          </cell>
        </row>
        <row r="2827">
          <cell r="A2827" t="str">
            <v>The Press in the Middle East and North Africa, 1850-1950: Politics, Social History and Culture</v>
          </cell>
          <cell r="B2827" t="str">
            <v>Ebook - pdf</v>
          </cell>
          <cell r="C2827">
            <v>9781474430630</v>
          </cell>
        </row>
        <row r="2828">
          <cell r="A2828" t="str">
            <v>The Prime Minister and Cabinet</v>
          </cell>
          <cell r="B2828" t="str">
            <v>Ebook - pdf</v>
          </cell>
          <cell r="C2828">
            <v>9780748626687</v>
          </cell>
        </row>
        <row r="2829">
          <cell r="A2829" t="str">
            <v>The Principles of Deleuzian Philosophy</v>
          </cell>
          <cell r="B2829" t="str">
            <v>Ebook - pdf</v>
          </cell>
          <cell r="C2829">
            <v>9781474449007</v>
          </cell>
        </row>
        <row r="2830">
          <cell r="A2830" t="str">
            <v>The Priority of Events: Deleuze's Logic of Sense</v>
          </cell>
          <cell r="B2830" t="str">
            <v>Ebook - pdf</v>
          </cell>
          <cell r="C2830">
            <v>9780748643608</v>
          </cell>
        </row>
        <row r="2831">
          <cell r="A2831" t="str">
            <v>The Private Memoirs and Confessions of a Justified Sinner</v>
          </cell>
          <cell r="B2831" t="str">
            <v>Ebook - pdf</v>
          </cell>
          <cell r="C2831">
            <v>9781474469241</v>
          </cell>
        </row>
        <row r="2832">
          <cell r="A2832" t="str">
            <v>The Problem of Nature in Hegel’s Final System</v>
          </cell>
          <cell r="B2832" t="str">
            <v>Ebook - pdf</v>
          </cell>
          <cell r="C2832">
            <v>9781474435550</v>
          </cell>
        </row>
        <row r="2833">
          <cell r="A2833" t="str">
            <v>The Problem of Religious Diversity: European Challenges, Asian Approaches</v>
          </cell>
          <cell r="B2833" t="str">
            <v>Ebook - pdf</v>
          </cell>
          <cell r="C2833">
            <v>9781474419109</v>
          </cell>
        </row>
        <row r="2834">
          <cell r="A2834" t="str">
            <v>The Problem of Secret Intelligence</v>
          </cell>
          <cell r="B2834" t="str">
            <v>Ebook - pdf</v>
          </cell>
          <cell r="C2834">
            <v>9780748691845</v>
          </cell>
        </row>
        <row r="2835">
          <cell r="A2835" t="str">
            <v>The Production of Meaning in Islamic Architecture and Ornament</v>
          </cell>
          <cell r="B2835" t="str">
            <v>Ebook - pdf</v>
          </cell>
          <cell r="C2835">
            <v>9781474482202</v>
          </cell>
        </row>
        <row r="2836">
          <cell r="A2836" t="str">
            <v>The Proletarian Answer to the Modernist Question</v>
          </cell>
          <cell r="B2836" t="str">
            <v>Ebook - pdf</v>
          </cell>
          <cell r="C2836">
            <v>9781474415835</v>
          </cell>
        </row>
        <row r="2837">
          <cell r="A2837" t="str">
            <v>The Provisional Irish Republican Army and the Morality of Terrorism</v>
          </cell>
          <cell r="B2837" t="str">
            <v>Ebook - pdf</v>
          </cell>
          <cell r="C2837">
            <v>9780748635313</v>
          </cell>
        </row>
        <row r="2838">
          <cell r="A2838" t="str">
            <v>The Psychoanalysis of Sense: Deleuze and the Lacanian School</v>
          </cell>
          <cell r="B2838" t="str">
            <v>Ebook - pdf</v>
          </cell>
          <cell r="C2838">
            <v>9781474409032</v>
          </cell>
        </row>
        <row r="2839">
          <cell r="A2839" t="str">
            <v>The Pulse in Cinema: The Aesthetics of Horror</v>
          </cell>
          <cell r="B2839" t="str">
            <v>Ebook - pdf</v>
          </cell>
          <cell r="C2839">
            <v>9781474475860</v>
          </cell>
        </row>
        <row r="2840">
          <cell r="A2840" t="str">
            <v>The Queen of Sheba's Gift: A History of the True Balsam of Matarea</v>
          </cell>
          <cell r="B2840" t="str">
            <v>Ebook - pdf</v>
          </cell>
          <cell r="C2840">
            <v>9780748668502</v>
          </cell>
        </row>
        <row r="2841">
          <cell r="A2841" t="str">
            <v>The Queen's Wake</v>
          </cell>
          <cell r="B2841" t="str">
            <v>Ebook - pdf</v>
          </cell>
          <cell r="C2841">
            <v>9781474433778</v>
          </cell>
        </row>
        <row r="2842">
          <cell r="A2842" t="str">
            <v>The Quiz Show</v>
          </cell>
          <cell r="B2842" t="str">
            <v>Ebook - pdf</v>
          </cell>
          <cell r="C2842">
            <v>9780748631575</v>
          </cell>
        </row>
        <row r="2843">
          <cell r="A2843" t="str">
            <v>The Qur'an and the Just Society</v>
          </cell>
          <cell r="B2843" t="str">
            <v>Ebook - pdf</v>
          </cell>
          <cell r="C2843">
            <v>9781474417198</v>
          </cell>
        </row>
        <row r="2844">
          <cell r="A2844" t="str">
            <v>The Qur'an: A Historical-Critical Introduction</v>
          </cell>
          <cell r="B2844" t="str">
            <v>Ebook - pdf</v>
          </cell>
          <cell r="C2844">
            <v>9780748695782</v>
          </cell>
        </row>
        <row r="2845">
          <cell r="A2845" t="str">
            <v>The Reader in al-Jahiz: The Epistolary Rhetoric of an Arabic Prose Master</v>
          </cell>
          <cell r="B2845" t="str">
            <v>Ebook - pdf</v>
          </cell>
          <cell r="C2845">
            <v>9780748692750</v>
          </cell>
        </row>
        <row r="2846">
          <cell r="A2846" t="str">
            <v>The Refusal of Politics</v>
          </cell>
          <cell r="B2846" t="str">
            <v>Ebook - pdf</v>
          </cell>
          <cell r="C2846">
            <v>9781474416764</v>
          </cell>
        </row>
        <row r="2847">
          <cell r="A2847" t="str">
            <v>The Religion of White Rage: White Workers, Religious Fervor, and the Myth of Black Racial Progress</v>
          </cell>
          <cell r="B2847" t="str">
            <v>Ebook - pdf</v>
          </cell>
          <cell r="C2847">
            <v>9781474473729</v>
          </cell>
        </row>
        <row r="2848">
          <cell r="A2848" t="str">
            <v>The Republic Besieged: Civil War in Spain 1936-1939</v>
          </cell>
          <cell r="B2848" t="str">
            <v>Ebook - pdf</v>
          </cell>
          <cell r="C2848">
            <v>9781474471763</v>
          </cell>
        </row>
        <row r="2849">
          <cell r="A2849" t="str">
            <v>The Republican Party and the War on Poverty: 1964–1981</v>
          </cell>
          <cell r="B2849" t="str">
            <v>Ebook - pdf</v>
          </cell>
          <cell r="C2849">
            <v>9781474475549</v>
          </cell>
        </row>
        <row r="2850">
          <cell r="A2850" t="str">
            <v>The Responsibility to Understand: Hermeneutical Contours of Ethical Life</v>
          </cell>
          <cell r="B2850" t="str">
            <v>Ebook - pdf</v>
          </cell>
          <cell r="C2850">
            <v>9781474467650</v>
          </cell>
        </row>
        <row r="2851">
          <cell r="A2851" t="str">
            <v>The Return of the Epic Film: Genre, Aesthetics and History in the 21st Century</v>
          </cell>
          <cell r="B2851" t="str">
            <v>Ebook - pdf</v>
          </cell>
          <cell r="C2851">
            <v>9780748684038</v>
          </cell>
        </row>
        <row r="2852">
          <cell r="A2852" t="str">
            <v>The Revolutionary and Anti-Imperialist Writings of James Connolly 1893-1916</v>
          </cell>
          <cell r="B2852" t="str">
            <v>Ebook - pdf</v>
          </cell>
          <cell r="C2852">
            <v>9781474410670</v>
          </cell>
        </row>
        <row r="2853">
          <cell r="A2853" t="str">
            <v>The Rise and Fall of the UK Film Council</v>
          </cell>
          <cell r="B2853" t="str">
            <v>Ebook - pdf</v>
          </cell>
          <cell r="C2853">
            <v>9780748698240</v>
          </cell>
        </row>
        <row r="2854">
          <cell r="A2854" t="str">
            <v>The Rise of Colleges</v>
          </cell>
          <cell r="B2854" t="str">
            <v>Ebook - pdf</v>
          </cell>
          <cell r="C2854">
            <v>9781474470643</v>
          </cell>
        </row>
        <row r="2855">
          <cell r="A2855" t="str">
            <v>The Rise of Democracy: Revolution, War and Transformations in International Politics since 1776</v>
          </cell>
          <cell r="B2855" t="str">
            <v>Ebook - pdf</v>
          </cell>
          <cell r="C2855">
            <v>9780748692828</v>
          </cell>
        </row>
        <row r="2856">
          <cell r="A2856" t="str">
            <v>The Rise of Humanism in Classical Islam and the Christian West</v>
          </cell>
          <cell r="B2856" t="str">
            <v>Ebook - pdf</v>
          </cell>
          <cell r="C2856">
            <v>9781474470650</v>
          </cell>
        </row>
        <row r="2857">
          <cell r="A2857" t="str">
            <v>The Rise of Islamic Political Movements and Parties: Morocco, Turkey and Jordan</v>
          </cell>
          <cell r="B2857" t="str">
            <v>Ebook - pdf</v>
          </cell>
          <cell r="C2857">
            <v>9781474450690</v>
          </cell>
        </row>
        <row r="2858">
          <cell r="A2858" t="str">
            <v>The Road to Home Rule: Images Of Scotland's Cause</v>
          </cell>
          <cell r="B2858" t="str">
            <v>Ebook - pdf</v>
          </cell>
          <cell r="C2858">
            <v>9781474468985</v>
          </cell>
        </row>
        <row r="2859">
          <cell r="A2859" t="str">
            <v>The Road to Iraq: The Making of a Neoconservative War</v>
          </cell>
          <cell r="B2859" t="str">
            <v>Ebook - pdf</v>
          </cell>
          <cell r="C2859">
            <v>9780748693047</v>
          </cell>
        </row>
        <row r="2860">
          <cell r="A2860" t="str">
            <v>The Road to the Scottish Parliament</v>
          </cell>
          <cell r="B2860" t="str">
            <v>Ebook - pdf</v>
          </cell>
          <cell r="C2860">
            <v>9780585441832</v>
          </cell>
        </row>
        <row r="2861">
          <cell r="A2861" t="str">
            <v>The Roman Cult of Mithras: The God and His Mysteries</v>
          </cell>
          <cell r="B2861" t="str">
            <v>Ebook - pdf</v>
          </cell>
          <cell r="C2861">
            <v>9781474465793</v>
          </cell>
        </row>
        <row r="2862">
          <cell r="A2862" t="str">
            <v>The Roosevelt Years: EPAH Vol 7: New Perspectives on American History, 1933-45</v>
          </cell>
          <cell r="B2862" t="str">
            <v>Ebook - pdf</v>
          </cell>
          <cell r="C2862">
            <v>9780585070414</v>
          </cell>
        </row>
        <row r="2863">
          <cell r="A2863" t="str">
            <v>The Russian Language Outside the Nation</v>
          </cell>
          <cell r="B2863" t="str">
            <v>Ebook - pdf</v>
          </cell>
          <cell r="C2863">
            <v>9780748668465</v>
          </cell>
        </row>
        <row r="2864">
          <cell r="A2864" t="str">
            <v>The Sacred Thread: Hinduism in Continuity &amp; Diversity</v>
          </cell>
          <cell r="B2864" t="str">
            <v>Ebook - pdf</v>
          </cell>
          <cell r="C2864">
            <v>9780748672882</v>
          </cell>
        </row>
        <row r="2865">
          <cell r="A2865" t="str">
            <v>The Schelling-Eschenmayer Controversy, 1801: Nature and Identity</v>
          </cell>
          <cell r="B2865" t="str">
            <v>Ebook - pdf</v>
          </cell>
          <cell r="C2865">
            <v>9781474434416</v>
          </cell>
        </row>
        <row r="2866">
          <cell r="A2866" t="str">
            <v>The Scots and the Union: Then and Now</v>
          </cell>
          <cell r="B2866" t="str">
            <v>Ebook - pdf</v>
          </cell>
          <cell r="C2866">
            <v>9780748680283</v>
          </cell>
        </row>
        <row r="2867">
          <cell r="A2867" t="str">
            <v>The Scots Imagination and Modern Memory</v>
          </cell>
          <cell r="B2867" t="str">
            <v>Ebook - pdf</v>
          </cell>
          <cell r="C2867">
            <v>9780748628292</v>
          </cell>
        </row>
        <row r="2868">
          <cell r="A2868" t="str">
            <v>The Scots in Victorian and Edwardian Belfast: A Study in Elite Migration</v>
          </cell>
          <cell r="B2868" t="str">
            <v>Ebook - pdf</v>
          </cell>
          <cell r="C2868">
            <v>9780748679935</v>
          </cell>
        </row>
        <row r="2869">
          <cell r="A2869" t="str">
            <v>The Scottish Diaspora</v>
          </cell>
          <cell r="B2869" t="str">
            <v>Ebook - pdf</v>
          </cell>
          <cell r="C2869">
            <v>9780748648948</v>
          </cell>
        </row>
        <row r="2870">
          <cell r="A2870" t="str">
            <v>The Scottish Enlightenment: Human Nature, Social Theory and Moral Philosophy: Essays in Honour of Christopher J. Berry</v>
          </cell>
          <cell r="B2870" t="str">
            <v>Ebook - pdf</v>
          </cell>
          <cell r="C2870">
            <v>9781474467346</v>
          </cell>
        </row>
        <row r="2871">
          <cell r="A2871" t="str">
            <v>The Scottish Labour Party: History, Institutions and Ideas</v>
          </cell>
          <cell r="B2871" t="str">
            <v>Ebook - pdf</v>
          </cell>
          <cell r="C2871">
            <v>9780748679744</v>
          </cell>
        </row>
        <row r="2872">
          <cell r="A2872" t="str">
            <v>The Scottish Mental Health Tribunal: Practice and Procedure</v>
          </cell>
          <cell r="B2872" t="str">
            <v>Ebook - pdf</v>
          </cell>
          <cell r="C2872">
            <v>9780748699407</v>
          </cell>
        </row>
        <row r="2873">
          <cell r="A2873" t="str">
            <v>The Scottish Novel since the Seventies</v>
          </cell>
          <cell r="B2873" t="str">
            <v>Ebook - pdf</v>
          </cell>
          <cell r="C2873">
            <v>9781474473392</v>
          </cell>
        </row>
        <row r="2874">
          <cell r="A2874" t="str">
            <v>The Scottish Parliament under Charles II, 1660-1685</v>
          </cell>
          <cell r="B2874" t="str">
            <v>Ebook - pdf</v>
          </cell>
          <cell r="C2874">
            <v>9780748630530</v>
          </cell>
        </row>
        <row r="2875">
          <cell r="A2875" t="str">
            <v>The Scottish Parliament: Law and Practice</v>
          </cell>
          <cell r="B2875" t="str">
            <v>Ebook - pdf</v>
          </cell>
          <cell r="C2875">
            <v>9781474433754</v>
          </cell>
        </row>
        <row r="2876">
          <cell r="A2876" t="str">
            <v>The Scottish Soldier and Empire, 1854-1902</v>
          </cell>
          <cell r="B2876" t="str">
            <v>Ebook - pdf</v>
          </cell>
          <cell r="C2876">
            <v>9780748627264</v>
          </cell>
        </row>
        <row r="2877">
          <cell r="A2877" t="str">
            <v>The Scottish Town in the Age of the Enlightenment 1740-1820</v>
          </cell>
          <cell r="B2877" t="str">
            <v>Ebook - pdf</v>
          </cell>
          <cell r="C2877">
            <v>9780748692583</v>
          </cell>
        </row>
        <row r="2878">
          <cell r="A2878" t="str">
            <v>The Sculptural Body in Victorian Literature: Encrypted Sexualities</v>
          </cell>
          <cell r="B2878" t="str">
            <v>Ebook - pdf</v>
          </cell>
          <cell r="C2878">
            <v>9780748693436</v>
          </cell>
        </row>
        <row r="2879">
          <cell r="A2879" t="str">
            <v>The Second World War in Contemporary British Fiction: Secret Histories</v>
          </cell>
          <cell r="B2879" t="str">
            <v>Ebook - pdf</v>
          </cell>
          <cell r="C2879">
            <v>9780748647507</v>
          </cell>
        </row>
        <row r="2880">
          <cell r="A2880" t="str">
            <v>The Secret Architecture of Shakespeare's Sonnets</v>
          </cell>
          <cell r="B2880" t="str">
            <v>Ebook - pdf</v>
          </cell>
          <cell r="C2880">
            <v>9781474481496</v>
          </cell>
        </row>
        <row r="2881">
          <cell r="A2881" t="str">
            <v>The Selected Children’s Fictions, Folk Tales and Fairy Tales of Andrew Lang</v>
          </cell>
          <cell r="B2881" t="str">
            <v>Ebook - pdf</v>
          </cell>
          <cell r="C2881">
            <v>9781474430159</v>
          </cell>
        </row>
        <row r="2882">
          <cell r="A2882" t="str">
            <v>The Seljuqs and their Successors: Art, Culture and History</v>
          </cell>
          <cell r="B2882" t="str">
            <v>Ebook - pdf</v>
          </cell>
          <cell r="C2882">
            <v>9781474450379</v>
          </cell>
        </row>
        <row r="2883">
          <cell r="A2883" t="str">
            <v>The Seljuqs: Politics, Society and Culture</v>
          </cell>
          <cell r="B2883" t="str">
            <v>Ebook - pdf</v>
          </cell>
          <cell r="C2883">
            <v>9780748647576</v>
          </cell>
        </row>
        <row r="2884">
          <cell r="A2884" t="str">
            <v>The Semantics of Word Formation and Lexicalization</v>
          </cell>
          <cell r="B2884" t="str">
            <v>Ebook - pdf</v>
          </cell>
          <cell r="C2884">
            <v>9780748689613</v>
          </cell>
        </row>
        <row r="2885">
          <cell r="A2885" t="str">
            <v>The Sense of Film Narration</v>
          </cell>
          <cell r="B2885" t="str">
            <v>Ebook - pdf</v>
          </cell>
          <cell r="C2885">
            <v>9780748678396</v>
          </cell>
        </row>
        <row r="2886">
          <cell r="A2886" t="str">
            <v>The Sexual State: Sexuality and Scottish Governance 1950-80</v>
          </cell>
          <cell r="B2886" t="str">
            <v>Ebook - pdf</v>
          </cell>
          <cell r="C2886">
            <v>9780748649433</v>
          </cell>
        </row>
        <row r="2887">
          <cell r="A2887" t="str">
            <v>The Shakespearean Inside: A Study of the Complete Soliloquies and Solo Asides</v>
          </cell>
          <cell r="B2887" t="str">
            <v>Ebook - pdf</v>
          </cell>
          <cell r="C2887">
            <v>9781474418980</v>
          </cell>
        </row>
        <row r="2888">
          <cell r="A2888" t="str">
            <v>The Shepherd's Calendar</v>
          </cell>
          <cell r="B2888" t="str">
            <v>Ebook - pdf</v>
          </cell>
          <cell r="C2888">
            <v>9781474433785</v>
          </cell>
        </row>
        <row r="2889">
          <cell r="A2889" t="str">
            <v>The Short Story: An Introduction</v>
          </cell>
          <cell r="B2889" t="str">
            <v>Ebook - pdf</v>
          </cell>
          <cell r="C2889">
            <v>9780748632145</v>
          </cell>
        </row>
        <row r="2890">
          <cell r="A2890" t="str">
            <v>The Shorter Fiction</v>
          </cell>
          <cell r="B2890" t="str">
            <v>Ebook - pdf</v>
          </cell>
          <cell r="C2890">
            <v>9780748628391</v>
          </cell>
        </row>
        <row r="2891">
          <cell r="A2891" t="str">
            <v>The Shrines of the 'Alids in Medieval Syria: Sunnis, Shi'is and the Architecture of Coexistence</v>
          </cell>
          <cell r="B2891" t="str">
            <v>Ebook - pdf</v>
          </cell>
          <cell r="C2891">
            <v>9781474471169</v>
          </cell>
        </row>
        <row r="2892">
          <cell r="A2892" t="str">
            <v>The Sitcom</v>
          </cell>
          <cell r="B2892" t="str">
            <v>Ebook - pdf</v>
          </cell>
          <cell r="C2892">
            <v>9781474471039</v>
          </cell>
        </row>
        <row r="2893">
          <cell r="A2893" t="str">
            <v>The Sixties in America: History, Politics and Protest</v>
          </cell>
          <cell r="B2893" t="str">
            <v>Ebook - pdf</v>
          </cell>
          <cell r="C2893">
            <v>9781474469043</v>
          </cell>
        </row>
        <row r="2894">
          <cell r="A2894" t="str">
            <v>The Social Theory of the Scottish Enlightenment</v>
          </cell>
          <cell r="B2894" t="str">
            <v>Ebook - pdf</v>
          </cell>
          <cell r="C2894">
            <v>9780748673865</v>
          </cell>
        </row>
        <row r="2895">
          <cell r="A2895" t="str">
            <v>The Social Turn in Second Language Acquisition</v>
          </cell>
          <cell r="B2895" t="str">
            <v>Ebook - pdf</v>
          </cell>
          <cell r="C2895">
            <v>9781474464505</v>
          </cell>
        </row>
        <row r="2896">
          <cell r="A2896" t="str">
            <v>The Sociolinguistics of Writing</v>
          </cell>
          <cell r="B2896" t="str">
            <v>Ebook - pdf</v>
          </cell>
          <cell r="C2896">
            <v>9780748637492</v>
          </cell>
        </row>
        <row r="2897">
          <cell r="A2897" t="str">
            <v>The Sociopragmatics of Attitude Datives in Levantine Arabic</v>
          </cell>
          <cell r="B2897" t="str">
            <v>Ebook - pdf</v>
          </cell>
          <cell r="C2897">
            <v>9781474434089</v>
          </cell>
        </row>
        <row r="2898">
          <cell r="A2898" t="str">
            <v>The Sorrowful Muslim's Guide</v>
          </cell>
          <cell r="B2898" t="str">
            <v>Ebook - pdf</v>
          </cell>
          <cell r="C2898">
            <v>9781474437097</v>
          </cell>
        </row>
        <row r="2899">
          <cell r="A2899" t="str">
            <v>The Sources of Islamic Law: Islamic Theories of Abrogation</v>
          </cell>
          <cell r="B2899" t="str">
            <v>Ebook - pdf</v>
          </cell>
          <cell r="C2899">
            <v>9781474465571</v>
          </cell>
        </row>
        <row r="2900">
          <cell r="A2900" t="str">
            <v>The Spanish Prisoner</v>
          </cell>
          <cell r="B2900" t="str">
            <v>Ebook - pdf</v>
          </cell>
          <cell r="C2900">
            <v>9780748633708</v>
          </cell>
        </row>
        <row r="2901">
          <cell r="A2901" t="str">
            <v>The Speech-Gesture Complex: Modernism, Theatre, Cinema</v>
          </cell>
          <cell r="B2901" t="str">
            <v>Ebook - pdf</v>
          </cell>
          <cell r="C2901">
            <v>9780748684908</v>
          </cell>
        </row>
        <row r="2902">
          <cell r="A2902" t="str">
            <v>The Spinoza-Machiavelli Encounter: Time and Occasion</v>
          </cell>
          <cell r="B2902" t="str">
            <v>Ebook - pdf</v>
          </cell>
          <cell r="C2902">
            <v>9781474421256</v>
          </cell>
        </row>
        <row r="2903">
          <cell r="A2903" t="str">
            <v>The Spiritual Jurisdiction in Reformation Scotland: A Legal History</v>
          </cell>
          <cell r="B2903" t="str">
            <v>Ebook - pdf</v>
          </cell>
          <cell r="C2903">
            <v>9780748699995</v>
          </cell>
        </row>
        <row r="2904">
          <cell r="A2904" t="str">
            <v>The Spiritual Vernacular of the Early Ottoman Frontier: The Yazıcıoğlu Family</v>
          </cell>
          <cell r="B2904" t="str">
            <v>Ebook - pdf</v>
          </cell>
          <cell r="C2904">
            <v>9781474462303</v>
          </cell>
        </row>
        <row r="2905">
          <cell r="A2905" t="str">
            <v>The Spy: A Periodical Paper of Literary Amusement and Instruction</v>
          </cell>
          <cell r="B2905" t="str">
            <v>Ebook - pdf</v>
          </cell>
          <cell r="C2905">
            <v>9781474433792</v>
          </cell>
        </row>
        <row r="2906">
          <cell r="A2906" t="str">
            <v>The Squid Cinema From Hell: Kinoteuthis Infernalis and the Emergence of Chthulumedia</v>
          </cell>
          <cell r="B2906" t="str">
            <v>Ebook - pdf</v>
          </cell>
          <cell r="C2906">
            <v>9781474463744</v>
          </cell>
        </row>
        <row r="2907">
          <cell r="A2907" t="str">
            <v>The Stadium and the City</v>
          </cell>
          <cell r="B2907" t="str">
            <v>Ebook - pdf</v>
          </cell>
          <cell r="C2907">
            <v>9781474464116</v>
          </cell>
        </row>
        <row r="2908">
          <cell r="A2908" t="str">
            <v>The Stillness of Solitude: Romanticism and Contemporary American Independent Film</v>
          </cell>
          <cell r="B2908" t="str">
            <v>Ebook - pdf</v>
          </cell>
          <cell r="C2908">
            <v>9781474446068</v>
          </cell>
        </row>
        <row r="2909">
          <cell r="A2909" t="str">
            <v>The Stoic Theory of Beauty</v>
          </cell>
          <cell r="B2909" t="str">
            <v>Ebook - pdf</v>
          </cell>
          <cell r="C2909">
            <v>9781474461634</v>
          </cell>
        </row>
        <row r="2910">
          <cell r="A2910" t="str">
            <v>The Story of the Scottish Parliament: The First Two Decades Explained</v>
          </cell>
          <cell r="B2910" t="str">
            <v>Ebook - pdf</v>
          </cell>
          <cell r="C2910">
            <v>9781474454919</v>
          </cell>
        </row>
        <row r="2911">
          <cell r="A2911" t="str">
            <v>The Strange Death of Labour Scotland</v>
          </cell>
          <cell r="B2911" t="str">
            <v>Ebook - pdf</v>
          </cell>
          <cell r="C2911">
            <v>9780748655557</v>
          </cell>
        </row>
        <row r="2912">
          <cell r="A2912" t="str">
            <v>The Student Guide to Mooting</v>
          </cell>
          <cell r="B2912" t="str">
            <v>Ebook - pdf</v>
          </cell>
          <cell r="C2912">
            <v>9780748698547</v>
          </cell>
        </row>
        <row r="2913">
          <cell r="A2913" t="str">
            <v>The Student's Guide to Shakespeare</v>
          </cell>
          <cell r="B2913" t="str">
            <v>Ebook - pdf</v>
          </cell>
          <cell r="C2913">
            <v>9781474413527</v>
          </cell>
        </row>
        <row r="2914">
          <cell r="A2914" t="str">
            <v>The Style of Sleaze: The American Exploitation Film, 1959 - 1977</v>
          </cell>
          <cell r="B2914" t="str">
            <v>Ebook - pdf</v>
          </cell>
          <cell r="C2914">
            <v>9781474409261</v>
          </cell>
        </row>
        <row r="2915">
          <cell r="A2915" t="str">
            <v>The Stylistics of Professional Discourse</v>
          </cell>
          <cell r="B2915" t="str">
            <v>Ebook - pdf</v>
          </cell>
          <cell r="C2915">
            <v>9780748691708</v>
          </cell>
        </row>
        <row r="2916">
          <cell r="A2916" t="str">
            <v xml:space="preserve">The Sutherland Estate, 1850-1920: Aristocratic Decline, Estate Management and Land Reform </v>
          </cell>
          <cell r="B2916" t="str">
            <v>Ebook - pdf</v>
          </cell>
          <cell r="C2916">
            <v>9780748642670</v>
          </cell>
        </row>
        <row r="2917">
          <cell r="A2917" t="str">
            <v>The Tale of Old Mortality</v>
          </cell>
          <cell r="B2917" t="str">
            <v>Ebook - pdf</v>
          </cell>
          <cell r="C2917">
            <v>9781474433808</v>
          </cell>
        </row>
        <row r="2918">
          <cell r="A2918" t="str">
            <v>The Talisman</v>
          </cell>
          <cell r="B2918" t="str">
            <v>Ebook - pdf</v>
          </cell>
          <cell r="C2918">
            <v>9780748628322</v>
          </cell>
        </row>
        <row r="2919">
          <cell r="A2919" t="str">
            <v>The Temptation of Graves in Salafi Islam: Iconoclasm, Destruction and Idolatry</v>
          </cell>
          <cell r="B2919" t="str">
            <v>Ebook - pdf</v>
          </cell>
          <cell r="C2919">
            <v>9781474417587</v>
          </cell>
        </row>
        <row r="2920">
          <cell r="A2920" t="str">
            <v>The Third Duke of Buccleuch and Adam Smith: Estate Management and Improvement in Enlightenment Scotland</v>
          </cell>
          <cell r="B2920" t="str">
            <v>Ebook - pdf</v>
          </cell>
          <cell r="C2920">
            <v>9780748694693</v>
          </cell>
        </row>
        <row r="2921">
          <cell r="A2921" t="str">
            <v>The Three Perils of Man</v>
          </cell>
          <cell r="B2921" t="str">
            <v>Ebook - pdf</v>
          </cell>
          <cell r="C2921">
            <v>9781474469258</v>
          </cell>
        </row>
        <row r="2922">
          <cell r="A2922" t="str">
            <v>The Three Perils of Woman</v>
          </cell>
          <cell r="B2922" t="str">
            <v>Ebook - pdf</v>
          </cell>
          <cell r="C2922">
            <v>9781474433815</v>
          </cell>
        </row>
        <row r="2923">
          <cell r="A2923" t="str">
            <v>The Transformation of Muslim Mystical Thought in the Ottoman Empire: The Rise of the Halveti Order, 1350-1650</v>
          </cell>
          <cell r="B2923" t="str">
            <v>Ebook - pdf</v>
          </cell>
          <cell r="C2923">
            <v>9780748643714</v>
          </cell>
        </row>
        <row r="2924">
          <cell r="A2924" t="str">
            <v>The Transformation of Scotland: The Economy since 1700</v>
          </cell>
          <cell r="B2924" t="str">
            <v>Ebook - pdf</v>
          </cell>
          <cell r="C2924">
            <v>9780748653348</v>
          </cell>
        </row>
        <row r="2925">
          <cell r="A2925" t="str">
            <v>The Transition Towards Revolution and Reform: The Arab Spring Realised?</v>
          </cell>
          <cell r="B2925" t="str">
            <v>Ebook - pdf</v>
          </cell>
          <cell r="C2925">
            <v>9780748692729</v>
          </cell>
        </row>
        <row r="2926">
          <cell r="A2926" t="str">
            <v>The Trouble with Democracy: Political Modernity in the 21st Century</v>
          </cell>
          <cell r="B2926" t="str">
            <v>Ebook - pdf</v>
          </cell>
          <cell r="C2926">
            <v>9781474407991</v>
          </cell>
        </row>
        <row r="2927">
          <cell r="A2927" t="str">
            <v>The Truth About William Shakespeare: Fact, Fiction and Modern Biographies</v>
          </cell>
          <cell r="B2927" t="str">
            <v>Ebook - pdf</v>
          </cell>
          <cell r="C2927">
            <v>9780748646685</v>
          </cell>
        </row>
        <row r="2928">
          <cell r="A2928" t="str">
            <v>The Truth in Photography: Oxford Literary Review Volume 32, Issue 2</v>
          </cell>
          <cell r="B2928" t="str">
            <v>Ebook - pdf</v>
          </cell>
          <cell r="C2928">
            <v>9781474471237</v>
          </cell>
        </row>
        <row r="2929">
          <cell r="A2929" t="str">
            <v>The TV Crime Drama</v>
          </cell>
          <cell r="B2929" t="str">
            <v>Ebook - pdf</v>
          </cell>
          <cell r="C2929">
            <v>9780748678181</v>
          </cell>
        </row>
        <row r="2930">
          <cell r="A2930" t="str">
            <v>The Twenties in America: Politics and History</v>
          </cell>
          <cell r="B2930" t="str">
            <v>Ebook - pdf</v>
          </cell>
          <cell r="C2930">
            <v>9780748626717</v>
          </cell>
        </row>
        <row r="2931">
          <cell r="A2931" t="str">
            <v>The Twilight of the British Empire: British Intelligence and Counter-Subversion in the Middle East, 1948–63</v>
          </cell>
          <cell r="B2931" t="str">
            <v>Ebook - pdf</v>
          </cell>
          <cell r="C2931">
            <v>9781474410465</v>
          </cell>
        </row>
        <row r="2932">
          <cell r="A2932" t="str">
            <v>The Two cines con niño: Genre and the Child Protagonist in Fifty Years of Spanish Film (1955-2010)</v>
          </cell>
          <cell r="B2932" t="str">
            <v>Ebook - pdf</v>
          </cell>
          <cell r="C2932">
            <v>9781474436120</v>
          </cell>
        </row>
        <row r="2933">
          <cell r="A2933" t="str">
            <v>The UK Parliament</v>
          </cell>
          <cell r="B2933" t="str">
            <v>Ebook - pdf</v>
          </cell>
          <cell r="C2933">
            <v>9780748629725</v>
          </cell>
        </row>
        <row r="2934">
          <cell r="A2934" t="str">
            <v>The Unexpected: Narrative Temporality and the Philosophy of Surprise</v>
          </cell>
          <cell r="B2934" t="str">
            <v>Ebook - pdf</v>
          </cell>
          <cell r="C2934">
            <v>9780748676309</v>
          </cell>
        </row>
        <row r="2935">
          <cell r="A2935" t="str">
            <v>The Union of 1707: New Dimensions: Scottish Historical Review Supplementary Issue</v>
          </cell>
          <cell r="B2935" t="str">
            <v>Ebook - pdf</v>
          </cell>
          <cell r="C2935">
            <v>9780748679898</v>
          </cell>
        </row>
        <row r="2936">
          <cell r="A2936" t="str">
            <v>The United States and European Reconstruction: 1945-1960</v>
          </cell>
          <cell r="B2936" t="str">
            <v>Ebook - pdf</v>
          </cell>
          <cell r="C2936">
            <v>9780585122915</v>
          </cell>
        </row>
        <row r="2937">
          <cell r="A2937" t="str">
            <v>The United States and Iraq since 1979: Hegemony, Oil and War</v>
          </cell>
          <cell r="B2937" t="str">
            <v>Ebook - pdf</v>
          </cell>
          <cell r="C2937">
            <v>9780748631643</v>
          </cell>
        </row>
        <row r="2938">
          <cell r="A2938" t="str">
            <v>The United States and the Iranian Nuclear Programme: A Critical History</v>
          </cell>
          <cell r="B2938" t="str">
            <v>Ebook - pdf</v>
          </cell>
          <cell r="C2938">
            <v>9780748682645</v>
          </cell>
        </row>
        <row r="2939">
          <cell r="A2939" t="str">
            <v>The United States and World War II: The Awakening Giant</v>
          </cell>
          <cell r="B2939" t="str">
            <v>Ebook - pdf</v>
          </cell>
          <cell r="C2939">
            <v>9781474468237</v>
          </cell>
        </row>
        <row r="2940">
          <cell r="A2940" t="str">
            <v>The United States Through Arab Eyes: An Anthology of Writings (1876-1914)</v>
          </cell>
          <cell r="B2940" t="str">
            <v>Ebook - pdf</v>
          </cell>
          <cell r="C2940">
            <v>9781474434379</v>
          </cell>
        </row>
        <row r="2941">
          <cell r="A2941" t="str">
            <v>The Universal (In the Realm of the Sensible): Beyond Continental Philosophy</v>
          </cell>
          <cell r="B2941" t="str">
            <v>Ebook - pdf</v>
          </cell>
          <cell r="C2941">
            <v>9780748631049</v>
          </cell>
        </row>
        <row r="2942">
          <cell r="A2942" t="str">
            <v>The University of Edinburgh: An Illustrated History</v>
          </cell>
          <cell r="B2942" t="str">
            <v>Ebook - pdf</v>
          </cell>
          <cell r="C2942">
            <v>9781474463935</v>
          </cell>
        </row>
        <row r="2943">
          <cell r="A2943" t="str">
            <v>The University of Glasgow: 1451-1996</v>
          </cell>
          <cell r="B2943" t="str">
            <v>Ebook - pdf</v>
          </cell>
          <cell r="C2943">
            <v>9781474465458</v>
          </cell>
        </row>
        <row r="2944">
          <cell r="A2944" t="str">
            <v>The Unmaking of the Arab Intellectual: Prophecy, Exile and the Nation</v>
          </cell>
          <cell r="B2944" t="str">
            <v>Ebook - pdf</v>
          </cell>
          <cell r="C2944">
            <v>9781474421409</v>
          </cell>
        </row>
        <row r="2945">
          <cell r="A2945" t="str">
            <v>The Unravelling of the Postmodern Mind</v>
          </cell>
          <cell r="B2945" t="str">
            <v>Ebook - pdf</v>
          </cell>
          <cell r="C2945">
            <v>9780585441955</v>
          </cell>
        </row>
        <row r="2946">
          <cell r="A2946" t="str">
            <v>The Urewera Notebook by Katherine Mansfield</v>
          </cell>
          <cell r="B2946" t="str">
            <v>Ebook - pdf</v>
          </cell>
          <cell r="C2946">
            <v>9781474400169</v>
          </cell>
        </row>
        <row r="2947">
          <cell r="A2947" t="str">
            <v>The Victorian Actress in the Novel and on the Stage</v>
          </cell>
          <cell r="B2947" t="str">
            <v>Ebook - pdf</v>
          </cell>
          <cell r="C2947">
            <v>9781474439510</v>
          </cell>
        </row>
        <row r="2948">
          <cell r="A2948" t="str">
            <v>The Victorian Gothic: An Edinburgh Companion</v>
          </cell>
          <cell r="B2948" t="str">
            <v>Ebook - pdf</v>
          </cell>
          <cell r="C2948">
            <v>9780748654970</v>
          </cell>
        </row>
        <row r="2949">
          <cell r="A2949" t="str">
            <v>The Victorian Male Body</v>
          </cell>
          <cell r="B2949" t="str">
            <v>Ebook - pdf</v>
          </cell>
          <cell r="C2949">
            <v>9781474428620</v>
          </cell>
        </row>
        <row r="2950">
          <cell r="A2950" t="str">
            <v>The Vietnam War in History, Literature and Film</v>
          </cell>
          <cell r="B2950" t="str">
            <v>Ebook - pdf</v>
          </cell>
          <cell r="C2950">
            <v>9781474473118</v>
          </cell>
        </row>
        <row r="2951">
          <cell r="A2951" t="str">
            <v>The Vindication of Absolute Idealism</v>
          </cell>
          <cell r="B2951" t="str">
            <v>Ebook - pdf</v>
          </cell>
          <cell r="C2951">
            <v>9781474472814</v>
          </cell>
        </row>
        <row r="2952">
          <cell r="A2952" t="str">
            <v>The Virilio Dictionary</v>
          </cell>
          <cell r="B2952" t="str">
            <v>Ebook - pdf</v>
          </cell>
          <cell r="C2952">
            <v>9780748646852</v>
          </cell>
        </row>
        <row r="2953">
          <cell r="A2953" t="str">
            <v>The Vogue for Russia: Modernism and the Unseen in Britain 1900-1930</v>
          </cell>
          <cell r="B2953" t="str">
            <v>Ebook - pdf</v>
          </cell>
          <cell r="C2953">
            <v>9780748647309</v>
          </cell>
        </row>
        <row r="2954">
          <cell r="A2954" t="str">
            <v>The Voice of the People: Hamish Henderson and Scottish Cultural Politics</v>
          </cell>
          <cell r="B2954" t="str">
            <v>Ebook - pdf</v>
          </cell>
          <cell r="C2954">
            <v>9780748699964</v>
          </cell>
        </row>
        <row r="2955">
          <cell r="A2955" t="str">
            <v>The Vulnerable Witnesses Scotland Act 2004: Text and Commentary</v>
          </cell>
          <cell r="B2955" t="str">
            <v>Ebook - pdf</v>
          </cell>
          <cell r="C2955">
            <v>9780748699537</v>
          </cell>
        </row>
        <row r="2956">
          <cell r="A2956" t="str">
            <v>The War on Drugs and Anglo-American Relations: Lessons from Afghanistan</v>
          </cell>
          <cell r="B2956" t="str">
            <v>Ebook - pdf</v>
          </cell>
          <cell r="C2956">
            <v>9781474421096</v>
          </cell>
        </row>
        <row r="2957">
          <cell r="A2957" t="str">
            <v>The 'War on Terror' and American Film: 9/11 Frames Per Second</v>
          </cell>
          <cell r="B2957" t="str">
            <v>Ebook - pdf</v>
          </cell>
          <cell r="C2957">
            <v>9780748693108</v>
          </cell>
        </row>
        <row r="2958">
          <cell r="A2958" t="str">
            <v>The Wars of Scotland, 1214-1371</v>
          </cell>
          <cell r="B2958" t="str">
            <v>Ebook - pdf</v>
          </cell>
          <cell r="C2958">
            <v>9780748679775</v>
          </cell>
        </row>
        <row r="2959">
          <cell r="A2959" t="str">
            <v>The Wealth of the Nation: Scotland, Culture and Independence</v>
          </cell>
          <cell r="B2959" t="str">
            <v>Ebook - pdf</v>
          </cell>
          <cell r="C2959">
            <v>9781474435598</v>
          </cell>
        </row>
        <row r="2960">
          <cell r="A2960" t="str">
            <v>The Wonders of Creation and the Singularities of Painting: A Study of the Ilkhanid London Qazvīnī</v>
          </cell>
          <cell r="B2960" t="str">
            <v>Ebook - pdf</v>
          </cell>
          <cell r="C2960">
            <v>9781474465632</v>
          </cell>
        </row>
        <row r="2961">
          <cell r="A2961" t="str">
            <v>The Work of Giorgio Agamben: Law, Literature, Life</v>
          </cell>
          <cell r="B2961" t="str">
            <v>Ebook - pdf</v>
          </cell>
          <cell r="C2961">
            <v>9780748634637</v>
          </cell>
        </row>
        <row r="2962">
          <cell r="A2962" t="str">
            <v>The World of Image in Islamic Philosophy: Ibn Sina, Suhrawardi, Shahrazuri and Beyond</v>
          </cell>
          <cell r="B2962" t="str">
            <v>Ebook - pdf</v>
          </cell>
          <cell r="C2962">
            <v>9781474415866</v>
          </cell>
        </row>
        <row r="2963">
          <cell r="A2963" t="str">
            <v>The World, the Flesh and the Subject: Continental Themes in Philosophy of Mind and Body</v>
          </cell>
          <cell r="B2963" t="str">
            <v>Ebook - pdf</v>
          </cell>
          <cell r="C2963">
            <v>9781474468473</v>
          </cell>
        </row>
        <row r="2964">
          <cell r="A2964" t="str">
            <v>The Written Word in the Medieval Arabic Lands: A Social and Cultural History of Reading Practices</v>
          </cell>
          <cell r="B2964" t="str">
            <v>Ebook - pdf</v>
          </cell>
          <cell r="C2964">
            <v>9780748654215</v>
          </cell>
        </row>
        <row r="2965">
          <cell r="A2965" t="str">
            <v>The Yorkshire Countryside: A Landscape History</v>
          </cell>
          <cell r="B2965" t="str">
            <v>Ebook - pdf</v>
          </cell>
          <cell r="C2965">
            <v>9781474471152</v>
          </cell>
        </row>
        <row r="2966">
          <cell r="A2966" t="str">
            <v>Theatre Through the Camera Eye: The Poetics of an Intermedial Encounter</v>
          </cell>
          <cell r="B2966" t="str">
            <v>Ebook - pdf</v>
          </cell>
          <cell r="C2966">
            <v>9780748697489</v>
          </cell>
        </row>
        <row r="2967">
          <cell r="A2967" t="str">
            <v>Theatres of Struggle and the End of Apartheid</v>
          </cell>
          <cell r="B2967" t="str">
            <v>Ebook - pdf</v>
          </cell>
          <cell r="C2967">
            <v>9781474464673</v>
          </cell>
        </row>
        <row r="2968">
          <cell r="A2968" t="str">
            <v>Theatrical Milton: Politics and Poetics of the Staged Body</v>
          </cell>
          <cell r="B2968" t="str">
            <v>Ebook - pdf</v>
          </cell>
          <cell r="C2968">
            <v>9781474421027</v>
          </cell>
        </row>
        <row r="2969">
          <cell r="A2969" t="str">
            <v>Theories of Memory: A Reader</v>
          </cell>
          <cell r="B2969" t="str">
            <v>Ebook - pdf</v>
          </cell>
          <cell r="C2969">
            <v>9781474472197</v>
          </cell>
        </row>
        <row r="2970">
          <cell r="A2970" t="str">
            <v>Theories of Religion: A Reader</v>
          </cell>
          <cell r="B2970" t="str">
            <v>Ebook - pdf</v>
          </cell>
          <cell r="C2970">
            <v>9781474469968</v>
          </cell>
        </row>
        <row r="2971">
          <cell r="A2971" t="str">
            <v>Theory of the Object</v>
          </cell>
          <cell r="B2971" t="str">
            <v>Ebook - pdf</v>
          </cell>
          <cell r="C2971">
            <v>9781474487955</v>
          </cell>
        </row>
        <row r="2972">
          <cell r="A2972" t="str">
            <v>Thinking Antagonism: Political Ontology after Laclau</v>
          </cell>
          <cell r="B2972" t="str">
            <v>Ebook - pdf</v>
          </cell>
          <cell r="C2972">
            <v>9781474413329</v>
          </cell>
        </row>
        <row r="2973">
          <cell r="A2973" t="str">
            <v>Thinking Nature: An Essay in Negative Ecology</v>
          </cell>
          <cell r="B2973" t="str">
            <v>Ebook - pdf</v>
          </cell>
          <cell r="C2973">
            <v>9781474449281</v>
          </cell>
        </row>
        <row r="2974">
          <cell r="A2974" t="str">
            <v>Thinking with Deleuze</v>
          </cell>
          <cell r="B2974" t="str">
            <v>Ebook - pdf</v>
          </cell>
          <cell r="C2974">
            <v>9781474447300</v>
          </cell>
        </row>
        <row r="2975">
          <cell r="A2975" t="str">
            <v>Third Way Discourse: European Ideologies in the Twentieth Century</v>
          </cell>
          <cell r="B2975" t="str">
            <v>Ebook - pdf</v>
          </cell>
          <cell r="C2975">
            <v>9781474464260</v>
          </cell>
        </row>
        <row r="2976">
          <cell r="A2976" t="str">
            <v>This Shrinking Land: Climate Change and Britain's Coasts</v>
          </cell>
          <cell r="B2976" t="str">
            <v>Ebook - pdf</v>
          </cell>
          <cell r="C2976">
            <v>9781474467858</v>
          </cell>
        </row>
        <row r="2977">
          <cell r="A2977" t="str">
            <v>Thomas Aquinas: God and Explanations</v>
          </cell>
          <cell r="B2977" t="str">
            <v>Ebook - pdf</v>
          </cell>
          <cell r="C2977">
            <v>9781474470742</v>
          </cell>
        </row>
        <row r="2978">
          <cell r="A2978" t="str">
            <v>Thomas De Quincey, Dark Interpreter: Romanticism in Translation</v>
          </cell>
          <cell r="B2978" t="str">
            <v>Ebook - pdf</v>
          </cell>
          <cell r="C2978">
            <v>9781474483919</v>
          </cell>
        </row>
        <row r="2979">
          <cell r="A2979" t="str">
            <v>Thomas Hardy: Moments of Vision</v>
          </cell>
          <cell r="B2979" t="str">
            <v>Ebook - pdf</v>
          </cell>
          <cell r="C2979">
            <v>9781474472548</v>
          </cell>
        </row>
        <row r="2980">
          <cell r="A2980" t="str">
            <v>Thomas Hardy: Wessex Poems</v>
          </cell>
          <cell r="B2980" t="str">
            <v>Ebook - pdf</v>
          </cell>
          <cell r="C2980">
            <v>9781474469609</v>
          </cell>
        </row>
        <row r="2981">
          <cell r="A2981" t="str">
            <v>Thomas Hardy's Legal Fictions</v>
          </cell>
          <cell r="B2981" t="str">
            <v>Ebook - pdf</v>
          </cell>
          <cell r="C2981">
            <v>9780748673254</v>
          </cell>
        </row>
        <row r="2982">
          <cell r="A2982" t="str">
            <v>Thomas Hardy's Shorter Fiction: A Critical Study</v>
          </cell>
          <cell r="B2982" t="str">
            <v>Ebook - pdf</v>
          </cell>
          <cell r="C2982">
            <v>9780748632558</v>
          </cell>
        </row>
        <row r="2983">
          <cell r="A2983" t="str">
            <v>Thomas Jefferson: Reputation and Legacy</v>
          </cell>
          <cell r="B2983" t="str">
            <v>Ebook - pdf</v>
          </cell>
          <cell r="C2983">
            <v>9780748636624</v>
          </cell>
        </row>
        <row r="2984">
          <cell r="A2984" t="str">
            <v>Thomas Lodge: Rosalynd</v>
          </cell>
          <cell r="B2984" t="str">
            <v>Ebook - pdf</v>
          </cell>
          <cell r="C2984">
            <v>9781474471251</v>
          </cell>
        </row>
        <row r="2985">
          <cell r="A2985" t="str">
            <v>Thomas Middleton, Renaissance Dramatist</v>
          </cell>
          <cell r="B2985" t="str">
            <v>Ebook - pdf</v>
          </cell>
          <cell r="C2985">
            <v>9780748631698</v>
          </cell>
        </row>
        <row r="2986">
          <cell r="A2986" t="str">
            <v>Thomas Reid - Essays on the Active Powers of Man</v>
          </cell>
          <cell r="B2986" t="str">
            <v>Ebook - pdf</v>
          </cell>
          <cell r="C2986">
            <v>9780748642939</v>
          </cell>
        </row>
        <row r="2987">
          <cell r="A2987" t="str">
            <v>Thomas Reid - Essays on the Intellectual Powers of Man: A Critical Edition</v>
          </cell>
          <cell r="B2987" t="str">
            <v>Ebook - pdf</v>
          </cell>
          <cell r="C2987">
            <v>9781474428125</v>
          </cell>
        </row>
        <row r="2988">
          <cell r="A2988" t="str">
            <v>Thomas Reid and the Problem of Secondary Qualities</v>
          </cell>
          <cell r="B2988" t="str">
            <v>Ebook - pdf</v>
          </cell>
          <cell r="C2988">
            <v>9781474417853</v>
          </cell>
        </row>
        <row r="2989">
          <cell r="A2989" t="str">
            <v>Thomas Reid and the University</v>
          </cell>
          <cell r="B2989" t="str">
            <v>Ebook - pdf</v>
          </cell>
          <cell r="C2989">
            <v>9780748644193</v>
          </cell>
        </row>
        <row r="2990">
          <cell r="A2990" t="str">
            <v>Thomas Reid on Logic, Rhetoric and the Fine Arts: Papers on the Culture of the Mind</v>
          </cell>
          <cell r="B2990" t="str">
            <v>Ebook - pdf</v>
          </cell>
          <cell r="C2990">
            <v>9781474428132</v>
          </cell>
        </row>
        <row r="2991">
          <cell r="A2991" t="str">
            <v>Thomas Reid on Mathematics and Natural Philosophy</v>
          </cell>
          <cell r="B2991" t="str">
            <v>Ebook - pdf</v>
          </cell>
          <cell r="C2991">
            <v>9780748643394</v>
          </cell>
        </row>
        <row r="2992">
          <cell r="A2992" t="str">
            <v>Thomas Reid on Practical Ethics</v>
          </cell>
          <cell r="B2992" t="str">
            <v>Ebook - pdf</v>
          </cell>
          <cell r="C2992">
            <v>9780748630806</v>
          </cell>
        </row>
        <row r="2993">
          <cell r="A2993" t="str">
            <v>Thomas Reid on Society and Politics</v>
          </cell>
          <cell r="B2993" t="str">
            <v>Ebook - pdf</v>
          </cell>
          <cell r="C2993">
            <v>9780748696659</v>
          </cell>
        </row>
        <row r="2994">
          <cell r="A2994" t="str">
            <v>Thomas Reid on the Animate Creation: Papers Relating to the Life Sciences</v>
          </cell>
          <cell r="B2994" t="str">
            <v>Ebook - pdf</v>
          </cell>
          <cell r="C2994">
            <v>9781474428149</v>
          </cell>
        </row>
        <row r="2995">
          <cell r="A2995" t="str">
            <v>Three Short Novels: Glenfell, Andrew of Padua, the Improvisatore and The Omen</v>
          </cell>
          <cell r="B2995" t="str">
            <v>Ebook - pdf</v>
          </cell>
          <cell r="C2995">
            <v>9781474402095</v>
          </cell>
        </row>
        <row r="2996">
          <cell r="A2996" t="str">
            <v>Tim Burton's Bodies: Gothic, Animated, Creaturely and Corporeal</v>
          </cell>
          <cell r="B2996" t="str">
            <v>Ebook - pdf</v>
          </cell>
          <cell r="C2996">
            <v>9781474456920</v>
          </cell>
        </row>
        <row r="2997">
          <cell r="A2997" t="str">
            <v>Time and Tide: The Feminist and Cultural Politics of a Modern Magazine</v>
          </cell>
          <cell r="B2997" t="str">
            <v>Ebook - pdf</v>
          </cell>
          <cell r="C2997">
            <v>9781474418195</v>
          </cell>
        </row>
        <row r="2998">
          <cell r="A2998" t="str">
            <v>Time, Existential Presence and the Cinematic Image: Ethics and Emergence to Being in Film</v>
          </cell>
          <cell r="B2998" t="str">
            <v>Ebook - pdf</v>
          </cell>
          <cell r="C2998">
            <v>9781474436250</v>
          </cell>
        </row>
        <row r="2999">
          <cell r="A2999" t="str">
            <v>Time, Technology and Environment: An Essay on the Philosophy of Nature</v>
          </cell>
          <cell r="B2999" t="str">
            <v>Ebook - pdf</v>
          </cell>
          <cell r="C2999">
            <v>9780748691586</v>
          </cell>
        </row>
        <row r="3000">
          <cell r="A3000" t="str">
            <v>Times of Troubles: Britain's War in Northern Ireland</v>
          </cell>
          <cell r="B3000" t="str">
            <v>Ebook - pdf</v>
          </cell>
          <cell r="C3000">
            <v>9780748646579</v>
          </cell>
        </row>
        <row r="3001">
          <cell r="A3001" t="str">
            <v>To Follow: The Wake of Jacques Derrida</v>
          </cell>
          <cell r="B3001" t="str">
            <v>Ebook - pdf</v>
          </cell>
          <cell r="C3001">
            <v>9780748643707</v>
          </cell>
        </row>
        <row r="3002">
          <cell r="A3002" t="str">
            <v>Towards a Deliberative and Associational Democracy</v>
          </cell>
          <cell r="B3002" t="str">
            <v>Ebook - pdf</v>
          </cell>
          <cell r="C3002">
            <v>9780748631483</v>
          </cell>
        </row>
        <row r="3003">
          <cell r="A3003" t="str">
            <v>Towards a Feminist Cinematic Ethics: Claire Denis, Emmanuel Levinas and Jean-Luc Nancy</v>
          </cell>
          <cell r="B3003" t="str">
            <v>Ebook - pdf</v>
          </cell>
          <cell r="C3003">
            <v>9781474403283</v>
          </cell>
        </row>
        <row r="3004">
          <cell r="A3004" t="str">
            <v>Towards a Geopolitical Image of Thought</v>
          </cell>
          <cell r="B3004" t="str">
            <v>Ebook - pdf</v>
          </cell>
          <cell r="C3004">
            <v>9781474482967</v>
          </cell>
        </row>
        <row r="3005">
          <cell r="A3005" t="str">
            <v>Towards a Postmodern Theory of Narrative</v>
          </cell>
          <cell r="B3005" t="str">
            <v>Ebook - pdf</v>
          </cell>
          <cell r="C3005">
            <v>9780585124063</v>
          </cell>
        </row>
        <row r="3006">
          <cell r="A3006" t="str">
            <v>Towards an Improper Politics</v>
          </cell>
          <cell r="B3006" t="str">
            <v>Ebook - pdf</v>
          </cell>
          <cell r="C3006">
            <v>9781474454056</v>
          </cell>
        </row>
        <row r="3007">
          <cell r="A3007" t="str">
            <v>Traditions in World Cinema</v>
          </cell>
          <cell r="B3007" t="str">
            <v>Ebook - pdf</v>
          </cell>
          <cell r="C3007">
            <v>9780748626267</v>
          </cell>
        </row>
        <row r="3008">
          <cell r="A3008" t="str">
            <v>Tragedies of the English Renaissance</v>
          </cell>
          <cell r="B3008" t="str">
            <v>Ebook - pdf</v>
          </cell>
          <cell r="C3008">
            <v>9781474419574</v>
          </cell>
        </row>
        <row r="3009">
          <cell r="A3009" t="str">
            <v>Tragedy, Modernity and Mourning</v>
          </cell>
          <cell r="B3009" t="str">
            <v>Ebook - pdf</v>
          </cell>
          <cell r="C3009">
            <v>9780748666058</v>
          </cell>
        </row>
        <row r="3010">
          <cell r="A3010" t="str">
            <v>Transatlantic Avant-Gardes: Little Magazines and Localist Modernism</v>
          </cell>
          <cell r="B3010" t="str">
            <v>Ebook - pdf</v>
          </cell>
          <cell r="C3010">
            <v>9780748645220</v>
          </cell>
        </row>
        <row r="3011">
          <cell r="A3011" t="str">
            <v>Transatlantic Literary Studies: A Reader</v>
          </cell>
          <cell r="B3011" t="str">
            <v>Ebook - pdf</v>
          </cell>
          <cell r="C3011">
            <v>9781474470674</v>
          </cell>
        </row>
        <row r="3012">
          <cell r="A3012" t="str">
            <v>Transatlantic Modernism: Moral Dilemmas in Modernist Fiction</v>
          </cell>
          <cell r="B3012" t="str">
            <v>Ebook - pdf</v>
          </cell>
          <cell r="C3012">
            <v>9781474497121</v>
          </cell>
        </row>
        <row r="3013">
          <cell r="A3013" t="str">
            <v>Transatlantic Rhetoric: Speeches from the American Revolution to the Suffragettes</v>
          </cell>
          <cell r="B3013" t="str">
            <v>Ebook - pdf</v>
          </cell>
          <cell r="C3013">
            <v>9781474426275</v>
          </cell>
        </row>
        <row r="3014">
          <cell r="A3014" t="str">
            <v>Transatlantic Transcendentalism: Coleridge, Emerson and Nature</v>
          </cell>
          <cell r="B3014" t="str">
            <v>Ebook - pdf</v>
          </cell>
          <cell r="C3014">
            <v>9780748681372</v>
          </cell>
        </row>
        <row r="3015">
          <cell r="A3015" t="str">
            <v>Transatlantic Transformations of Romanticism: Aesthetics, Subjectivity and the Environment</v>
          </cell>
          <cell r="B3015" t="str">
            <v>Ebook - pdf</v>
          </cell>
          <cell r="C3015">
            <v>9781474421492</v>
          </cell>
        </row>
        <row r="3016">
          <cell r="A3016" t="str">
            <v>Transatlantic Women's Literature</v>
          </cell>
          <cell r="B3016" t="str">
            <v>Ebook - pdf</v>
          </cell>
          <cell r="C3016">
            <v>9780748630486</v>
          </cell>
        </row>
        <row r="3017">
          <cell r="A3017" t="str">
            <v>Transcendent God, Rational World: A Maturidi Theology</v>
          </cell>
          <cell r="B3017" t="str">
            <v>Ebook - pdf</v>
          </cell>
          <cell r="C3017">
            <v>9781474451666</v>
          </cell>
        </row>
        <row r="3018">
          <cell r="A3018" t="str">
            <v>Transformation and Tradition in 1960s British Cinema</v>
          </cell>
          <cell r="B3018" t="str">
            <v>Ebook - pdf</v>
          </cell>
          <cell r="C3018">
            <v>9781474423137</v>
          </cell>
        </row>
        <row r="3019">
          <cell r="A3019" t="str">
            <v>Transforming Settlement in Southern Africa</v>
          </cell>
          <cell r="B3019" t="str">
            <v>Ebook - pdf</v>
          </cell>
          <cell r="C3019">
            <v>9781474400442</v>
          </cell>
        </row>
        <row r="3020">
          <cell r="A3020" t="str">
            <v>Transgender and The Literary Imagination: Changing Gender in Twentieth-Century Writing</v>
          </cell>
          <cell r="B3020" t="str">
            <v>Ebook - pdf</v>
          </cell>
          <cell r="C3020">
            <v>9781474414678</v>
          </cell>
        </row>
        <row r="3021">
          <cell r="A3021" t="str">
            <v>Translating the Devil: Religion and Modernity among the Ewe in Ghana</v>
          </cell>
          <cell r="B3021" t="str">
            <v>Ebook - pdf</v>
          </cell>
          <cell r="C3021">
            <v>9781474471008</v>
          </cell>
        </row>
        <row r="3022">
          <cell r="A3022" t="str">
            <v>Translation and Literature 1</v>
          </cell>
          <cell r="B3022" t="str">
            <v>Ebook - pdf</v>
          </cell>
          <cell r="C3022">
            <v>9781474468497</v>
          </cell>
        </row>
        <row r="3023">
          <cell r="A3023" t="str">
            <v>Translation as Collaboration: Virginia Woolf, Katherine Mansfield and S.S. Koteliansky</v>
          </cell>
          <cell r="B3023" t="str">
            <v>Ebook - pdf</v>
          </cell>
          <cell r="C3023">
            <v>9780748682829</v>
          </cell>
        </row>
        <row r="3024">
          <cell r="A3024" t="str">
            <v>Transnational Film Remakes</v>
          </cell>
          <cell r="B3024" t="str">
            <v>Ebook - pdf</v>
          </cell>
          <cell r="C3024">
            <v>9781474407250</v>
          </cell>
        </row>
        <row r="3025">
          <cell r="A3025" t="str">
            <v>Transnational Migration and Border-Making: Reshaping Policies and Identities</v>
          </cell>
          <cell r="B3025" t="str">
            <v>Ebook - pdf</v>
          </cell>
          <cell r="C3025">
            <v>9781474453509</v>
          </cell>
        </row>
        <row r="3026">
          <cell r="A3026" t="str">
            <v>Transnationalism in Practice: Essays on American Studies, Literature and Religion</v>
          </cell>
          <cell r="B3026" t="str">
            <v>Ebook - pdf</v>
          </cell>
          <cell r="C3026">
            <v>9781474468480</v>
          </cell>
        </row>
        <row r="3027">
          <cell r="A3027" t="str">
            <v>Trauma Fiction</v>
          </cell>
          <cell r="B3027" t="str">
            <v>Ebook - pdf</v>
          </cell>
          <cell r="C3027">
            <v>9780748666010</v>
          </cell>
        </row>
        <row r="3028">
          <cell r="A3028" t="str">
            <v>Travellers' Tales of Wonder: Chatwin, Naipaul, Sebald</v>
          </cell>
          <cell r="B3028" t="str">
            <v>Ebook - pdf</v>
          </cell>
          <cell r="C3028">
            <v>9780748675470</v>
          </cell>
        </row>
        <row r="3029">
          <cell r="A3029" t="str">
            <v>Treasure Island</v>
          </cell>
          <cell r="B3029" t="str">
            <v>Ebook - pdf</v>
          </cell>
          <cell r="C3029">
            <v>9780585102870</v>
          </cell>
        </row>
        <row r="3030">
          <cell r="A3030" t="str">
            <v>Troubled Everyday: The Aesthetics of Violence and the Everyday in European Art Cinema</v>
          </cell>
          <cell r="B3030" t="str">
            <v>Ebook - pdf</v>
          </cell>
          <cell r="C3030">
            <v>9781474415231</v>
          </cell>
        </row>
        <row r="3031">
          <cell r="A3031" t="str">
            <v>Troublemakers: The Struggle for Environmental Justice in Scotland</v>
          </cell>
          <cell r="B3031" t="str">
            <v>Ebook - pdf</v>
          </cell>
          <cell r="C3031">
            <v>9781474467902</v>
          </cell>
        </row>
        <row r="3032">
          <cell r="A3032" t="str">
            <v>Trump's America: Political Culture and National Identity</v>
          </cell>
          <cell r="B3032" t="str">
            <v>Ebook - pdf</v>
          </cell>
          <cell r="C3032">
            <v>9781474458894</v>
          </cell>
        </row>
        <row r="3033">
          <cell r="A3033" t="str">
            <v>Trusts and Patrimonies</v>
          </cell>
          <cell r="B3033" t="str">
            <v>Ebook - pdf</v>
          </cell>
          <cell r="C3033">
            <v>9780748697755</v>
          </cell>
        </row>
        <row r="3034">
          <cell r="A3034" t="str">
            <v>Trusts Law Essentials</v>
          </cell>
          <cell r="B3034" t="str">
            <v>Ebook - pdf</v>
          </cell>
          <cell r="C3034">
            <v>9780748698509</v>
          </cell>
        </row>
        <row r="3035">
          <cell r="A3035" t="str">
            <v>Truth Matters: Realism, Anti-Realism and Response-Dependence</v>
          </cell>
          <cell r="B3035" t="str">
            <v>Ebook - pdf</v>
          </cell>
          <cell r="C3035">
            <v>9781474471367</v>
          </cell>
        </row>
        <row r="3036">
          <cell r="A3036" t="str">
            <v>Turkey's Necropolitical Laboratory: Democracy, Violence and Resistance</v>
          </cell>
          <cell r="B3036" t="str">
            <v>Ebook - pdf</v>
          </cell>
          <cell r="C3036">
            <v>9781474450287</v>
          </cell>
        </row>
        <row r="3037">
          <cell r="A3037" t="str">
            <v>Turkish Myth and Muslim Symbol: The Battle of Manzikert</v>
          </cell>
          <cell r="B3037" t="str">
            <v>Ebook - pdf</v>
          </cell>
          <cell r="C3037">
            <v>9780748631155</v>
          </cell>
        </row>
        <row r="3038">
          <cell r="A3038" t="str">
            <v>Twelver Shiism: Unity and Diversity in the Life of Islam, 632 to 1722</v>
          </cell>
          <cell r="B3038" t="str">
            <v>Ebook - pdf</v>
          </cell>
          <cell r="C3038">
            <v>9780748631902</v>
          </cell>
        </row>
        <row r="3039">
          <cell r="A3039" t="str">
            <v>Twentieth-Century Crime Fiction: Gender, Sexuality and the Body</v>
          </cell>
          <cell r="B3039" t="str">
            <v>Ebook - pdf</v>
          </cell>
          <cell r="C3039">
            <v>9781474430005</v>
          </cell>
        </row>
        <row r="3040">
          <cell r="A3040" t="str">
            <v>Twentieth-Century Crime Fiction: Gender, Sexuality and the Body</v>
          </cell>
          <cell r="B3040" t="str">
            <v>Ebook - pdf</v>
          </cell>
          <cell r="C3040">
            <v>9781474471695</v>
          </cell>
        </row>
        <row r="3041">
          <cell r="A3041" t="str">
            <v>Twentieth-Century German Political Thought</v>
          </cell>
          <cell r="B3041" t="str">
            <v>Ebook - pdf</v>
          </cell>
          <cell r="C3041">
            <v>9780748626595</v>
          </cell>
        </row>
        <row r="3042">
          <cell r="A3042" t="str">
            <v>Twentieth-Century Victorian: Arthur Conan Doyle and the &lt;i&gt;Strand Magazine&lt;/i&gt;, 1891-1930</v>
          </cell>
          <cell r="B3042" t="str">
            <v>Ebook - pdf</v>
          </cell>
          <cell r="C3042">
            <v>9781474406765</v>
          </cell>
        </row>
        <row r="3043">
          <cell r="A3043" t="str">
            <v>Twenty-First-Century Children’s Gothic: From the Wanderer to Nomadic Subject</v>
          </cell>
          <cell r="B3043" t="str">
            <v>Ebook - pdf</v>
          </cell>
          <cell r="C3043">
            <v>9781474430197</v>
          </cell>
        </row>
        <row r="3044">
          <cell r="A3044" t="str">
            <v>Twenty-First-Century Gothic: An Edinburgh Companion</v>
          </cell>
          <cell r="B3044" t="str">
            <v>Ebook - pdf</v>
          </cell>
          <cell r="C3044">
            <v>9781474440943</v>
          </cell>
        </row>
        <row r="3045">
          <cell r="A3045" t="str">
            <v>Twenty-First-Century Popular Fiction</v>
          </cell>
          <cell r="B3045" t="str">
            <v>Ebook - pdf</v>
          </cell>
          <cell r="C3045">
            <v>9781474414869</v>
          </cell>
        </row>
        <row r="3046">
          <cell r="A3046" t="str">
            <v>Tyrone Power: Gender, Genre and Image in Classical Hollywood Cinema</v>
          </cell>
          <cell r="B3046" t="str">
            <v>Ebook - pdf</v>
          </cell>
          <cell r="C3046">
            <v>9781474452960</v>
          </cell>
        </row>
        <row r="3047">
          <cell r="A3047" t="str">
            <v>UK Oil and Gas Law: Current Practice and Emerging Trends: Volume I: Resource Management and Regulatory Law</v>
          </cell>
          <cell r="B3047" t="str">
            <v>Ebook - pdf</v>
          </cell>
          <cell r="C3047">
            <v>9781474420198</v>
          </cell>
        </row>
        <row r="3048">
          <cell r="A3048" t="str">
            <v>UK Oil and Gas Law: Current Practice and Emerging Trends: Volume II: Commercial and Contract Law Issues</v>
          </cell>
          <cell r="B3048" t="str">
            <v>Ebook - pdf</v>
          </cell>
          <cell r="C3048">
            <v>9781474421751</v>
          </cell>
        </row>
        <row r="3049">
          <cell r="A3049" t="str">
            <v>Unbecoming Human: Philosophy of Animality After Deleuze</v>
          </cell>
          <cell r="B3049" t="str">
            <v>Ebook - pdf</v>
          </cell>
          <cell r="C3049">
            <v>9781474443418</v>
          </cell>
        </row>
        <row r="3050">
          <cell r="A3050" t="str">
            <v>Uncommon Alliances: Cultural Narratives of Migration in the New Europe</v>
          </cell>
          <cell r="B3050" t="str">
            <v>Ebook - pdf</v>
          </cell>
          <cell r="C3050">
            <v>9781474435901</v>
          </cell>
        </row>
        <row r="3051">
          <cell r="A3051" t="str">
            <v>Undead Apocalyse: Vampires and Zombies in the 21st Century</v>
          </cell>
          <cell r="B3051" t="str">
            <v>Ebook - pdf</v>
          </cell>
          <cell r="C3051">
            <v>9780748694921</v>
          </cell>
        </row>
        <row r="3052">
          <cell r="A3052" t="str">
            <v>Understanding Ethics</v>
          </cell>
          <cell r="B3052" t="str">
            <v>Ebook - pdf</v>
          </cell>
          <cell r="C3052">
            <v>9780748682263</v>
          </cell>
        </row>
        <row r="3053">
          <cell r="A3053" t="str">
            <v>Understanding Human Goods: A Theory of Ethics</v>
          </cell>
          <cell r="B3053" t="str">
            <v>Ebook - pdf</v>
          </cell>
          <cell r="C3053">
            <v>9780585086729</v>
          </cell>
        </row>
        <row r="3054">
          <cell r="A3054" t="str">
            <v>Understanding Pragmatic Markers: A Variational Pragmatic Approach</v>
          </cell>
          <cell r="B3054" t="str">
            <v>Ebook - pdf</v>
          </cell>
          <cell r="C3054">
            <v>9780748635511</v>
          </cell>
        </row>
        <row r="3055">
          <cell r="A3055" t="str">
            <v>Understanding Torture</v>
          </cell>
          <cell r="B3055" t="str">
            <v>Ebook - pdf</v>
          </cell>
          <cell r="C3055">
            <v>9780748643301</v>
          </cell>
        </row>
        <row r="3056">
          <cell r="A3056" t="str">
            <v>Unfinished Worlds: Hermeneutics, Aesthetics and Gadamer</v>
          </cell>
          <cell r="B3056" t="str">
            <v>Ebook - pdf</v>
          </cell>
          <cell r="C3056">
            <v>9780748686230</v>
          </cell>
        </row>
        <row r="3057">
          <cell r="A3057" t="str">
            <v>Union and Revolution: Scotland and Beyond, 1625-1745</v>
          </cell>
          <cell r="B3057" t="str">
            <v>Ebook - pdf</v>
          </cell>
          <cell r="C3057">
            <v>9781474410168</v>
          </cell>
        </row>
        <row r="3058">
          <cell r="A3058" t="str">
            <v>Universe and Inner Self in Early Indian and Early Greek Thought</v>
          </cell>
          <cell r="B3058" t="str">
            <v>Ebook - pdf</v>
          </cell>
          <cell r="C3058">
            <v>9781474411004</v>
          </cell>
        </row>
        <row r="3059">
          <cell r="A3059" t="str">
            <v>Untimely Affects: Gilles Deleuze and an Ethics of Cinema</v>
          </cell>
          <cell r="B3059" t="str">
            <v>Ebook - pdf</v>
          </cell>
          <cell r="C3059">
            <v>9780748669707</v>
          </cell>
        </row>
        <row r="3060">
          <cell r="A3060" t="str">
            <v>Untutored Lines: The Making of the English Epyllion</v>
          </cell>
          <cell r="B3060" t="str">
            <v>Ebook - pdf</v>
          </cell>
          <cell r="C3060">
            <v>9780748644667</v>
          </cell>
        </row>
        <row r="3061">
          <cell r="A3061" t="str">
            <v>Urban North-Eastern English: Tyneside to Teesside</v>
          </cell>
          <cell r="B3061" t="str">
            <v>Ebook - pdf</v>
          </cell>
          <cell r="C3061">
            <v>9780748664450</v>
          </cell>
        </row>
        <row r="3062">
          <cell r="A3062" t="str">
            <v>Urdu Vocabulary: A Workbook for Intermediate and Advanced Students</v>
          </cell>
          <cell r="B3062" t="str">
            <v>Ebook - pdf</v>
          </cell>
          <cell r="C3062">
            <v>9781474467216</v>
          </cell>
        </row>
        <row r="3063">
          <cell r="A3063" t="str">
            <v>US Environmental History: Inviting Doomsday</v>
          </cell>
          <cell r="B3063" t="str">
            <v>Ebook - pdf</v>
          </cell>
          <cell r="C3063">
            <v>9780748629794</v>
          </cell>
        </row>
        <row r="3064">
          <cell r="A3064" t="str">
            <v>US Foreign Policy and China: The Bush, Obama, Trump Administrations</v>
          </cell>
          <cell r="B3064" t="str">
            <v>Ebook - pdf</v>
          </cell>
          <cell r="C3064">
            <v>9781474453073</v>
          </cell>
        </row>
        <row r="3065">
          <cell r="A3065" t="str">
            <v>US Government and Politics</v>
          </cell>
          <cell r="B3065" t="str">
            <v>Ebook - pdf</v>
          </cell>
          <cell r="C3065">
            <v>9780748630264</v>
          </cell>
        </row>
        <row r="3066">
          <cell r="A3066" t="str">
            <v>US Independent Film After 1989: Possible Films</v>
          </cell>
          <cell r="B3066" t="str">
            <v>Ebook - pdf</v>
          </cell>
          <cell r="C3066">
            <v>9780748692453</v>
          </cell>
        </row>
        <row r="3067">
          <cell r="A3067" t="str">
            <v>US Intelligence and Al Qaeda: Analysis by Contrasting Narratives</v>
          </cell>
          <cell r="B3067" t="str">
            <v>Ebook - pdf</v>
          </cell>
          <cell r="C3067">
            <v>9781474478083</v>
          </cell>
        </row>
        <row r="3068">
          <cell r="A3068" t="str">
            <v>Vagabond Fictions: Gender and Experiment in British Women’s Writing, 1945-1970</v>
          </cell>
          <cell r="B3068" t="str">
            <v>Ebook - pdf</v>
          </cell>
          <cell r="C3068">
            <v>9781474426190</v>
          </cell>
        </row>
        <row r="3069">
          <cell r="A3069" t="str">
            <v>Vampires in Italian Cinema, 1956-1975</v>
          </cell>
          <cell r="B3069" t="str">
            <v>Ebook - pdf</v>
          </cell>
          <cell r="C3069">
            <v>9781474458139</v>
          </cell>
        </row>
        <row r="3070">
          <cell r="A3070" t="str">
            <v>Vampires, Race, and Transnational Hollywoods</v>
          </cell>
          <cell r="B3070" t="str">
            <v>Ebook - pdf</v>
          </cell>
          <cell r="C3070">
            <v>9781474423090</v>
          </cell>
        </row>
        <row r="3071">
          <cell r="A3071" t="str">
            <v>Variable Objects: Shakespeare and Speculative Appropriation</v>
          </cell>
          <cell r="B3071" t="str">
            <v>Ebook - pdf</v>
          </cell>
          <cell r="C3071">
            <v>9781474481410</v>
          </cell>
        </row>
        <row r="3072">
          <cell r="A3072" t="str">
            <v>Variations: The Philosophy of Gilles Deleuze</v>
          </cell>
          <cell r="B3072" t="str">
            <v>Ebook - pdf</v>
          </cell>
          <cell r="C3072">
            <v>9781474470759</v>
          </cell>
        </row>
        <row r="3073">
          <cell r="A3073" t="str">
            <v>Veering: A Theory of Literature</v>
          </cell>
          <cell r="B3073" t="str">
            <v>Ebook - pdf</v>
          </cell>
          <cell r="C3073">
            <v>9780748636556</v>
          </cell>
        </row>
        <row r="3074">
          <cell r="A3074" t="str">
            <v>Victorian Dundee: Image and Realities</v>
          </cell>
          <cell r="B3074" t="str">
            <v>Ebook - pdf</v>
          </cell>
          <cell r="C3074">
            <v>9781474473545</v>
          </cell>
        </row>
        <row r="3075">
          <cell r="A3075" t="str">
            <v>Victorian Liberalism and Material Culture: Synergies of Thought and Place</v>
          </cell>
          <cell r="B3075" t="str">
            <v>Ebook - pdf</v>
          </cell>
          <cell r="C3075">
            <v>9781474431668</v>
          </cell>
        </row>
        <row r="3076">
          <cell r="A3076" t="str">
            <v>Victorian Literature</v>
          </cell>
          <cell r="B3076" t="str">
            <v>Ebook - pdf</v>
          </cell>
          <cell r="C3076">
            <v>9780748631087</v>
          </cell>
        </row>
        <row r="3077">
          <cell r="A3077" t="str">
            <v>Victorian Literature and Postcolonial Studies</v>
          </cell>
          <cell r="B3077" t="str">
            <v>Ebook - pdf</v>
          </cell>
          <cell r="C3077">
            <v>9780748633050</v>
          </cell>
        </row>
        <row r="3078">
          <cell r="A3078" t="str">
            <v>Victorian Poetry and the Poetics of the Literary Periodical</v>
          </cell>
          <cell r="B3078" t="str">
            <v>Ebook - pdf</v>
          </cell>
          <cell r="C3078">
            <v>9781474418355</v>
          </cell>
        </row>
        <row r="3079">
          <cell r="A3079" t="str">
            <v>Victoriana - Histories, Fictions, Criticism</v>
          </cell>
          <cell r="B3079" t="str">
            <v>Ebook - pdf</v>
          </cell>
          <cell r="C3079">
            <v>9780748628186</v>
          </cell>
        </row>
        <row r="3080">
          <cell r="A3080" t="str">
            <v>Viking Law and Order: An Investigation of Norse Thing Sites</v>
          </cell>
          <cell r="B3080" t="str">
            <v>Ebook - pdf</v>
          </cell>
          <cell r="C3080">
            <v>9781474402309</v>
          </cell>
        </row>
        <row r="3081">
          <cell r="A3081" t="str">
            <v>Vikings in Scotland: An Archaeological Survey</v>
          </cell>
          <cell r="B3081" t="str">
            <v>Ebook - pdf</v>
          </cell>
          <cell r="C3081">
            <v>9781474468626</v>
          </cell>
        </row>
        <row r="3082">
          <cell r="A3082" t="str">
            <v>Violence and the Cultural Politics of Trauma</v>
          </cell>
          <cell r="B3082" t="str">
            <v>Ebook - pdf</v>
          </cell>
          <cell r="C3082">
            <v>9780748628834</v>
          </cell>
        </row>
        <row r="3083">
          <cell r="A3083" t="str">
            <v>Violence in Islamic Thought from European Imperialism to the Post-Colonial Era</v>
          </cell>
          <cell r="B3083" t="str">
            <v>Ebook - pdf</v>
          </cell>
          <cell r="C3083">
            <v>9781474485531</v>
          </cell>
        </row>
        <row r="3084">
          <cell r="A3084" t="str">
            <v>Violence in Islamic Thought from the Mongols to European Imperialism</v>
          </cell>
          <cell r="B3084" t="str">
            <v>Ebook - pdf</v>
          </cell>
          <cell r="C3084">
            <v>9781474413015</v>
          </cell>
        </row>
        <row r="3085">
          <cell r="A3085" t="str">
            <v>Violence in Islamic Thought from the Qur'an to the Mongols</v>
          </cell>
          <cell r="B3085" t="str">
            <v>Ebook - pdf</v>
          </cell>
          <cell r="C3085">
            <v>9780748694242</v>
          </cell>
        </row>
        <row r="3086">
          <cell r="A3086" t="str">
            <v>Violence, Custom and Law: The Anglo-Scottish Border Lands in the Later Middle Ages</v>
          </cell>
          <cell r="B3086" t="str">
            <v>Ebook - pdf</v>
          </cell>
          <cell r="C3086">
            <v>9781474471275</v>
          </cell>
        </row>
        <row r="3087">
          <cell r="A3087" t="str">
            <v>Virgil’s English Translators: Civil Wars to Restoration</v>
          </cell>
          <cell r="B3087" t="str">
            <v>Ebook - pdf</v>
          </cell>
          <cell r="C3087">
            <v>9781474475662</v>
          </cell>
        </row>
        <row r="3088">
          <cell r="A3088" t="str">
            <v>Virginia Woolf and Being-in-the-world: A Heideggerian Study</v>
          </cell>
          <cell r="B3088" t="str">
            <v>Ebook - pdf</v>
          </cell>
          <cell r="C3088">
            <v>9781474421683</v>
          </cell>
        </row>
        <row r="3089">
          <cell r="A3089" t="str">
            <v>Virginia Woolf and Christian Culture</v>
          </cell>
          <cell r="B3089" t="str">
            <v>Ebook - pdf</v>
          </cell>
          <cell r="C3089">
            <v>9781474415644</v>
          </cell>
        </row>
        <row r="3090">
          <cell r="A3090" t="str">
            <v>Virginia Woolf and Classical Music: Politics, Aesthetics, Form</v>
          </cell>
          <cell r="B3090" t="str">
            <v>Ebook - pdf</v>
          </cell>
          <cell r="C3090">
            <v>9780748637881</v>
          </cell>
        </row>
        <row r="3091">
          <cell r="A3091" t="str">
            <v>Virginia Woolf and the Materiality of Theory: Sex, Animal, Life</v>
          </cell>
          <cell r="B3091" t="str">
            <v>Ebook - pdf</v>
          </cell>
          <cell r="C3091">
            <v>9780748676446</v>
          </cell>
        </row>
        <row r="3092">
          <cell r="A3092" t="str">
            <v>Virginia Woolf and the Politics of Language</v>
          </cell>
          <cell r="B3092" t="str">
            <v>Ebook - pdf</v>
          </cell>
          <cell r="C3092">
            <v>9780748636761</v>
          </cell>
        </row>
        <row r="3093">
          <cell r="A3093" t="str">
            <v>Virginia Woolf and the Problem of the Subject: Feminine Writing in the Major Novels</v>
          </cell>
          <cell r="B3093" t="str">
            <v>Ebook - pdf</v>
          </cell>
          <cell r="C3093">
            <v>9781474471046</v>
          </cell>
        </row>
        <row r="3094">
          <cell r="A3094" t="str">
            <v>Virginia Woolf, Fashion and Literary Modernity</v>
          </cell>
          <cell r="B3094" t="str">
            <v>Ebook - pdf</v>
          </cell>
          <cell r="C3094">
            <v>9780748641567</v>
          </cell>
        </row>
        <row r="3095">
          <cell r="A3095" t="str">
            <v>Virginia Woolf: Ambivalent Activist</v>
          </cell>
          <cell r="B3095" t="str">
            <v>Ebook - pdf</v>
          </cell>
          <cell r="C3095">
            <v>9781474401937</v>
          </cell>
        </row>
        <row r="3096">
          <cell r="A3096" t="str">
            <v>Virginia Woolf: The Common Ground: Essays by Gillian Beer</v>
          </cell>
          <cell r="B3096" t="str">
            <v>Ebook - pdf</v>
          </cell>
          <cell r="C3096">
            <v>9781474464321</v>
          </cell>
        </row>
        <row r="3097">
          <cell r="A3097" t="str">
            <v>Virginia Woolf: Twenty-First-Century Approaches</v>
          </cell>
          <cell r="B3097" t="str">
            <v>Ebook - pdf</v>
          </cell>
          <cell r="C3097">
            <v>9780748693948</v>
          </cell>
        </row>
        <row r="3098">
          <cell r="A3098" t="str">
            <v>Virginia Woolf's Essayism</v>
          </cell>
          <cell r="B3098" t="str">
            <v>Ebook - pdf</v>
          </cell>
          <cell r="C3098">
            <v>9780748646494</v>
          </cell>
        </row>
        <row r="3099">
          <cell r="A3099" t="str">
            <v>Virginia Woolf's Novels and the Literary Past</v>
          </cell>
          <cell r="B3099" t="str">
            <v>Ebook - pdf</v>
          </cell>
          <cell r="C3099">
            <v>9780748626359</v>
          </cell>
        </row>
        <row r="3100">
          <cell r="A3100" t="str">
            <v>Virilio and Visual Culture</v>
          </cell>
          <cell r="B3100" t="str">
            <v>Ebook - pdf</v>
          </cell>
          <cell r="C3100">
            <v>9780748654468</v>
          </cell>
        </row>
        <row r="3101">
          <cell r="A3101" t="str">
            <v>Virtue Ethics: A Critical Reader</v>
          </cell>
          <cell r="B3101" t="str">
            <v>Ebook - pdf</v>
          </cell>
          <cell r="C3101">
            <v>9781474472845</v>
          </cell>
        </row>
        <row r="3102">
          <cell r="A3102" t="str">
            <v>Virtue, Learning and the Scottish Enlightenment</v>
          </cell>
          <cell r="B3102" t="str">
            <v>Ebook - pdf</v>
          </cell>
          <cell r="C3102">
            <v>9780748673889</v>
          </cell>
        </row>
        <row r="3103">
          <cell r="A3103" t="str">
            <v>Virtue, Reason and Toleration: The Place of Toleration in Ethical &amp; Political Philosophy</v>
          </cell>
          <cell r="B3103" t="str">
            <v>Ebook - pdf</v>
          </cell>
          <cell r="C3103">
            <v>9781474471299</v>
          </cell>
        </row>
        <row r="3104">
          <cell r="A3104" t="str">
            <v>Visceral Screens: Mediation and Matter in Horror Cinema</v>
          </cell>
          <cell r="B3104" t="str">
            <v>Ebook - pdf</v>
          </cell>
          <cell r="C3104">
            <v>9781474419208</v>
          </cell>
        </row>
        <row r="3105">
          <cell r="A3105" t="str">
            <v>Visions of Council Democracy: Castoriadis, Arendt, Lefort</v>
          </cell>
          <cell r="B3105" t="str">
            <v>Ebook - pdf</v>
          </cell>
          <cell r="C3105">
            <v>9781474456333</v>
          </cell>
        </row>
        <row r="3106">
          <cell r="A3106" t="str">
            <v>Visions of the City: Utopianism, Power and Politics in Twentieth-Century Urbanism</v>
          </cell>
          <cell r="B3106" t="str">
            <v>Ebook - pdf</v>
          </cell>
          <cell r="C3106">
            <v>9781474471640</v>
          </cell>
        </row>
        <row r="3107">
          <cell r="A3107" t="str">
            <v>Visual Art and Self-Construction</v>
          </cell>
          <cell r="B3107" t="str">
            <v>Ebook - pdf</v>
          </cell>
          <cell r="C3107">
            <v>9780748693689</v>
          </cell>
        </row>
        <row r="3108">
          <cell r="A3108" t="str">
            <v>Voicing Women: Gender and Sexuality in Early Modern Writing</v>
          </cell>
          <cell r="B3108" t="str">
            <v>Ebook - pdf</v>
          </cell>
          <cell r="C3108">
            <v>9780585122601</v>
          </cell>
        </row>
        <row r="3109">
          <cell r="A3109" t="str">
            <v>Volleys of Humanity: Essays 1972–2009</v>
          </cell>
          <cell r="B3109" t="str">
            <v>Ebook - pdf</v>
          </cell>
          <cell r="C3109">
            <v>9780748647583</v>
          </cell>
        </row>
        <row r="3110">
          <cell r="A3110" t="str">
            <v>Volpone's Bastards: Theorising Jonson's City Comedy</v>
          </cell>
          <cell r="B3110" t="str">
            <v>Ebook - pdf</v>
          </cell>
          <cell r="C3110">
            <v>9781474423489</v>
          </cell>
        </row>
        <row r="3111">
          <cell r="A3111" t="str">
            <v>W. G. Sebald - Image, Archive, Modernity</v>
          </cell>
          <cell r="B3111" t="str">
            <v>Ebook - pdf</v>
          </cell>
          <cell r="C3111">
            <v>9780748633883</v>
          </cell>
        </row>
        <row r="3112">
          <cell r="A3112" t="str">
            <v>Walking North with Keats</v>
          </cell>
          <cell r="B3112" t="str">
            <v>Ebook - pdf</v>
          </cell>
          <cell r="C3112">
            <v>9781474478656</v>
          </cell>
        </row>
        <row r="3113">
          <cell r="A3113" t="str">
            <v>Walking with James Hogg: The Ettrick Shepherd’s Journeys through Scotland</v>
          </cell>
          <cell r="B3113" t="str">
            <v>Ebook - pdf</v>
          </cell>
          <cell r="C3113">
            <v>9781474415392</v>
          </cell>
        </row>
        <row r="3114">
          <cell r="A3114" t="str">
            <v>Walter Pater: Individualism and Aesthetic Philosophy</v>
          </cell>
          <cell r="B3114" t="str">
            <v>Ebook - pdf</v>
          </cell>
          <cell r="C3114">
            <v>9780748646265</v>
          </cell>
        </row>
        <row r="3115">
          <cell r="A3115" t="str">
            <v>Walter Scott and Modernity</v>
          </cell>
          <cell r="B3115" t="str">
            <v>Ebook - pdf</v>
          </cell>
          <cell r="C3115">
            <v>9780748631353</v>
          </cell>
        </row>
        <row r="3116">
          <cell r="A3116" t="str">
            <v>Walter Scott and Short Fiction</v>
          </cell>
          <cell r="B3116" t="str">
            <v>Ebook - pdf</v>
          </cell>
          <cell r="C3116">
            <v>9781474487153</v>
          </cell>
        </row>
        <row r="3117">
          <cell r="A3117" t="str">
            <v>Walter Scott and the Limits of Language</v>
          </cell>
          <cell r="B3117" t="str">
            <v>Ebook - pdf</v>
          </cell>
          <cell r="C3117">
            <v>9780748644674</v>
          </cell>
        </row>
        <row r="3118">
          <cell r="A3118" t="str">
            <v>Walter Scott at 250: Looking Forward</v>
          </cell>
          <cell r="B3118" t="str">
            <v>Ebook - pdf</v>
          </cell>
          <cell r="C3118">
            <v>9781474429887</v>
          </cell>
        </row>
        <row r="3119">
          <cell r="A3119" t="str">
            <v>Walter Scott, Shorter Poems</v>
          </cell>
          <cell r="B3119" t="str">
            <v>Ebook - pdf</v>
          </cell>
          <cell r="C3119">
            <v>9781474424448</v>
          </cell>
        </row>
        <row r="3120">
          <cell r="A3120" t="str">
            <v>War Aims in the Second World War: The War Aims of the Key Belligerents 1939-1945</v>
          </cell>
          <cell r="B3120" t="str">
            <v>Ebook - pdf</v>
          </cell>
          <cell r="C3120">
            <v>9781474472203</v>
          </cell>
        </row>
        <row r="3121">
          <cell r="A3121" t="str">
            <v>War and Nation in the Theatre of Shakespeare and His Contemporaries</v>
          </cell>
          <cell r="B3121" t="str">
            <v>Ebook - pdf</v>
          </cell>
          <cell r="C3121">
            <v>9780748631629</v>
          </cell>
        </row>
        <row r="3122">
          <cell r="A3122" t="str">
            <v>War and Occupation in Iraqi Fiction</v>
          </cell>
          <cell r="B3122" t="str">
            <v>Ebook - pdf</v>
          </cell>
          <cell r="C3122">
            <v>9780748696567</v>
          </cell>
        </row>
        <row r="3123">
          <cell r="A3123" t="str">
            <v>War and the Mind: Ford Madox Ford's Parade's End, Modernism, and Psychology</v>
          </cell>
          <cell r="B3123" t="str">
            <v>Ebook - pdf</v>
          </cell>
          <cell r="C3123">
            <v>9780748694273</v>
          </cell>
        </row>
        <row r="3124">
          <cell r="A3124" t="str">
            <v>War Damage in Western Europe: The Destruction of Historic Monuments During the Second World War</v>
          </cell>
          <cell r="B3124" t="str">
            <v>Ebook - pdf</v>
          </cell>
          <cell r="C3124">
            <v>9780585441665</v>
          </cell>
        </row>
        <row r="3125">
          <cell r="A3125" t="str">
            <v>War Dead: Western societies and the casualties of war</v>
          </cell>
          <cell r="B3125" t="str">
            <v>Ebook - pdf</v>
          </cell>
          <cell r="C3125">
            <v>9781474465625</v>
          </cell>
        </row>
        <row r="3126">
          <cell r="A3126" t="str">
            <v>War in Space: Strategy, Spacepower, Geopolitics</v>
          </cell>
          <cell r="B3126" t="str">
            <v>Ebook - pdf</v>
          </cell>
          <cell r="C3126">
            <v>9781474450508</v>
          </cell>
        </row>
        <row r="3127">
          <cell r="A3127" t="str">
            <v>War Power, Police Power</v>
          </cell>
          <cell r="B3127" t="str">
            <v>Ebook - pdf</v>
          </cell>
          <cell r="C3127">
            <v>9780748692385</v>
          </cell>
        </row>
        <row r="3128">
          <cell r="A3128" t="str">
            <v>Warlords and Holy Men: Scotland  AD80-1000</v>
          </cell>
          <cell r="B3128" t="str">
            <v>Ebook - pdf</v>
          </cell>
          <cell r="C3128">
            <v>9781474472739</v>
          </cell>
        </row>
        <row r="3129">
          <cell r="A3129" t="str">
            <v>Water Management in the English Landscape: Field, Marsh and Meadow</v>
          </cell>
          <cell r="B3129" t="str">
            <v>Ebook - pdf</v>
          </cell>
          <cell r="C3129">
            <v>9780585122847</v>
          </cell>
        </row>
        <row r="3130">
          <cell r="A3130" t="str">
            <v>Waverley</v>
          </cell>
          <cell r="B3130" t="str">
            <v>Ebook - pdf</v>
          </cell>
          <cell r="C3130">
            <v>9780748628315</v>
          </cell>
        </row>
        <row r="3131">
          <cell r="A3131" t="str">
            <v>Waverley</v>
          </cell>
          <cell r="B3131" t="str">
            <v>Ebook - pdf</v>
          </cell>
          <cell r="C3131">
            <v>9781474468343</v>
          </cell>
        </row>
        <row r="3132">
          <cell r="A3132" t="str">
            <v>We Have Never Been Postmodern: Theory at the Speed of Light</v>
          </cell>
          <cell r="B3132" t="str">
            <v>Ebook - pdf</v>
          </cell>
          <cell r="C3132">
            <v>9780748643455</v>
          </cell>
        </row>
        <row r="3133">
          <cell r="A3133" t="str">
            <v>We Ourselves: The Politics of Us, Letting Be II</v>
          </cell>
          <cell r="B3133" t="str">
            <v>Ebook - pdf</v>
          </cell>
          <cell r="C3133">
            <v>9781474475266</v>
          </cell>
        </row>
        <row r="3134">
          <cell r="A3134" t="str">
            <v>Weir of Hermiston, by Robert Louis Stevenson</v>
          </cell>
          <cell r="B3134" t="str">
            <v>Ebook - pdf</v>
          </cell>
          <cell r="C3134">
            <v>9781474405263</v>
          </cell>
        </row>
        <row r="3135">
          <cell r="A3135" t="str">
            <v>West Midlands English: Birmingham and the Black Country</v>
          </cell>
          <cell r="B3135" t="str">
            <v>Ebook - pdf</v>
          </cell>
          <cell r="C3135">
            <v>9780748685806</v>
          </cell>
        </row>
        <row r="3136">
          <cell r="A3136" t="str">
            <v>Western China on Screen: An Urban Exploration</v>
          </cell>
          <cell r="B3136" t="str">
            <v>Ebook - pdf</v>
          </cell>
          <cell r="C3136">
            <v>9781474477871</v>
          </cell>
        </row>
        <row r="3137">
          <cell r="A3137" t="str">
            <v>Whaleback City: Poems from Dundee and its Hinterlands</v>
          </cell>
          <cell r="B3137" t="str">
            <v>Ebook - pdf</v>
          </cell>
          <cell r="C3137">
            <v>9781474469531</v>
          </cell>
        </row>
        <row r="3138">
          <cell r="A3138" t="str">
            <v>What if Culture was Nature all Along?</v>
          </cell>
          <cell r="B3138" t="str">
            <v>Ebook - pdf</v>
          </cell>
          <cell r="C3138">
            <v>9781474419307</v>
          </cell>
        </row>
        <row r="3139">
          <cell r="A3139" t="str">
            <v>What if Derrida was wrong about Saussure?</v>
          </cell>
          <cell r="B3139" t="str">
            <v>Ebook - pdf</v>
          </cell>
          <cell r="C3139">
            <v>9780748644902</v>
          </cell>
        </row>
        <row r="3140">
          <cell r="A3140" t="str">
            <v>What is a Madrasa?</v>
          </cell>
          <cell r="B3140" t="str">
            <v>Ebook - pdf</v>
          </cell>
          <cell r="C3140">
            <v>9781474401753</v>
          </cell>
        </row>
        <row r="3141">
          <cell r="A3141" t="str">
            <v>What is Education?</v>
          </cell>
          <cell r="B3141" t="str">
            <v>Ebook - pdf</v>
          </cell>
          <cell r="C3141">
            <v>9780748675340</v>
          </cell>
        </row>
        <row r="3142">
          <cell r="A3142" t="str">
            <v>What is Veiling?</v>
          </cell>
          <cell r="B3142" t="str">
            <v>Ebook - pdf</v>
          </cell>
          <cell r="C3142">
            <v>9780748696826</v>
          </cell>
        </row>
        <row r="3143">
          <cell r="A3143" t="str">
            <v>Whatever Happened to Tory Scotland?</v>
          </cell>
          <cell r="B3143" t="str">
            <v>Ebook - pdf</v>
          </cell>
          <cell r="C3143">
            <v>9780748646883</v>
          </cell>
        </row>
        <row r="3144">
          <cell r="A3144" t="str">
            <v>Whitehead at Harvard, 1924–1925</v>
          </cell>
          <cell r="B3144" t="str">
            <v>Ebook - pdf</v>
          </cell>
          <cell r="C3144">
            <v>9781474459426</v>
          </cell>
        </row>
        <row r="3145">
          <cell r="A3145" t="str">
            <v>Whitehead's Metaphysics of Power: Reconstructing Modern Philosophy</v>
          </cell>
          <cell r="B3145" t="str">
            <v>Ebook - pdf</v>
          </cell>
          <cell r="C3145">
            <v>9781474404150</v>
          </cell>
        </row>
        <row r="3146">
          <cell r="A3146" t="str">
            <v>Who are the Scots &amp; The Scottish Nation</v>
          </cell>
          <cell r="B3146" t="str">
            <v>Ebook - pdf</v>
          </cell>
          <cell r="C3146">
            <v>9781474470988</v>
          </cell>
        </row>
        <row r="3147">
          <cell r="A3147" t="str">
            <v>Who is Allah?</v>
          </cell>
          <cell r="B3147" t="str">
            <v>Ebook - pdf</v>
          </cell>
          <cell r="C3147">
            <v>9781474401791</v>
          </cell>
        </row>
        <row r="3148">
          <cell r="A3148" t="str">
            <v>Who's in the Money?: The Great Depression Musicals and Hollywood’s New Deal</v>
          </cell>
          <cell r="B3148" t="str">
            <v>Ebook - pdf</v>
          </cell>
          <cell r="C3148">
            <v>9781474429429</v>
          </cell>
        </row>
        <row r="3149">
          <cell r="A3149" t="str">
            <v>William Hunter and the Hunterian Museum in Glasgow, 1807-2007</v>
          </cell>
          <cell r="B3149" t="str">
            <v>Ebook - pdf</v>
          </cell>
          <cell r="C3149">
            <v>9781474469784</v>
          </cell>
        </row>
        <row r="3150">
          <cell r="A3150" t="str">
            <v>William Morris and the Idea of Community: Romance, History and Propaganda, 1880–1914</v>
          </cell>
          <cell r="B3150" t="str">
            <v>Ebook - pdf</v>
          </cell>
          <cell r="C3150">
            <v>9780748643721</v>
          </cell>
        </row>
        <row r="3151">
          <cell r="A3151" t="str">
            <v>William Pitt and the French Revolution, 1785-1795</v>
          </cell>
          <cell r="B3151" t="str">
            <v>Ebook - pdf</v>
          </cell>
          <cell r="C3151">
            <v>9781474471121</v>
          </cell>
        </row>
        <row r="3152">
          <cell r="A3152" t="str">
            <v>William Wallace: A National Tale</v>
          </cell>
          <cell r="B3152" t="str">
            <v>Ebook - pdf</v>
          </cell>
          <cell r="C3152">
            <v>9780748685646</v>
          </cell>
        </row>
        <row r="3153">
          <cell r="A3153" t="str">
            <v>Winter Evening Tales</v>
          </cell>
          <cell r="B3153" t="str">
            <v>Ebook - pdf</v>
          </cell>
          <cell r="C3153">
            <v>9781474433822</v>
          </cell>
        </row>
        <row r="3154">
          <cell r="A3154" t="str">
            <v>Without Mastery: Reading and Other Forces</v>
          </cell>
          <cell r="B3154" t="str">
            <v>Ebook - pdf</v>
          </cell>
          <cell r="C3154">
            <v>9780748669981</v>
          </cell>
        </row>
        <row r="3155">
          <cell r="A3155" t="str">
            <v>Wittgenstein and Political Theory: The View from Somewhere</v>
          </cell>
          <cell r="B3155" t="str">
            <v>Ebook - pdf</v>
          </cell>
          <cell r="C3155">
            <v>9780748642137</v>
          </cell>
        </row>
        <row r="3156">
          <cell r="A3156" t="str">
            <v>Wittgenstein on Language and Thought: The Philosophy of Content</v>
          </cell>
          <cell r="B3156" t="str">
            <v>Ebook - pdf</v>
          </cell>
          <cell r="C3156">
            <v>9781474473248</v>
          </cell>
        </row>
        <row r="3157">
          <cell r="A3157" t="str">
            <v>Wittgenstein's Philosophical Investigations</v>
          </cell>
          <cell r="B3157" t="str">
            <v>Ebook - pdf</v>
          </cell>
          <cell r="C3157">
            <v>9780585069821</v>
          </cell>
        </row>
        <row r="3158">
          <cell r="A3158" t="str">
            <v>Women and Contemporary Scottish Politics: An Anthology</v>
          </cell>
          <cell r="B3158" t="str">
            <v>Ebook - pdf</v>
          </cell>
          <cell r="C3158">
            <v>9781474465403</v>
          </cell>
        </row>
        <row r="3159">
          <cell r="A3159" t="str">
            <v>Women and the Fatimids in the World of Islam</v>
          </cell>
          <cell r="B3159" t="str">
            <v>Ebook - pdf</v>
          </cell>
          <cell r="C3159">
            <v>9780748626298</v>
          </cell>
        </row>
        <row r="3160">
          <cell r="A3160" t="str">
            <v>Women and the Gothic: An Edinburgh Companion</v>
          </cell>
          <cell r="B3160" t="str">
            <v>Ebook - pdf</v>
          </cell>
          <cell r="C3160">
            <v>9780748699131</v>
          </cell>
        </row>
        <row r="3161">
          <cell r="A3161" t="str">
            <v>Women and the Railway, 1850-1915</v>
          </cell>
          <cell r="B3161" t="str">
            <v>Ebook - pdf</v>
          </cell>
          <cell r="C3161">
            <v>9780748676958</v>
          </cell>
        </row>
        <row r="3162">
          <cell r="A3162" t="str">
            <v>Women in Marvel Films</v>
          </cell>
          <cell r="B3162" t="str">
            <v>Ebook - pdf</v>
          </cell>
          <cell r="C3162">
            <v>9781474448840</v>
          </cell>
        </row>
        <row r="3163">
          <cell r="A3163" t="str">
            <v>Women in Mongol Iran: The Khatuns, 1206-1335</v>
          </cell>
          <cell r="B3163" t="str">
            <v>Ebook - pdf</v>
          </cell>
          <cell r="C3163">
            <v>9781474423403</v>
          </cell>
        </row>
        <row r="3164">
          <cell r="A3164" t="str">
            <v>Women in the Law Courts of Classical Athens</v>
          </cell>
          <cell r="B3164" t="str">
            <v>Ebook - pdf</v>
          </cell>
          <cell r="C3164">
            <v>9781474446747</v>
          </cell>
        </row>
        <row r="3165">
          <cell r="A3165" t="str">
            <v>Women in the Western</v>
          </cell>
          <cell r="B3165" t="str">
            <v>Ebook - pdf</v>
          </cell>
          <cell r="C3165">
            <v>9781474444156</v>
          </cell>
        </row>
        <row r="3166">
          <cell r="A3166" t="str">
            <v>Women of Ancient Greece</v>
          </cell>
          <cell r="B3166" t="str">
            <v>Ebook - pdf</v>
          </cell>
          <cell r="C3166">
            <v>9780748679843</v>
          </cell>
        </row>
        <row r="3167">
          <cell r="A3167" t="str">
            <v>Women Writers of the 1930s: Gender, Politics and History</v>
          </cell>
          <cell r="B3167" t="str">
            <v>Ebook - pdf</v>
          </cell>
          <cell r="C3167">
            <v>9780585122779</v>
          </cell>
        </row>
        <row r="3168">
          <cell r="A3168" t="str">
            <v>Women, Feminism and Media</v>
          </cell>
          <cell r="B3168" t="str">
            <v>Ebook - pdf</v>
          </cell>
          <cell r="C3168">
            <v>9780748629282</v>
          </cell>
        </row>
        <row r="3169">
          <cell r="A3169" t="str">
            <v>Women, Periodicals and Print Culture in Britain, 1830s-1900s: The Victorian Period</v>
          </cell>
          <cell r="B3169" t="str">
            <v>Ebook - pdf</v>
          </cell>
          <cell r="C3169">
            <v>9781474433921</v>
          </cell>
        </row>
        <row r="3170">
          <cell r="A3170" t="str">
            <v>Women, Periodicals and Print Culture in Britain, 1890s-1920s: The Modernist Period</v>
          </cell>
          <cell r="B3170" t="str">
            <v>Ebook - pdf</v>
          </cell>
          <cell r="C3170">
            <v>9781474450652</v>
          </cell>
        </row>
        <row r="3171">
          <cell r="A3171" t="str">
            <v>Women, Political Philosophy and Politics</v>
          </cell>
          <cell r="B3171" t="str">
            <v>Ebook - pdf</v>
          </cell>
          <cell r="C3171">
            <v>9781474472784</v>
          </cell>
        </row>
        <row r="3172">
          <cell r="A3172" t="str">
            <v>Women, Writing and the Iraqi Ba‘thist State: Contending Discourses of Resistance and Collaboration, 1968-2003</v>
          </cell>
          <cell r="B3172" t="str">
            <v>Ebook - pdf</v>
          </cell>
          <cell r="C3172">
            <v>9781474441773</v>
          </cell>
        </row>
        <row r="3173">
          <cell r="A3173" t="str">
            <v>Women's Fiction Between the Wars: Mothers, Daughters and Writing</v>
          </cell>
          <cell r="B3173" t="str">
            <v>Ebook - pdf</v>
          </cell>
          <cell r="C3173">
            <v>9781474469463</v>
          </cell>
        </row>
        <row r="3174">
          <cell r="A3174" t="str">
            <v>Women's Fiction of the Second World War: Gender, Power and Resistance</v>
          </cell>
          <cell r="B3174" t="str">
            <v>Ebook - pdf</v>
          </cell>
          <cell r="C3174">
            <v>9781474471701</v>
          </cell>
        </row>
        <row r="3175">
          <cell r="A3175" t="str">
            <v>Women's Periodicals and Print Culture in Britain, 1690-1820s: The Long Eighteenth Century</v>
          </cell>
          <cell r="B3175" t="str">
            <v>Ebook - pdf</v>
          </cell>
          <cell r="C3175">
            <v>9781474419666</v>
          </cell>
        </row>
        <row r="3176">
          <cell r="A3176" t="str">
            <v>Women's Periodicals and Print Culture in Britain, 1918-1939: The Interwar Period</v>
          </cell>
          <cell r="B3176" t="str">
            <v>Ebook - pdf</v>
          </cell>
          <cell r="C3176">
            <v>9781474412544</v>
          </cell>
        </row>
        <row r="3177">
          <cell r="A3177" t="str">
            <v>Women's Periodicals and Print Culture in Britain, 1940s-2000s: The Postwar and Contemporary Period</v>
          </cell>
          <cell r="B3177" t="str">
            <v>Ebook - pdf</v>
          </cell>
          <cell r="C3177">
            <v>9781474469999</v>
          </cell>
        </row>
        <row r="3178">
          <cell r="A3178" t="str">
            <v>Women's Poetry</v>
          </cell>
          <cell r="B3178" t="str">
            <v>Ebook - pdf</v>
          </cell>
          <cell r="C3178">
            <v>9780748629930</v>
          </cell>
        </row>
        <row r="3179">
          <cell r="A3179" t="str">
            <v>Women's Rights as Multicultural Claims: Reconfiguring Gender and Diversity in Political Philosophy</v>
          </cell>
          <cell r="B3179" t="str">
            <v>Ebook - pdf</v>
          </cell>
          <cell r="C3179">
            <v>9780748632312</v>
          </cell>
        </row>
        <row r="3180">
          <cell r="A3180" t="str">
            <v>Women's Writing of the Early Modern Period 1588-1688: An Anthology</v>
          </cell>
          <cell r="B3180" t="str">
            <v>Ebook - pdf</v>
          </cell>
          <cell r="C3180">
            <v>9781474497138</v>
          </cell>
        </row>
        <row r="3181">
          <cell r="A3181" t="str">
            <v>Women's Writing of the Victorian Period 1837-1901: An Anthology</v>
          </cell>
          <cell r="B3181" t="str">
            <v>Ebook - pdf</v>
          </cell>
          <cell r="C3181">
            <v>9781474469661</v>
          </cell>
        </row>
        <row r="3182">
          <cell r="A3182" t="str">
            <v>Woodstock</v>
          </cell>
          <cell r="B3182" t="str">
            <v>Ebook - pdf</v>
          </cell>
          <cell r="C3182">
            <v>9780748628308</v>
          </cell>
        </row>
        <row r="3183">
          <cell r="A3183" t="str">
            <v>Word And Image In Ancient Greece</v>
          </cell>
          <cell r="B3183" t="str">
            <v>Ebook - pdf</v>
          </cell>
          <cell r="C3183">
            <v>9780748679850</v>
          </cell>
        </row>
        <row r="3184">
          <cell r="A3184" t="str">
            <v>Working Feminism</v>
          </cell>
          <cell r="B3184" t="str">
            <v>Ebook - pdf</v>
          </cell>
          <cell r="C3184">
            <v>9781474471756</v>
          </cell>
        </row>
        <row r="3185">
          <cell r="A3185" t="str">
            <v>Working Title Films: A Creative and Commercial History</v>
          </cell>
          <cell r="B3185" t="str">
            <v>Ebook - pdf</v>
          </cell>
          <cell r="C3185">
            <v>9781474451956</v>
          </cell>
        </row>
        <row r="3186">
          <cell r="A3186" t="str">
            <v>Working with Walter Benjamin: Recovering a Political Philosophy</v>
          </cell>
          <cell r="B3186" t="str">
            <v>Ebook - pdf</v>
          </cell>
          <cell r="C3186">
            <v>9780748634354</v>
          </cell>
        </row>
        <row r="3187">
          <cell r="A3187" t="str">
            <v>World Cinema and the Essay Film: Transnational Perspectives on a Global Practice</v>
          </cell>
          <cell r="B3187" t="str">
            <v>Ebook - pdf</v>
          </cell>
          <cell r="C3187">
            <v>9781474429269</v>
          </cell>
        </row>
        <row r="3188">
          <cell r="A3188" t="str">
            <v>World Englishes at the Grassroots</v>
          </cell>
          <cell r="B3188" t="str">
            <v>Ebook - pdf</v>
          </cell>
          <cell r="C3188">
            <v>9781474467575</v>
          </cell>
        </row>
        <row r="3189">
          <cell r="A3189" t="str">
            <v>World Ethics: The New Agenda</v>
          </cell>
          <cell r="B3189" t="str">
            <v>Ebook - pdf</v>
          </cell>
          <cell r="C3189">
            <v>9780748632237</v>
          </cell>
        </row>
        <row r="3190">
          <cell r="A3190" t="str">
            <v>Worldlessness After Heidegger: Phenomenology, Psychoanalysis, Deconstruction</v>
          </cell>
          <cell r="B3190" t="str">
            <v>Ebook - pdf</v>
          </cell>
          <cell r="C3190">
            <v>9781474457637</v>
          </cell>
        </row>
        <row r="3191">
          <cell r="A3191" t="str">
            <v>Worldly Desires: Cosmopolitanism and Cinema in Hong Kong and Taiwan</v>
          </cell>
          <cell r="B3191" t="str">
            <v>Ebook - pdf</v>
          </cell>
          <cell r="C3191">
            <v>9781474428477</v>
          </cell>
        </row>
        <row r="3192">
          <cell r="A3192" t="str">
            <v>Worldly Shakespeare: The Theatre of Our Good Will</v>
          </cell>
          <cell r="B3192" t="str">
            <v>Ebook - pdf</v>
          </cell>
          <cell r="C3192">
            <v>9781474411332</v>
          </cell>
        </row>
        <row r="3193">
          <cell r="A3193" t="str">
            <v>Writing Beirut: Mappings of the City in the Modern Arabic Novel</v>
          </cell>
          <cell r="B3193" t="str">
            <v>Ebook - pdf</v>
          </cell>
          <cell r="C3193">
            <v>9780748696253</v>
          </cell>
        </row>
        <row r="3194">
          <cell r="A3194" t="str">
            <v>Writing Black Scotland: Race, Nation and the Devolution of Black Britain</v>
          </cell>
          <cell r="B3194" t="str">
            <v>Ebook - pdf</v>
          </cell>
          <cell r="C3194">
            <v>9781474461467</v>
          </cell>
        </row>
        <row r="3195">
          <cell r="A3195" t="str">
            <v>Writing for The New Yorker: Critical Essays on an American Periodical</v>
          </cell>
          <cell r="B3195" t="str">
            <v>Ebook - pdf</v>
          </cell>
          <cell r="C3195">
            <v>9780748682508</v>
          </cell>
        </row>
        <row r="3196">
          <cell r="A3196" t="str">
            <v>Writing Men: Literary Masculinities from Frankenstein to the New Man</v>
          </cell>
          <cell r="B3196" t="str">
            <v>Ebook - pdf</v>
          </cell>
          <cell r="C3196">
            <v>9781474472364</v>
          </cell>
        </row>
        <row r="3197">
          <cell r="A3197" t="str">
            <v>Writing Nature in Cold War American Literature</v>
          </cell>
          <cell r="B3197" t="str">
            <v>Ebook - pdf</v>
          </cell>
          <cell r="C3197">
            <v>9781474430043</v>
          </cell>
        </row>
        <row r="3198">
          <cell r="A3198" t="str">
            <v>Writing Shame: Gender, Contemporary Literature and Negative Affect</v>
          </cell>
          <cell r="B3198" t="str">
            <v>Ebook - pdf</v>
          </cell>
          <cell r="C3198">
            <v>9781474461863</v>
          </cell>
        </row>
        <row r="3199">
          <cell r="A3199" t="str">
            <v>Writing the Field Recording: Sound, Word, Environment</v>
          </cell>
          <cell r="B3199" t="str">
            <v>Ebook - pdf</v>
          </cell>
          <cell r="C3199">
            <v>9781474406703</v>
          </cell>
        </row>
        <row r="3200">
          <cell r="A3200" t="str">
            <v>Writing the Radio War: Literature, Politics, and the BBC, 1939-1945</v>
          </cell>
          <cell r="B3200" t="str">
            <v>Ebook - pdf</v>
          </cell>
          <cell r="C3200">
            <v>9781474413602</v>
          </cell>
        </row>
        <row r="3201">
          <cell r="A3201" t="str">
            <v>Writing the Sphinx: Literature, Culture and Egyptology</v>
          </cell>
          <cell r="B3201" t="str">
            <v>Ebook - pdf</v>
          </cell>
          <cell r="C3201">
            <v>9781474476263</v>
          </cell>
        </row>
        <row r="3202">
          <cell r="A3202" t="str">
            <v>Wrongful Damage to Property in Roman Law: British perspectives</v>
          </cell>
          <cell r="B3202" t="str">
            <v>Ebook - pdf</v>
          </cell>
          <cell r="C3202">
            <v>9781474434478</v>
          </cell>
        </row>
        <row r="3203">
          <cell r="A3203" t="str">
            <v>Wyndham Lewis: A Critical Guide</v>
          </cell>
          <cell r="B3203" t="str">
            <v>Ebook - pdf</v>
          </cell>
          <cell r="C3203">
            <v>9780748685691</v>
          </cell>
        </row>
        <row r="3204">
          <cell r="A3204" t="str">
            <v>Xenophobia and Islamophobia in Europe</v>
          </cell>
          <cell r="B3204" t="str">
            <v>Ebook - pdf</v>
          </cell>
          <cell r="C3204">
            <v>9780748654871</v>
          </cell>
        </row>
        <row r="3205">
          <cell r="A3205" t="str">
            <v>Yankee Yarns: Storytelling and the Invention of the National Body in Nineteenth-Century American Culture</v>
          </cell>
          <cell r="B3205" t="str">
            <v>Ebook - pdf</v>
          </cell>
          <cell r="C3205">
            <v>9781474477468</v>
          </cell>
        </row>
        <row r="3206">
          <cell r="A3206" t="str">
            <v>Young American Muslims: Dynamics of Identity</v>
          </cell>
          <cell r="B3206" t="str">
            <v>Ebook - pdf</v>
          </cell>
          <cell r="C3206">
            <v>9780748669943</v>
          </cell>
        </row>
        <row r="3207">
          <cell r="A3207" t="str">
            <v>Young British Muslims: Identity, Culture, Politics and the Media</v>
          </cell>
          <cell r="B3207" t="str">
            <v>Ebook - pdf</v>
          </cell>
          <cell r="C3207">
            <v>9780748643738</v>
          </cell>
        </row>
        <row r="3208">
          <cell r="A3208" t="str">
            <v>Zizek and Communist Strategy: On the Disavowed Foundations of Global Capitalism</v>
          </cell>
          <cell r="B3208" t="str">
            <v>Ebook - pdf</v>
          </cell>
          <cell r="C3208">
            <v>9780748646654</v>
          </cell>
        </row>
        <row r="3209">
          <cell r="A3209" t="str">
            <v>Zizek and Politics: A Critical Introduction</v>
          </cell>
          <cell r="B3209" t="str">
            <v>Ebook - pdf</v>
          </cell>
          <cell r="C3209">
            <v>9780748642229</v>
          </cell>
        </row>
        <row r="3210">
          <cell r="A3210" t="str">
            <v>Zoroastrian Scholasticism in Late Antiquity: The Pahlavi version of the Yasna Haptaŋhāiti</v>
          </cell>
          <cell r="B3210" t="str">
            <v>Ebook - pdf</v>
          </cell>
          <cell r="C3210">
            <v>9781474442909</v>
          </cell>
        </row>
      </sheetData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513B61-3E29-4224-9685-3B60403EC8EC}">
  <dimension ref="A1:AO4167"/>
  <sheetViews>
    <sheetView tabSelected="1" workbookViewId="0">
      <selection activeCell="J8" sqref="J8"/>
    </sheetView>
  </sheetViews>
  <sheetFormatPr defaultRowHeight="14.4" x14ac:dyDescent="0.3"/>
  <sheetData>
    <row r="1" spans="1:41" s="5" customFormat="1" ht="57.6" x14ac:dyDescent="0.3">
      <c r="A1" s="4" t="s">
        <v>19600</v>
      </c>
      <c r="B1" s="5" t="s">
        <v>19601</v>
      </c>
      <c r="C1" s="5" t="s">
        <v>19602</v>
      </c>
      <c r="D1" s="6" t="s">
        <v>19603</v>
      </c>
      <c r="E1" s="5" t="s">
        <v>19604</v>
      </c>
      <c r="F1" s="5" t="s">
        <v>19605</v>
      </c>
      <c r="G1" s="5" t="s">
        <v>19606</v>
      </c>
      <c r="H1" s="5" t="s">
        <v>16123</v>
      </c>
      <c r="I1" s="5" t="s">
        <v>19607</v>
      </c>
      <c r="J1" s="7" t="s">
        <v>19608</v>
      </c>
      <c r="K1" s="7" t="s">
        <v>19609</v>
      </c>
      <c r="L1" s="5" t="s">
        <v>19610</v>
      </c>
      <c r="M1" s="5" t="s">
        <v>19611</v>
      </c>
      <c r="N1" s="5" t="s">
        <v>19612</v>
      </c>
      <c r="O1" s="5" t="s">
        <v>19613</v>
      </c>
      <c r="P1" s="5" t="s">
        <v>19614</v>
      </c>
      <c r="Q1" s="5" t="s">
        <v>19615</v>
      </c>
      <c r="R1" s="6" t="s">
        <v>19616</v>
      </c>
      <c r="S1" s="6" t="s">
        <v>19617</v>
      </c>
      <c r="T1" s="6" t="s">
        <v>19618</v>
      </c>
      <c r="U1" s="6" t="s">
        <v>19619</v>
      </c>
      <c r="V1" s="8" t="s">
        <v>19620</v>
      </c>
      <c r="W1" s="8" t="s">
        <v>19621</v>
      </c>
      <c r="X1" s="8" t="s">
        <v>19622</v>
      </c>
      <c r="Y1" s="5" t="s">
        <v>19623</v>
      </c>
      <c r="Z1" s="6" t="s">
        <v>19624</v>
      </c>
      <c r="AA1" s="9" t="s">
        <v>19625</v>
      </c>
      <c r="AB1" s="8" t="s">
        <v>19626</v>
      </c>
      <c r="AC1" s="8" t="s">
        <v>19627</v>
      </c>
      <c r="AD1" s="8" t="s">
        <v>19628</v>
      </c>
      <c r="AE1" s="7" t="s">
        <v>19629</v>
      </c>
      <c r="AF1" s="5" t="s">
        <v>19630</v>
      </c>
      <c r="AG1" s="5" t="s">
        <v>19631</v>
      </c>
      <c r="AH1" s="10" t="s">
        <v>19632</v>
      </c>
      <c r="AI1" s="5" t="s">
        <v>19633</v>
      </c>
      <c r="AJ1" s="5" t="s">
        <v>19634</v>
      </c>
      <c r="AK1" s="5" t="s">
        <v>19635</v>
      </c>
      <c r="AL1" s="5" t="s">
        <v>19636</v>
      </c>
      <c r="AM1" s="5" t="s">
        <v>19637</v>
      </c>
      <c r="AN1" s="4" t="s">
        <v>19638</v>
      </c>
      <c r="AO1" s="5" t="s">
        <v>19639</v>
      </c>
    </row>
    <row r="2" spans="1:41" x14ac:dyDescent="0.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L2" t="s">
        <v>7</v>
      </c>
      <c r="M2">
        <v>2020</v>
      </c>
      <c r="N2" s="1">
        <v>44644</v>
      </c>
      <c r="O2" t="s">
        <v>8</v>
      </c>
      <c r="P2">
        <v>1</v>
      </c>
      <c r="S2">
        <v>227.95</v>
      </c>
      <c r="T2">
        <v>260</v>
      </c>
      <c r="U2">
        <v>200</v>
      </c>
      <c r="V2" t="s">
        <v>9</v>
      </c>
      <c r="W2" t="s">
        <v>10</v>
      </c>
      <c r="X2" t="s">
        <v>11</v>
      </c>
      <c r="Y2" t="s">
        <v>12</v>
      </c>
      <c r="AF2" t="s">
        <v>13</v>
      </c>
      <c r="AG2" t="str">
        <f>HYPERLINK("https://doi.org/10.1515/9781474460705")</f>
        <v>https://doi.org/10.1515/9781474460705</v>
      </c>
      <c r="AH2" t="str">
        <f>HYPERLINK("http://www.degruyter.com/isbn/9781474460705")</f>
        <v>http://www.degruyter.com/isbn/9781474460705</v>
      </c>
      <c r="AI2" t="s">
        <v>14</v>
      </c>
      <c r="AL2" t="s">
        <v>15</v>
      </c>
      <c r="AM2">
        <v>1</v>
      </c>
      <c r="AN2" s="2">
        <v>9781474460682</v>
      </c>
    </row>
    <row r="3" spans="1:41" x14ac:dyDescent="0.3">
      <c r="A3" t="s">
        <v>16</v>
      </c>
      <c r="B3" t="s">
        <v>1</v>
      </c>
      <c r="C3" t="s">
        <v>17</v>
      </c>
      <c r="E3" t="s">
        <v>18</v>
      </c>
      <c r="F3" t="s">
        <v>5</v>
      </c>
      <c r="G3" t="s">
        <v>6</v>
      </c>
      <c r="L3" t="s">
        <v>7</v>
      </c>
      <c r="M3">
        <v>1994</v>
      </c>
      <c r="N3" s="1">
        <v>44719</v>
      </c>
      <c r="O3" t="s">
        <v>19</v>
      </c>
      <c r="P3">
        <v>1</v>
      </c>
      <c r="S3">
        <v>331.95</v>
      </c>
      <c r="T3">
        <v>380</v>
      </c>
      <c r="U3">
        <v>290</v>
      </c>
      <c r="V3" t="s">
        <v>20</v>
      </c>
      <c r="W3" t="s">
        <v>21</v>
      </c>
      <c r="X3" t="s">
        <v>22</v>
      </c>
      <c r="Y3" t="s">
        <v>23</v>
      </c>
      <c r="AF3" t="s">
        <v>13</v>
      </c>
      <c r="AG3" t="str">
        <f>HYPERLINK("https://doi.org/10.1515/9781474465953")</f>
        <v>https://doi.org/10.1515/9781474465953</v>
      </c>
      <c r="AH3" t="str">
        <f>HYPERLINK("http://www.degruyter.com/isbn/9781474465953")</f>
        <v>http://www.degruyter.com/isbn/9781474465953</v>
      </c>
      <c r="AI3" t="s">
        <v>24</v>
      </c>
      <c r="AL3" t="s">
        <v>15</v>
      </c>
      <c r="AM3">
        <v>1</v>
      </c>
      <c r="AN3" s="2">
        <v>9781853310911</v>
      </c>
    </row>
    <row r="4" spans="1:41" x14ac:dyDescent="0.3">
      <c r="A4" t="s">
        <v>25</v>
      </c>
      <c r="B4" t="s">
        <v>1</v>
      </c>
      <c r="C4" t="s">
        <v>26</v>
      </c>
      <c r="D4" t="s">
        <v>27</v>
      </c>
      <c r="E4" t="s">
        <v>28</v>
      </c>
      <c r="F4" t="s">
        <v>5</v>
      </c>
      <c r="G4" t="s">
        <v>6</v>
      </c>
      <c r="L4" t="s">
        <v>7</v>
      </c>
      <c r="M4">
        <v>2015</v>
      </c>
      <c r="N4" s="1">
        <v>42139</v>
      </c>
      <c r="O4" t="s">
        <v>29</v>
      </c>
      <c r="P4">
        <v>1</v>
      </c>
      <c r="S4">
        <v>253.95</v>
      </c>
      <c r="T4">
        <v>290</v>
      </c>
      <c r="U4">
        <v>220</v>
      </c>
      <c r="V4" t="s">
        <v>30</v>
      </c>
      <c r="W4" t="s">
        <v>31</v>
      </c>
      <c r="X4" t="s">
        <v>32</v>
      </c>
      <c r="Y4" t="s">
        <v>33</v>
      </c>
      <c r="AF4" t="s">
        <v>13</v>
      </c>
      <c r="AG4" t="str">
        <f>HYPERLINK("https://doi.org/10.1515/9780748683895")</f>
        <v>https://doi.org/10.1515/9780748683895</v>
      </c>
      <c r="AH4" t="str">
        <f>HYPERLINK("http://www.degruyter.com/isbn/9780748683895")</f>
        <v>http://www.degruyter.com/isbn/9780748683895</v>
      </c>
      <c r="AI4" t="s">
        <v>34</v>
      </c>
      <c r="AJ4" t="s">
        <v>35</v>
      </c>
      <c r="AL4" t="s">
        <v>36</v>
      </c>
      <c r="AM4">
        <v>1</v>
      </c>
      <c r="AN4" s="2">
        <v>9780748683871</v>
      </c>
    </row>
    <row r="5" spans="1:41" x14ac:dyDescent="0.3">
      <c r="A5" t="s">
        <v>37</v>
      </c>
      <c r="B5" t="s">
        <v>1</v>
      </c>
      <c r="C5" t="s">
        <v>38</v>
      </c>
      <c r="D5" t="s">
        <v>39</v>
      </c>
      <c r="E5" t="s">
        <v>40</v>
      </c>
      <c r="F5" t="s">
        <v>5</v>
      </c>
      <c r="G5" t="s">
        <v>6</v>
      </c>
      <c r="L5" t="s">
        <v>7</v>
      </c>
      <c r="M5">
        <v>2018</v>
      </c>
      <c r="N5" s="1">
        <v>44644</v>
      </c>
      <c r="O5" t="s">
        <v>41</v>
      </c>
      <c r="P5">
        <v>1</v>
      </c>
      <c r="S5">
        <v>217.95</v>
      </c>
      <c r="T5">
        <v>250</v>
      </c>
      <c r="U5">
        <v>190</v>
      </c>
      <c r="V5" t="s">
        <v>42</v>
      </c>
      <c r="W5" t="s">
        <v>43</v>
      </c>
      <c r="X5" t="s">
        <v>44</v>
      </c>
      <c r="Y5" t="s">
        <v>45</v>
      </c>
      <c r="AF5" t="s">
        <v>13</v>
      </c>
      <c r="AG5" t="str">
        <f>HYPERLINK("https://doi.org/10.1515/9780748693597?locatt=mode:legacy")</f>
        <v>https://doi.org/10.1515/9780748693597?locatt=mode:legacy</v>
      </c>
      <c r="AH5" t="str">
        <f>HYPERLINK("http://www.degruyter.com/isbn/9780748693597")</f>
        <v>http://www.degruyter.com/isbn/9780748693597</v>
      </c>
      <c r="AI5" t="s">
        <v>46</v>
      </c>
      <c r="AL5" t="s">
        <v>47</v>
      </c>
      <c r="AM5">
        <v>1</v>
      </c>
      <c r="AN5" s="2">
        <v>9780748693580</v>
      </c>
    </row>
    <row r="6" spans="1:41" x14ac:dyDescent="0.3">
      <c r="A6" t="s">
        <v>48</v>
      </c>
      <c r="B6" t="s">
        <v>1</v>
      </c>
      <c r="C6" t="s">
        <v>49</v>
      </c>
      <c r="E6" t="s">
        <v>50</v>
      </c>
      <c r="F6" t="s">
        <v>5</v>
      </c>
      <c r="G6" t="s">
        <v>6</v>
      </c>
      <c r="L6" t="s">
        <v>7</v>
      </c>
      <c r="M6">
        <v>2018</v>
      </c>
      <c r="N6" s="1">
        <v>44644</v>
      </c>
      <c r="O6" t="s">
        <v>51</v>
      </c>
      <c r="P6">
        <v>1</v>
      </c>
      <c r="S6">
        <v>217.95</v>
      </c>
      <c r="T6">
        <v>250</v>
      </c>
      <c r="U6">
        <v>190</v>
      </c>
      <c r="V6" t="s">
        <v>9</v>
      </c>
      <c r="W6" t="s">
        <v>10</v>
      </c>
      <c r="X6" t="s">
        <v>11</v>
      </c>
      <c r="Y6" t="s">
        <v>52</v>
      </c>
      <c r="AF6" t="s">
        <v>13</v>
      </c>
      <c r="AG6" t="str">
        <f>HYPERLINK("https://doi.org/10.1515/9781474411493")</f>
        <v>https://doi.org/10.1515/9781474411493</v>
      </c>
      <c r="AH6" t="str">
        <f>HYPERLINK("http://www.degruyter.com/isbn/9781474411493")</f>
        <v>http://www.degruyter.com/isbn/9781474411493</v>
      </c>
      <c r="AI6" t="s">
        <v>46</v>
      </c>
      <c r="AJ6" t="s">
        <v>35</v>
      </c>
      <c r="AL6" t="s">
        <v>53</v>
      </c>
      <c r="AM6">
        <v>1</v>
      </c>
      <c r="AN6" s="2">
        <v>9781474411486</v>
      </c>
    </row>
    <row r="7" spans="1:41" x14ac:dyDescent="0.3">
      <c r="A7" t="s">
        <v>54</v>
      </c>
      <c r="B7" t="s">
        <v>1</v>
      </c>
      <c r="C7" t="s">
        <v>55</v>
      </c>
      <c r="E7" t="s">
        <v>56</v>
      </c>
      <c r="F7" t="s">
        <v>5</v>
      </c>
      <c r="G7" t="s">
        <v>6</v>
      </c>
      <c r="L7" t="s">
        <v>7</v>
      </c>
      <c r="M7">
        <v>1996</v>
      </c>
      <c r="N7" s="1">
        <v>44719</v>
      </c>
      <c r="O7" t="s">
        <v>57</v>
      </c>
      <c r="P7">
        <v>1</v>
      </c>
      <c r="S7">
        <v>243.95</v>
      </c>
      <c r="T7">
        <v>280</v>
      </c>
      <c r="U7">
        <v>210</v>
      </c>
      <c r="V7" t="s">
        <v>58</v>
      </c>
      <c r="W7" t="s">
        <v>59</v>
      </c>
      <c r="X7" t="s">
        <v>60</v>
      </c>
      <c r="Y7" t="s">
        <v>61</v>
      </c>
      <c r="AF7" t="s">
        <v>13</v>
      </c>
      <c r="AG7" t="str">
        <f>HYPERLINK("https://doi.org/10.1515/9781474467919")</f>
        <v>https://doi.org/10.1515/9781474467919</v>
      </c>
      <c r="AH7" t="str">
        <f>HYPERLINK("http://www.degruyter.com/isbn/9781474467919")</f>
        <v>http://www.degruyter.com/isbn/9781474467919</v>
      </c>
      <c r="AI7" t="s">
        <v>24</v>
      </c>
      <c r="AL7" t="s">
        <v>62</v>
      </c>
      <c r="AM7">
        <v>1</v>
      </c>
      <c r="AN7" s="2">
        <v>9781853311123</v>
      </c>
    </row>
    <row r="8" spans="1:41" x14ac:dyDescent="0.3">
      <c r="A8" t="s">
        <v>63</v>
      </c>
      <c r="B8" t="s">
        <v>1</v>
      </c>
      <c r="C8" t="s">
        <v>64</v>
      </c>
      <c r="D8" t="s">
        <v>65</v>
      </c>
      <c r="E8" t="s">
        <v>66</v>
      </c>
      <c r="F8" t="s">
        <v>5</v>
      </c>
      <c r="G8" t="s">
        <v>6</v>
      </c>
      <c r="L8" t="s">
        <v>7</v>
      </c>
      <c r="M8">
        <v>2009</v>
      </c>
      <c r="N8" s="1">
        <v>44607</v>
      </c>
      <c r="O8" t="s">
        <v>67</v>
      </c>
      <c r="P8">
        <v>1</v>
      </c>
      <c r="S8">
        <v>217.95</v>
      </c>
      <c r="T8">
        <v>250</v>
      </c>
      <c r="U8">
        <v>190</v>
      </c>
      <c r="V8" t="s">
        <v>20</v>
      </c>
      <c r="W8" t="s">
        <v>21</v>
      </c>
      <c r="X8" t="s">
        <v>22</v>
      </c>
      <c r="Y8" t="s">
        <v>23</v>
      </c>
      <c r="AF8" t="s">
        <v>13</v>
      </c>
      <c r="AG8" t="str">
        <f>HYPERLINK("https://doi.org/10.1515/9781474467865")</f>
        <v>https://doi.org/10.1515/9781474467865</v>
      </c>
      <c r="AH8" t="str">
        <f>HYPERLINK("http://www.degruyter.com/isbn/9781474467865")</f>
        <v>http://www.degruyter.com/isbn/9781474467865</v>
      </c>
      <c r="AI8" t="s">
        <v>68</v>
      </c>
      <c r="AL8" t="s">
        <v>15</v>
      </c>
      <c r="AM8">
        <v>1</v>
      </c>
      <c r="AN8" s="2">
        <v>9781845860554</v>
      </c>
    </row>
    <row r="9" spans="1:41" x14ac:dyDescent="0.3">
      <c r="A9" t="s">
        <v>69</v>
      </c>
      <c r="B9" t="s">
        <v>1</v>
      </c>
      <c r="C9" t="s">
        <v>70</v>
      </c>
      <c r="E9" t="s">
        <v>71</v>
      </c>
      <c r="F9" t="s">
        <v>5</v>
      </c>
      <c r="G9" t="s">
        <v>6</v>
      </c>
      <c r="L9" t="s">
        <v>7</v>
      </c>
      <c r="M9">
        <v>2008</v>
      </c>
      <c r="N9" s="1">
        <v>39756</v>
      </c>
      <c r="O9" t="s">
        <v>72</v>
      </c>
      <c r="P9">
        <v>1</v>
      </c>
      <c r="S9">
        <v>217.95</v>
      </c>
      <c r="T9">
        <v>250</v>
      </c>
      <c r="U9">
        <v>190</v>
      </c>
      <c r="V9" t="s">
        <v>58</v>
      </c>
      <c r="W9" t="s">
        <v>59</v>
      </c>
      <c r="X9" t="s">
        <v>60</v>
      </c>
      <c r="Y9" t="s">
        <v>73</v>
      </c>
      <c r="AF9" t="s">
        <v>13</v>
      </c>
      <c r="AG9" t="str">
        <f>HYPERLINK("https://doi.org/10.1515/9781474470308?locatt=mode:legacy")</f>
        <v>https://doi.org/10.1515/9781474470308?locatt=mode:legacy</v>
      </c>
      <c r="AH9" t="str">
        <f>HYPERLINK("http://www.degruyter.com/isbn/9781474470308")</f>
        <v>http://www.degruyter.com/isbn/9781474470308</v>
      </c>
      <c r="AI9" t="s">
        <v>68</v>
      </c>
      <c r="AL9" t="s">
        <v>62</v>
      </c>
      <c r="AM9">
        <v>1</v>
      </c>
      <c r="AN9" s="2">
        <v>9780748633999</v>
      </c>
    </row>
    <row r="10" spans="1:41" x14ac:dyDescent="0.3">
      <c r="A10" t="s">
        <v>74</v>
      </c>
      <c r="B10" t="s">
        <v>1</v>
      </c>
      <c r="C10" t="s">
        <v>75</v>
      </c>
      <c r="D10" t="s">
        <v>76</v>
      </c>
      <c r="E10" t="s">
        <v>77</v>
      </c>
      <c r="F10" t="s">
        <v>5</v>
      </c>
      <c r="G10" t="s">
        <v>6</v>
      </c>
      <c r="L10" t="s">
        <v>7</v>
      </c>
      <c r="M10">
        <v>2021</v>
      </c>
      <c r="N10" s="1">
        <v>44644</v>
      </c>
      <c r="O10" t="s">
        <v>78</v>
      </c>
      <c r="P10">
        <v>1</v>
      </c>
      <c r="S10">
        <v>253.95</v>
      </c>
      <c r="T10">
        <v>290</v>
      </c>
      <c r="U10">
        <v>220</v>
      </c>
      <c r="V10" t="s">
        <v>79</v>
      </c>
      <c r="W10" t="s">
        <v>80</v>
      </c>
      <c r="X10" t="s">
        <v>80</v>
      </c>
      <c r="Y10" t="s">
        <v>81</v>
      </c>
      <c r="AF10" t="s">
        <v>13</v>
      </c>
      <c r="AG10" t="str">
        <f>HYPERLINK("https://doi.org/10.1515/9781474485289")</f>
        <v>https://doi.org/10.1515/9781474485289</v>
      </c>
      <c r="AH10" t="str">
        <f>HYPERLINK("http://www.degruyter.com/isbn/9781474485289")</f>
        <v>http://www.degruyter.com/isbn/9781474485289</v>
      </c>
      <c r="AI10" t="s">
        <v>82</v>
      </c>
      <c r="AL10" t="s">
        <v>83</v>
      </c>
      <c r="AM10">
        <v>1</v>
      </c>
      <c r="AN10" s="2">
        <v>9781474485265</v>
      </c>
    </row>
    <row r="11" spans="1:41" x14ac:dyDescent="0.3">
      <c r="A11" t="s">
        <v>84</v>
      </c>
      <c r="B11" t="s">
        <v>1</v>
      </c>
      <c r="C11" t="s">
        <v>85</v>
      </c>
      <c r="D11" t="s">
        <v>86</v>
      </c>
      <c r="E11" t="s">
        <v>87</v>
      </c>
      <c r="F11" t="s">
        <v>5</v>
      </c>
      <c r="G11" t="s">
        <v>6</v>
      </c>
      <c r="L11" t="s">
        <v>7</v>
      </c>
      <c r="M11">
        <v>1990</v>
      </c>
      <c r="N11" s="1">
        <v>44599</v>
      </c>
      <c r="O11" t="s">
        <v>88</v>
      </c>
      <c r="P11">
        <v>1</v>
      </c>
      <c r="S11">
        <v>295.95</v>
      </c>
      <c r="T11">
        <v>340</v>
      </c>
      <c r="U11">
        <v>260</v>
      </c>
      <c r="V11" t="s">
        <v>89</v>
      </c>
      <c r="W11" t="s">
        <v>90</v>
      </c>
      <c r="X11" t="s">
        <v>91</v>
      </c>
      <c r="Y11" t="s">
        <v>92</v>
      </c>
      <c r="AF11" t="s">
        <v>13</v>
      </c>
      <c r="AG11" t="str">
        <f>HYPERLINK("https://doi.org/10.1515/9781474465571")</f>
        <v>https://doi.org/10.1515/9781474465571</v>
      </c>
      <c r="AH11" t="str">
        <f>HYPERLINK("http://www.degruyter.com/isbn/9781474465571")</f>
        <v>http://www.degruyter.com/isbn/9781474465571</v>
      </c>
      <c r="AI11" t="s">
        <v>24</v>
      </c>
      <c r="AL11" t="s">
        <v>83</v>
      </c>
      <c r="AM11">
        <v>1</v>
      </c>
      <c r="AN11" s="2">
        <v>9780748601080</v>
      </c>
    </row>
    <row r="12" spans="1:41" x14ac:dyDescent="0.3">
      <c r="A12" t="s">
        <v>93</v>
      </c>
      <c r="B12" t="s">
        <v>1</v>
      </c>
      <c r="C12" t="s">
        <v>94</v>
      </c>
      <c r="D12" t="s">
        <v>95</v>
      </c>
      <c r="E12" t="s">
        <v>96</v>
      </c>
      <c r="F12" t="s">
        <v>5</v>
      </c>
      <c r="G12" t="s">
        <v>6</v>
      </c>
      <c r="L12" t="s">
        <v>7</v>
      </c>
      <c r="M12">
        <v>1998</v>
      </c>
      <c r="N12" s="1">
        <v>44607</v>
      </c>
      <c r="O12" t="s">
        <v>97</v>
      </c>
      <c r="P12">
        <v>1</v>
      </c>
      <c r="S12">
        <v>217.95</v>
      </c>
      <c r="T12">
        <v>250</v>
      </c>
      <c r="U12">
        <v>190</v>
      </c>
      <c r="V12" t="s">
        <v>98</v>
      </c>
      <c r="W12" t="s">
        <v>99</v>
      </c>
      <c r="X12" t="s">
        <v>100</v>
      </c>
      <c r="Y12" t="s">
        <v>101</v>
      </c>
      <c r="AF12" t="s">
        <v>13</v>
      </c>
      <c r="AG12" t="str">
        <f>HYPERLINK("https://doi.org/10.1515/9781474468367")</f>
        <v>https://doi.org/10.1515/9781474468367</v>
      </c>
      <c r="AH12" t="str">
        <f>HYPERLINK("http://www.degruyter.com/isbn/9781474468367")</f>
        <v>http://www.degruyter.com/isbn/9781474468367</v>
      </c>
      <c r="AI12" t="s">
        <v>24</v>
      </c>
      <c r="AL12" t="s">
        <v>102</v>
      </c>
      <c r="AM12">
        <v>1</v>
      </c>
      <c r="AN12" s="2">
        <v>9780748611362</v>
      </c>
    </row>
    <row r="13" spans="1:41" x14ac:dyDescent="0.3">
      <c r="A13" t="s">
        <v>103</v>
      </c>
      <c r="B13" t="s">
        <v>1</v>
      </c>
      <c r="C13" t="s">
        <v>104</v>
      </c>
      <c r="E13" t="s">
        <v>105</v>
      </c>
      <c r="F13" t="s">
        <v>5</v>
      </c>
      <c r="G13" t="s">
        <v>6</v>
      </c>
      <c r="L13" t="s">
        <v>7</v>
      </c>
      <c r="M13">
        <v>2021</v>
      </c>
      <c r="N13" s="1">
        <v>44656</v>
      </c>
      <c r="O13" t="s">
        <v>106</v>
      </c>
      <c r="P13">
        <v>1</v>
      </c>
      <c r="S13">
        <v>79.95</v>
      </c>
      <c r="T13">
        <v>89.95</v>
      </c>
      <c r="U13">
        <v>70</v>
      </c>
      <c r="V13" t="s">
        <v>42</v>
      </c>
      <c r="W13" t="s">
        <v>107</v>
      </c>
      <c r="X13" t="s">
        <v>108</v>
      </c>
      <c r="Y13" t="s">
        <v>109</v>
      </c>
      <c r="AF13" t="s">
        <v>13</v>
      </c>
      <c r="AG13" t="str">
        <f>HYPERLINK("https://doi.org/10.1515/9781474478656")</f>
        <v>https://doi.org/10.1515/9781474478656</v>
      </c>
      <c r="AH13" t="str">
        <f>HYPERLINK("http://www.degruyter.com/isbn/9781474478656")</f>
        <v>http://www.degruyter.com/isbn/9781474478656</v>
      </c>
      <c r="AI13" t="s">
        <v>110</v>
      </c>
      <c r="AL13" t="s">
        <v>47</v>
      </c>
      <c r="AM13">
        <v>1</v>
      </c>
      <c r="AN13" s="2">
        <v>9781474478632</v>
      </c>
    </row>
    <row r="14" spans="1:41" x14ac:dyDescent="0.3">
      <c r="A14" t="s">
        <v>111</v>
      </c>
      <c r="B14" t="s">
        <v>1</v>
      </c>
      <c r="C14" t="s">
        <v>112</v>
      </c>
      <c r="D14" t="s">
        <v>113</v>
      </c>
      <c r="E14" t="s">
        <v>114</v>
      </c>
      <c r="F14" t="s">
        <v>5</v>
      </c>
      <c r="G14" t="s">
        <v>6</v>
      </c>
      <c r="L14" t="s">
        <v>7</v>
      </c>
      <c r="M14">
        <v>2014</v>
      </c>
      <c r="N14" s="1">
        <v>41841</v>
      </c>
      <c r="O14" t="s">
        <v>115</v>
      </c>
      <c r="P14">
        <v>1</v>
      </c>
      <c r="S14">
        <v>217.95</v>
      </c>
      <c r="T14">
        <v>250</v>
      </c>
      <c r="U14">
        <v>190</v>
      </c>
      <c r="V14" t="s">
        <v>42</v>
      </c>
      <c r="W14" t="s">
        <v>116</v>
      </c>
      <c r="X14" t="s">
        <v>116</v>
      </c>
      <c r="Y14" t="s">
        <v>117</v>
      </c>
      <c r="AF14" t="s">
        <v>13</v>
      </c>
      <c r="AG14" t="str">
        <f>HYPERLINK("https://doi.org/10.1515/9780748669424")</f>
        <v>https://doi.org/10.1515/9780748669424</v>
      </c>
      <c r="AH14" t="str">
        <f>HYPERLINK("http://www.degruyter.com/isbn/9780748669424")</f>
        <v>http://www.degruyter.com/isbn/9780748669424</v>
      </c>
      <c r="AI14" t="s">
        <v>34</v>
      </c>
      <c r="AL14" t="s">
        <v>47</v>
      </c>
      <c r="AM14">
        <v>1</v>
      </c>
      <c r="AN14" s="2">
        <v>9780748669417</v>
      </c>
    </row>
    <row r="15" spans="1:41" x14ac:dyDescent="0.3">
      <c r="A15" t="s">
        <v>118</v>
      </c>
      <c r="B15" t="s">
        <v>1</v>
      </c>
      <c r="C15" t="s">
        <v>119</v>
      </c>
      <c r="D15" t="s">
        <v>120</v>
      </c>
      <c r="E15" t="s">
        <v>121</v>
      </c>
      <c r="F15" t="s">
        <v>5</v>
      </c>
      <c r="G15" t="s">
        <v>6</v>
      </c>
      <c r="L15" t="s">
        <v>7</v>
      </c>
      <c r="M15">
        <v>2008</v>
      </c>
      <c r="N15" s="1">
        <v>39623</v>
      </c>
      <c r="O15" t="s">
        <v>122</v>
      </c>
      <c r="P15">
        <v>1</v>
      </c>
      <c r="S15">
        <v>253.95</v>
      </c>
      <c r="T15">
        <v>290</v>
      </c>
      <c r="U15">
        <v>220</v>
      </c>
      <c r="V15" t="s">
        <v>79</v>
      </c>
      <c r="W15" t="s">
        <v>123</v>
      </c>
      <c r="X15" t="s">
        <v>123</v>
      </c>
      <c r="Y15" t="s">
        <v>124</v>
      </c>
      <c r="AF15" t="s">
        <v>13</v>
      </c>
      <c r="AG15" t="str">
        <f>HYPERLINK("https://doi.org/10.1515/9780748635337")</f>
        <v>https://doi.org/10.1515/9780748635337</v>
      </c>
      <c r="AH15" t="str">
        <f>HYPERLINK("http://www.degruyter.com/isbn/9780748635337")</f>
        <v>http://www.degruyter.com/isbn/9780748635337</v>
      </c>
      <c r="AI15" t="s">
        <v>68</v>
      </c>
      <c r="AL15" t="s">
        <v>83</v>
      </c>
      <c r="AM15">
        <v>1</v>
      </c>
      <c r="AN15" s="2">
        <v>9780748635320</v>
      </c>
    </row>
    <row r="16" spans="1:41" x14ac:dyDescent="0.3">
      <c r="A16" t="s">
        <v>125</v>
      </c>
      <c r="B16" t="s">
        <v>1</v>
      </c>
      <c r="C16" t="s">
        <v>126</v>
      </c>
      <c r="E16" t="s">
        <v>127</v>
      </c>
      <c r="F16" t="s">
        <v>5</v>
      </c>
      <c r="G16" t="s">
        <v>6</v>
      </c>
      <c r="L16" t="s">
        <v>7</v>
      </c>
      <c r="M16">
        <v>2000</v>
      </c>
      <c r="N16" s="1">
        <v>44719</v>
      </c>
      <c r="O16" t="s">
        <v>128</v>
      </c>
      <c r="P16">
        <v>1</v>
      </c>
      <c r="S16">
        <v>217.95</v>
      </c>
      <c r="T16">
        <v>250</v>
      </c>
      <c r="U16">
        <v>190</v>
      </c>
      <c r="V16" t="s">
        <v>58</v>
      </c>
      <c r="W16" t="s">
        <v>129</v>
      </c>
      <c r="X16" t="s">
        <v>130</v>
      </c>
      <c r="Y16" t="s">
        <v>131</v>
      </c>
      <c r="AF16" t="s">
        <v>13</v>
      </c>
      <c r="AG16" t="str">
        <f>HYPERLINK("https://doi.org/10.1515/9781474465649")</f>
        <v>https://doi.org/10.1515/9781474465649</v>
      </c>
      <c r="AH16" t="str">
        <f>HYPERLINK("http://www.degruyter.com/isbn/9781474465649")</f>
        <v>http://www.degruyter.com/isbn/9781474465649</v>
      </c>
      <c r="AI16" t="s">
        <v>68</v>
      </c>
      <c r="AL16" t="s">
        <v>62</v>
      </c>
      <c r="AM16">
        <v>1</v>
      </c>
      <c r="AN16" s="2">
        <v>9780748610464</v>
      </c>
    </row>
    <row r="17" spans="1:40" x14ac:dyDescent="0.3">
      <c r="A17" t="s">
        <v>132</v>
      </c>
      <c r="B17" t="s">
        <v>1</v>
      </c>
      <c r="C17" t="s">
        <v>133</v>
      </c>
      <c r="D17" t="s">
        <v>134</v>
      </c>
      <c r="E17" t="s">
        <v>135</v>
      </c>
      <c r="F17" t="s">
        <v>5</v>
      </c>
      <c r="G17" t="s">
        <v>6</v>
      </c>
      <c r="L17" t="s">
        <v>7</v>
      </c>
      <c r="M17">
        <v>1999</v>
      </c>
      <c r="N17" s="1">
        <v>44607</v>
      </c>
      <c r="O17" t="s">
        <v>136</v>
      </c>
      <c r="P17">
        <v>1</v>
      </c>
      <c r="S17">
        <v>287.95</v>
      </c>
      <c r="T17">
        <v>330</v>
      </c>
      <c r="U17">
        <v>250</v>
      </c>
      <c r="V17" t="s">
        <v>89</v>
      </c>
      <c r="W17" t="s">
        <v>137</v>
      </c>
      <c r="X17" t="s">
        <v>138</v>
      </c>
      <c r="Y17" t="s">
        <v>139</v>
      </c>
      <c r="AF17" t="s">
        <v>13</v>
      </c>
      <c r="AG17" t="str">
        <f>HYPERLINK("https://doi.org/10.1515/9781474473255")</f>
        <v>https://doi.org/10.1515/9781474473255</v>
      </c>
      <c r="AH17" t="str">
        <f>HYPERLINK("http://www.degruyter.com/isbn/9781474473255")</f>
        <v>http://www.degruyter.com/isbn/9781474473255</v>
      </c>
      <c r="AI17" t="s">
        <v>24</v>
      </c>
      <c r="AL17" t="s">
        <v>83</v>
      </c>
      <c r="AM17">
        <v>1</v>
      </c>
      <c r="AN17" s="2">
        <v>9780748610105</v>
      </c>
    </row>
    <row r="18" spans="1:40" x14ac:dyDescent="0.3">
      <c r="A18" t="s">
        <v>140</v>
      </c>
      <c r="B18" t="s">
        <v>1</v>
      </c>
      <c r="C18" t="s">
        <v>141</v>
      </c>
      <c r="D18" t="s">
        <v>142</v>
      </c>
      <c r="E18" t="s">
        <v>143</v>
      </c>
      <c r="F18" t="s">
        <v>5</v>
      </c>
      <c r="G18" t="s">
        <v>6</v>
      </c>
      <c r="L18" t="s">
        <v>7</v>
      </c>
      <c r="M18">
        <v>2010</v>
      </c>
      <c r="N18" s="1">
        <v>40254</v>
      </c>
      <c r="O18" t="s">
        <v>144</v>
      </c>
      <c r="P18">
        <v>1</v>
      </c>
      <c r="S18">
        <v>217.95</v>
      </c>
      <c r="T18">
        <v>250</v>
      </c>
      <c r="U18">
        <v>190</v>
      </c>
      <c r="V18" t="s">
        <v>58</v>
      </c>
      <c r="W18" t="s">
        <v>59</v>
      </c>
      <c r="X18" t="s">
        <v>60</v>
      </c>
      <c r="Y18" t="s">
        <v>145</v>
      </c>
      <c r="AF18" t="s">
        <v>13</v>
      </c>
      <c r="AG18" t="str">
        <f>HYPERLINK("https://doi.org/10.1515/9780748642243")</f>
        <v>https://doi.org/10.1515/9780748642243</v>
      </c>
      <c r="AH18" t="str">
        <f>HYPERLINK("http://www.degruyter.com/isbn/9780748642243")</f>
        <v>http://www.degruyter.com/isbn/9780748642243</v>
      </c>
      <c r="AI18" t="s">
        <v>68</v>
      </c>
      <c r="AL18" t="s">
        <v>62</v>
      </c>
      <c r="AM18">
        <v>1</v>
      </c>
      <c r="AN18" s="2">
        <v>9780748638499</v>
      </c>
    </row>
    <row r="19" spans="1:40" x14ac:dyDescent="0.3">
      <c r="A19" t="s">
        <v>146</v>
      </c>
      <c r="B19" t="s">
        <v>1</v>
      </c>
      <c r="C19" t="s">
        <v>147</v>
      </c>
      <c r="D19" t="s">
        <v>148</v>
      </c>
      <c r="E19" t="s">
        <v>149</v>
      </c>
      <c r="F19" t="s">
        <v>5</v>
      </c>
      <c r="G19" t="s">
        <v>6</v>
      </c>
      <c r="L19" t="s">
        <v>7</v>
      </c>
      <c r="M19">
        <v>2007</v>
      </c>
      <c r="N19" s="1">
        <v>39252</v>
      </c>
      <c r="O19" t="s">
        <v>150</v>
      </c>
      <c r="P19">
        <v>1</v>
      </c>
      <c r="S19">
        <v>243.95</v>
      </c>
      <c r="T19">
        <v>280</v>
      </c>
      <c r="U19">
        <v>210</v>
      </c>
      <c r="V19" t="s">
        <v>42</v>
      </c>
      <c r="W19" t="s">
        <v>116</v>
      </c>
      <c r="X19" t="s">
        <v>116</v>
      </c>
      <c r="Y19" t="s">
        <v>117</v>
      </c>
      <c r="AF19" t="s">
        <v>13</v>
      </c>
      <c r="AG19" t="str">
        <f>HYPERLINK("https://doi.org/10.1515/9780748628162?locatt=mode:legacy")</f>
        <v>https://doi.org/10.1515/9780748628162?locatt=mode:legacy</v>
      </c>
      <c r="AH19" t="str">
        <f>HYPERLINK("http://www.degruyter.com/isbn/9780748628162")</f>
        <v>http://www.degruyter.com/isbn/9780748628162</v>
      </c>
      <c r="AI19" t="s">
        <v>68</v>
      </c>
      <c r="AL19" t="s">
        <v>47</v>
      </c>
      <c r="AM19">
        <v>1</v>
      </c>
      <c r="AN19" s="2">
        <v>9780748609123</v>
      </c>
    </row>
    <row r="20" spans="1:40" x14ac:dyDescent="0.3">
      <c r="A20" t="s">
        <v>151</v>
      </c>
      <c r="B20" t="s">
        <v>1</v>
      </c>
      <c r="C20" t="s">
        <v>152</v>
      </c>
      <c r="E20" t="s">
        <v>153</v>
      </c>
      <c r="F20" t="s">
        <v>5</v>
      </c>
      <c r="G20" t="s">
        <v>6</v>
      </c>
      <c r="L20" t="s">
        <v>7</v>
      </c>
      <c r="M20">
        <v>2011</v>
      </c>
      <c r="N20" s="1">
        <v>40626</v>
      </c>
      <c r="O20" t="s">
        <v>154</v>
      </c>
      <c r="P20">
        <v>1</v>
      </c>
      <c r="S20">
        <v>253.95</v>
      </c>
      <c r="T20">
        <v>290</v>
      </c>
      <c r="U20">
        <v>220</v>
      </c>
      <c r="V20" t="s">
        <v>58</v>
      </c>
      <c r="W20" t="s">
        <v>59</v>
      </c>
      <c r="X20" t="s">
        <v>60</v>
      </c>
      <c r="Y20" t="s">
        <v>73</v>
      </c>
      <c r="AF20" t="s">
        <v>13</v>
      </c>
      <c r="AG20" t="str">
        <f>HYPERLINK("https://doi.org/10.1515/9780748645985")</f>
        <v>https://doi.org/10.1515/9780748645985</v>
      </c>
      <c r="AH20" t="str">
        <f>HYPERLINK("http://www.degruyter.com/isbn/9780748645985")</f>
        <v>http://www.degruyter.com/isbn/9780748645985</v>
      </c>
      <c r="AI20" t="s">
        <v>68</v>
      </c>
      <c r="AJ20" t="s">
        <v>35</v>
      </c>
      <c r="AL20" t="s">
        <v>155</v>
      </c>
      <c r="AM20">
        <v>1</v>
      </c>
      <c r="AN20" s="2">
        <v>9780748637959</v>
      </c>
    </row>
    <row r="21" spans="1:40" x14ac:dyDescent="0.3">
      <c r="A21" t="s">
        <v>156</v>
      </c>
      <c r="B21" t="s">
        <v>1</v>
      </c>
      <c r="C21" t="s">
        <v>157</v>
      </c>
      <c r="D21" t="s">
        <v>158</v>
      </c>
      <c r="E21" t="s">
        <v>159</v>
      </c>
      <c r="F21" t="s">
        <v>5</v>
      </c>
      <c r="G21" t="s">
        <v>6</v>
      </c>
      <c r="L21" t="s">
        <v>7</v>
      </c>
      <c r="M21">
        <v>2013</v>
      </c>
      <c r="N21" s="1">
        <v>44634</v>
      </c>
      <c r="O21" t="s">
        <v>160</v>
      </c>
      <c r="P21">
        <v>1</v>
      </c>
      <c r="S21">
        <v>217.95</v>
      </c>
      <c r="T21">
        <v>250</v>
      </c>
      <c r="U21">
        <v>190</v>
      </c>
      <c r="V21" t="s">
        <v>42</v>
      </c>
      <c r="W21" t="s">
        <v>161</v>
      </c>
      <c r="X21" t="s">
        <v>162</v>
      </c>
      <c r="Y21" t="s">
        <v>163</v>
      </c>
      <c r="AF21" t="s">
        <v>13</v>
      </c>
      <c r="AG21" t="str">
        <f>HYPERLINK("https://doi.org/10.1515/9781474468053")</f>
        <v>https://doi.org/10.1515/9781474468053</v>
      </c>
      <c r="AH21" t="str">
        <f>HYPERLINK("http://www.degruyter.com/isbn/9781474468053")</f>
        <v>http://www.degruyter.com/isbn/9781474468053</v>
      </c>
      <c r="AI21" t="s">
        <v>68</v>
      </c>
      <c r="AL21" t="s">
        <v>47</v>
      </c>
      <c r="AM21">
        <v>1</v>
      </c>
      <c r="AN21" s="2">
        <v>9780748691296</v>
      </c>
    </row>
    <row r="22" spans="1:40" x14ac:dyDescent="0.3">
      <c r="A22" t="s">
        <v>164</v>
      </c>
      <c r="B22" t="s">
        <v>1</v>
      </c>
      <c r="C22" t="s">
        <v>165</v>
      </c>
      <c r="D22" t="s">
        <v>166</v>
      </c>
      <c r="E22" t="s">
        <v>167</v>
      </c>
      <c r="F22" t="s">
        <v>5</v>
      </c>
      <c r="G22" t="s">
        <v>6</v>
      </c>
      <c r="L22" t="s">
        <v>7</v>
      </c>
      <c r="M22">
        <v>2004</v>
      </c>
      <c r="N22" s="1">
        <v>44607</v>
      </c>
      <c r="O22" t="s">
        <v>168</v>
      </c>
      <c r="P22">
        <v>1</v>
      </c>
      <c r="S22">
        <v>217.95</v>
      </c>
      <c r="T22">
        <v>250</v>
      </c>
      <c r="U22">
        <v>190</v>
      </c>
      <c r="V22" t="s">
        <v>58</v>
      </c>
      <c r="W22" t="s">
        <v>59</v>
      </c>
      <c r="X22" t="s">
        <v>60</v>
      </c>
      <c r="Y22" t="s">
        <v>169</v>
      </c>
      <c r="AF22" t="s">
        <v>13</v>
      </c>
      <c r="AG22" t="str">
        <f>HYPERLINK("https://doi.org/10.1515/9781474464680")</f>
        <v>https://doi.org/10.1515/9781474464680</v>
      </c>
      <c r="AH22" t="str">
        <f>HYPERLINK("http://www.degruyter.com/isbn/9781474464680")</f>
        <v>http://www.degruyter.com/isbn/9781474464680</v>
      </c>
      <c r="AI22" t="s">
        <v>68</v>
      </c>
      <c r="AL22" t="s">
        <v>62</v>
      </c>
      <c r="AM22">
        <v>1</v>
      </c>
      <c r="AN22" s="2">
        <v>9780748615353</v>
      </c>
    </row>
    <row r="23" spans="1:40" x14ac:dyDescent="0.3">
      <c r="A23" t="s">
        <v>170</v>
      </c>
      <c r="B23" t="s">
        <v>1</v>
      </c>
      <c r="C23" t="s">
        <v>171</v>
      </c>
      <c r="E23" t="s">
        <v>172</v>
      </c>
      <c r="F23" t="s">
        <v>5</v>
      </c>
      <c r="G23" t="s">
        <v>6</v>
      </c>
      <c r="L23" t="s">
        <v>7</v>
      </c>
      <c r="M23">
        <v>2005</v>
      </c>
      <c r="N23" s="1">
        <v>38671</v>
      </c>
      <c r="O23" t="s">
        <v>173</v>
      </c>
      <c r="P23">
        <v>1</v>
      </c>
      <c r="S23">
        <v>227.95</v>
      </c>
      <c r="T23">
        <v>260</v>
      </c>
      <c r="U23">
        <v>200</v>
      </c>
      <c r="V23" t="s">
        <v>9</v>
      </c>
      <c r="W23" t="s">
        <v>10</v>
      </c>
      <c r="X23" t="s">
        <v>11</v>
      </c>
      <c r="Y23" t="s">
        <v>12</v>
      </c>
      <c r="AF23" t="s">
        <v>13</v>
      </c>
      <c r="AG23" t="str">
        <f>HYPERLINK("https://doi.org/10.1515/9780748626250")</f>
        <v>https://doi.org/10.1515/9780748626250</v>
      </c>
      <c r="AH23" t="str">
        <f>HYPERLINK("http://www.degruyter.com/isbn/9780748626250")</f>
        <v>http://www.degruyter.com/isbn/9780748626250</v>
      </c>
      <c r="AI23" t="s">
        <v>68</v>
      </c>
      <c r="AL23" t="s">
        <v>15</v>
      </c>
      <c r="AM23">
        <v>1</v>
      </c>
      <c r="AN23" s="2">
        <v>9780748621866</v>
      </c>
    </row>
    <row r="24" spans="1:40" x14ac:dyDescent="0.3">
      <c r="A24" t="s">
        <v>174</v>
      </c>
      <c r="B24" t="s">
        <v>1</v>
      </c>
      <c r="C24" t="s">
        <v>175</v>
      </c>
      <c r="E24" t="s">
        <v>176</v>
      </c>
      <c r="F24" t="s">
        <v>5</v>
      </c>
      <c r="G24" t="s">
        <v>6</v>
      </c>
      <c r="L24" t="s">
        <v>7</v>
      </c>
      <c r="M24">
        <v>2016</v>
      </c>
      <c r="N24" s="1">
        <v>42662</v>
      </c>
      <c r="O24" t="s">
        <v>177</v>
      </c>
      <c r="P24">
        <v>1</v>
      </c>
      <c r="S24">
        <v>217.95</v>
      </c>
      <c r="T24">
        <v>250</v>
      </c>
      <c r="U24">
        <v>190</v>
      </c>
      <c r="V24" t="s">
        <v>42</v>
      </c>
      <c r="W24" t="s">
        <v>43</v>
      </c>
      <c r="X24" t="s">
        <v>178</v>
      </c>
      <c r="Y24" t="s">
        <v>179</v>
      </c>
      <c r="AF24" t="s">
        <v>13</v>
      </c>
      <c r="AG24" t="str">
        <f>HYPERLINK("https://doi.org/10.1515/9781474415125")</f>
        <v>https://doi.org/10.1515/9781474415125</v>
      </c>
      <c r="AH24" t="str">
        <f>HYPERLINK("http://www.degruyter.com/isbn/9781474415125")</f>
        <v>http://www.degruyter.com/isbn/9781474415125</v>
      </c>
      <c r="AI24" t="s">
        <v>180</v>
      </c>
      <c r="AL24" t="s">
        <v>47</v>
      </c>
      <c r="AM24">
        <v>1</v>
      </c>
      <c r="AN24" s="2">
        <v>9781474415118</v>
      </c>
    </row>
    <row r="25" spans="1:40" x14ac:dyDescent="0.3">
      <c r="A25" t="s">
        <v>181</v>
      </c>
      <c r="B25" t="s">
        <v>1</v>
      </c>
      <c r="C25" t="s">
        <v>182</v>
      </c>
      <c r="E25" t="s">
        <v>183</v>
      </c>
      <c r="F25" t="s">
        <v>5</v>
      </c>
      <c r="G25" t="s">
        <v>6</v>
      </c>
      <c r="L25" t="s">
        <v>7</v>
      </c>
      <c r="M25">
        <v>2012</v>
      </c>
      <c r="N25" s="1">
        <v>41206</v>
      </c>
      <c r="O25" t="s">
        <v>184</v>
      </c>
      <c r="P25">
        <v>1</v>
      </c>
      <c r="S25">
        <v>253.95</v>
      </c>
      <c r="T25">
        <v>290</v>
      </c>
      <c r="U25">
        <v>220</v>
      </c>
      <c r="V25" t="s">
        <v>58</v>
      </c>
      <c r="W25" t="s">
        <v>59</v>
      </c>
      <c r="X25" t="s">
        <v>60</v>
      </c>
      <c r="Y25" t="s">
        <v>145</v>
      </c>
      <c r="AF25" t="s">
        <v>13</v>
      </c>
      <c r="AG25" t="str">
        <f>HYPERLINK("https://doi.org/10.1515/9780748646883")</f>
        <v>https://doi.org/10.1515/9780748646883</v>
      </c>
      <c r="AH25" t="str">
        <f>HYPERLINK("http://www.degruyter.com/isbn/9780748646883")</f>
        <v>http://www.degruyter.com/isbn/9780748646883</v>
      </c>
      <c r="AI25" t="s">
        <v>68</v>
      </c>
      <c r="AL25" t="s">
        <v>62</v>
      </c>
      <c r="AM25">
        <v>1</v>
      </c>
      <c r="AN25" s="2">
        <v>9780748646876</v>
      </c>
    </row>
    <row r="26" spans="1:40" x14ac:dyDescent="0.3">
      <c r="A26">
        <v>286866</v>
      </c>
      <c r="B26" t="s">
        <v>1</v>
      </c>
      <c r="C26" t="s">
        <v>185</v>
      </c>
      <c r="D26" t="s">
        <v>186</v>
      </c>
      <c r="E26" t="s">
        <v>185</v>
      </c>
      <c r="F26" t="s">
        <v>5</v>
      </c>
      <c r="G26" t="s">
        <v>6</v>
      </c>
      <c r="L26" t="s">
        <v>7</v>
      </c>
      <c r="M26">
        <v>2021</v>
      </c>
      <c r="N26" s="1">
        <v>44502</v>
      </c>
      <c r="P26">
        <v>1</v>
      </c>
      <c r="S26">
        <v>12949.5</v>
      </c>
      <c r="T26">
        <v>15000</v>
      </c>
      <c r="U26">
        <v>11013.75</v>
      </c>
      <c r="V26" t="s">
        <v>187</v>
      </c>
      <c r="W26" t="s">
        <v>187</v>
      </c>
      <c r="X26" t="s">
        <v>187</v>
      </c>
      <c r="Y26" t="s">
        <v>188</v>
      </c>
      <c r="AF26" t="s">
        <v>189</v>
      </c>
      <c r="AL26" t="s">
        <v>190</v>
      </c>
      <c r="AM26">
        <v>1</v>
      </c>
      <c r="AN26" s="2"/>
    </row>
    <row r="27" spans="1:40" x14ac:dyDescent="0.3">
      <c r="A27" t="s">
        <v>191</v>
      </c>
      <c r="B27" t="s">
        <v>1</v>
      </c>
      <c r="C27" t="s">
        <v>192</v>
      </c>
      <c r="E27" t="s">
        <v>193</v>
      </c>
      <c r="F27" t="s">
        <v>5</v>
      </c>
      <c r="G27" t="s">
        <v>6</v>
      </c>
      <c r="L27" t="s">
        <v>7</v>
      </c>
      <c r="M27">
        <v>2020</v>
      </c>
      <c r="N27" s="1">
        <v>44644</v>
      </c>
      <c r="O27" t="s">
        <v>194</v>
      </c>
      <c r="P27">
        <v>1</v>
      </c>
      <c r="S27">
        <v>227.95</v>
      </c>
      <c r="T27">
        <v>260</v>
      </c>
      <c r="U27">
        <v>200</v>
      </c>
      <c r="V27" t="s">
        <v>9</v>
      </c>
      <c r="W27" t="s">
        <v>10</v>
      </c>
      <c r="X27" t="s">
        <v>11</v>
      </c>
      <c r="Y27" t="s">
        <v>52</v>
      </c>
      <c r="AF27" t="s">
        <v>13</v>
      </c>
      <c r="AG27" t="str">
        <f>HYPERLINK("https://doi.org/10.1515/9781474444156")</f>
        <v>https://doi.org/10.1515/9781474444156</v>
      </c>
      <c r="AH27" t="str">
        <f>HYPERLINK("http://www.degruyter.com/isbn/9781474444156")</f>
        <v>http://www.degruyter.com/isbn/9781474444156</v>
      </c>
      <c r="AI27" t="s">
        <v>14</v>
      </c>
      <c r="AL27" t="s">
        <v>15</v>
      </c>
      <c r="AM27">
        <v>1</v>
      </c>
      <c r="AN27" s="2">
        <v>9781474444132</v>
      </c>
    </row>
    <row r="28" spans="1:40" x14ac:dyDescent="0.3">
      <c r="A28" t="s">
        <v>195</v>
      </c>
      <c r="B28" t="s">
        <v>1</v>
      </c>
      <c r="C28" t="s">
        <v>196</v>
      </c>
      <c r="D28" t="s">
        <v>197</v>
      </c>
      <c r="E28" t="s">
        <v>198</v>
      </c>
      <c r="F28" t="s">
        <v>5</v>
      </c>
      <c r="G28" t="s">
        <v>6</v>
      </c>
      <c r="L28" t="s">
        <v>7</v>
      </c>
      <c r="M28">
        <v>2016</v>
      </c>
      <c r="N28" s="1">
        <v>42387</v>
      </c>
      <c r="O28" t="s">
        <v>199</v>
      </c>
      <c r="P28">
        <v>1</v>
      </c>
      <c r="S28">
        <v>227.95</v>
      </c>
      <c r="T28">
        <v>260</v>
      </c>
      <c r="U28">
        <v>200</v>
      </c>
      <c r="V28" t="s">
        <v>58</v>
      </c>
      <c r="W28" t="s">
        <v>59</v>
      </c>
      <c r="X28" t="s">
        <v>60</v>
      </c>
      <c r="Y28" t="s">
        <v>73</v>
      </c>
      <c r="AF28" t="s">
        <v>13</v>
      </c>
      <c r="AG28" t="str">
        <f>HYPERLINK("https://doi.org/10.1515/9781474407991")</f>
        <v>https://doi.org/10.1515/9781474407991</v>
      </c>
      <c r="AH28" t="str">
        <f>HYPERLINK("http://www.degruyter.com/isbn/9781474407991")</f>
        <v>http://www.degruyter.com/isbn/9781474407991</v>
      </c>
      <c r="AI28" t="s">
        <v>180</v>
      </c>
      <c r="AL28" t="s">
        <v>62</v>
      </c>
      <c r="AM28">
        <v>1</v>
      </c>
      <c r="AN28" s="2">
        <v>9781474407984</v>
      </c>
    </row>
    <row r="29" spans="1:40" x14ac:dyDescent="0.3">
      <c r="A29">
        <v>286874</v>
      </c>
      <c r="B29" t="s">
        <v>1</v>
      </c>
      <c r="C29" t="s">
        <v>200</v>
      </c>
      <c r="D29" t="s">
        <v>186</v>
      </c>
      <c r="E29" t="s">
        <v>200</v>
      </c>
      <c r="F29" t="s">
        <v>5</v>
      </c>
      <c r="G29" t="s">
        <v>6</v>
      </c>
      <c r="L29" t="s">
        <v>7</v>
      </c>
      <c r="M29">
        <v>2017</v>
      </c>
      <c r="N29" s="1">
        <v>44502</v>
      </c>
      <c r="P29">
        <v>1</v>
      </c>
      <c r="S29">
        <v>14503.39</v>
      </c>
      <c r="T29">
        <v>16800</v>
      </c>
      <c r="U29">
        <v>12332.63</v>
      </c>
      <c r="V29" t="s">
        <v>187</v>
      </c>
      <c r="W29" t="s">
        <v>187</v>
      </c>
      <c r="X29" t="s">
        <v>187</v>
      </c>
      <c r="Y29" t="s">
        <v>188</v>
      </c>
      <c r="AF29" t="s">
        <v>189</v>
      </c>
      <c r="AL29" t="s">
        <v>190</v>
      </c>
      <c r="AM29">
        <v>1</v>
      </c>
      <c r="AN29" s="2"/>
    </row>
    <row r="30" spans="1:40" x14ac:dyDescent="0.3">
      <c r="A30" t="s">
        <v>201</v>
      </c>
      <c r="B30" t="s">
        <v>1</v>
      </c>
      <c r="C30" t="s">
        <v>202</v>
      </c>
      <c r="E30" t="s">
        <v>203</v>
      </c>
      <c r="F30" t="s">
        <v>5</v>
      </c>
      <c r="G30" t="s">
        <v>6</v>
      </c>
      <c r="L30" t="s">
        <v>7</v>
      </c>
      <c r="M30">
        <v>2013</v>
      </c>
      <c r="N30" s="1">
        <v>41464</v>
      </c>
      <c r="O30" t="s">
        <v>204</v>
      </c>
      <c r="P30">
        <v>1</v>
      </c>
      <c r="S30">
        <v>227.95</v>
      </c>
      <c r="T30">
        <v>260</v>
      </c>
      <c r="U30">
        <v>200</v>
      </c>
      <c r="V30" t="s">
        <v>79</v>
      </c>
      <c r="W30" t="s">
        <v>123</v>
      </c>
      <c r="X30" t="s">
        <v>123</v>
      </c>
      <c r="Y30" t="s">
        <v>124</v>
      </c>
      <c r="AF30" t="s">
        <v>13</v>
      </c>
      <c r="AG30" t="str">
        <f>HYPERLINK("https://doi.org/10.1515/9780748645336?locatt=mode:legacy")</f>
        <v>https://doi.org/10.1515/9780748645336?locatt=mode:legacy</v>
      </c>
      <c r="AH30" t="str">
        <f>HYPERLINK("http://www.degruyter.com/isbn/9780748645336")</f>
        <v>http://www.degruyter.com/isbn/9780748645336</v>
      </c>
      <c r="AI30" t="s">
        <v>68</v>
      </c>
      <c r="AL30" t="s">
        <v>83</v>
      </c>
      <c r="AM30">
        <v>1</v>
      </c>
      <c r="AN30" s="2">
        <v>9780748645329</v>
      </c>
    </row>
    <row r="31" spans="1:40" x14ac:dyDescent="0.3">
      <c r="A31" t="s">
        <v>205</v>
      </c>
      <c r="B31" t="s">
        <v>1</v>
      </c>
      <c r="C31" t="s">
        <v>206</v>
      </c>
      <c r="E31" t="s">
        <v>207</v>
      </c>
      <c r="F31" t="s">
        <v>5</v>
      </c>
      <c r="G31" t="s">
        <v>6</v>
      </c>
      <c r="L31" t="s">
        <v>7</v>
      </c>
      <c r="M31">
        <v>2005</v>
      </c>
      <c r="N31" s="1">
        <v>38691</v>
      </c>
      <c r="O31" t="s">
        <v>208</v>
      </c>
      <c r="P31">
        <v>1</v>
      </c>
      <c r="S31">
        <v>331.95</v>
      </c>
      <c r="T31">
        <v>380</v>
      </c>
      <c r="U31">
        <v>290</v>
      </c>
      <c r="V31" t="s">
        <v>79</v>
      </c>
      <c r="W31" t="s">
        <v>209</v>
      </c>
      <c r="X31" t="s">
        <v>209</v>
      </c>
      <c r="Y31" t="s">
        <v>210</v>
      </c>
      <c r="AF31" t="s">
        <v>13</v>
      </c>
      <c r="AG31" t="str">
        <f>HYPERLINK("https://doi.org/10.1515/9780748626236")</f>
        <v>https://doi.org/10.1515/9780748626236</v>
      </c>
      <c r="AH31" t="str">
        <f>HYPERLINK("http://www.degruyter.com/isbn/9780748626236")</f>
        <v>http://www.degruyter.com/isbn/9780748626236</v>
      </c>
      <c r="AI31" t="s">
        <v>68</v>
      </c>
      <c r="AL31" t="s">
        <v>83</v>
      </c>
      <c r="AM31">
        <v>1</v>
      </c>
      <c r="AN31" s="2">
        <v>9780748617159</v>
      </c>
    </row>
    <row r="32" spans="1:40" x14ac:dyDescent="0.3">
      <c r="A32" t="s">
        <v>211</v>
      </c>
      <c r="B32" t="s">
        <v>1</v>
      </c>
      <c r="C32" t="s">
        <v>212</v>
      </c>
      <c r="D32" t="s">
        <v>213</v>
      </c>
      <c r="E32" t="s">
        <v>214</v>
      </c>
      <c r="F32" t="s">
        <v>5</v>
      </c>
      <c r="G32" t="s">
        <v>6</v>
      </c>
      <c r="L32" t="s">
        <v>7</v>
      </c>
      <c r="M32">
        <v>2021</v>
      </c>
      <c r="N32" s="1">
        <v>44644</v>
      </c>
      <c r="O32" t="s">
        <v>215</v>
      </c>
      <c r="P32">
        <v>1</v>
      </c>
      <c r="S32">
        <v>217.95</v>
      </c>
      <c r="T32">
        <v>250</v>
      </c>
      <c r="U32">
        <v>190</v>
      </c>
      <c r="V32" t="s">
        <v>9</v>
      </c>
      <c r="W32" t="s">
        <v>10</v>
      </c>
      <c r="X32" t="s">
        <v>11</v>
      </c>
      <c r="Y32" t="s">
        <v>52</v>
      </c>
      <c r="AF32" t="s">
        <v>13</v>
      </c>
      <c r="AG32" t="str">
        <f>HYPERLINK("https://doi.org/10.1515/9781474461788")</f>
        <v>https://doi.org/10.1515/9781474461788</v>
      </c>
      <c r="AH32" t="str">
        <f>HYPERLINK("http://www.degruyter.com/isbn/9781474461788")</f>
        <v>http://www.degruyter.com/isbn/9781474461788</v>
      </c>
      <c r="AI32" t="s">
        <v>216</v>
      </c>
      <c r="AL32" t="s">
        <v>15</v>
      </c>
      <c r="AM32">
        <v>1</v>
      </c>
      <c r="AN32" s="2">
        <v>9781474461764</v>
      </c>
    </row>
    <row r="33" spans="1:40" x14ac:dyDescent="0.3">
      <c r="A33" t="s">
        <v>217</v>
      </c>
      <c r="B33" t="s">
        <v>1</v>
      </c>
      <c r="C33" t="s">
        <v>218</v>
      </c>
      <c r="E33" t="s">
        <v>219</v>
      </c>
      <c r="F33" t="s">
        <v>5</v>
      </c>
      <c r="G33" t="s">
        <v>6</v>
      </c>
      <c r="L33" t="s">
        <v>7</v>
      </c>
      <c r="M33">
        <v>2017</v>
      </c>
      <c r="N33" s="1">
        <v>43027</v>
      </c>
      <c r="O33" t="s">
        <v>220</v>
      </c>
      <c r="P33">
        <v>1</v>
      </c>
      <c r="S33">
        <v>227.95</v>
      </c>
      <c r="T33">
        <v>260</v>
      </c>
      <c r="U33">
        <v>200</v>
      </c>
      <c r="V33" t="s">
        <v>42</v>
      </c>
      <c r="W33" t="s">
        <v>107</v>
      </c>
      <c r="X33" t="s">
        <v>108</v>
      </c>
      <c r="Y33" t="s">
        <v>221</v>
      </c>
      <c r="AF33" t="s">
        <v>13</v>
      </c>
      <c r="AG33" t="str">
        <f>HYPERLINK("https://doi.org/10.1515/9781474429665?locatt=mode:legacy")</f>
        <v>https://doi.org/10.1515/9781474429665?locatt=mode:legacy</v>
      </c>
      <c r="AH33" t="str">
        <f>HYPERLINK("http://www.degruyter.com/isbn/9781474429665")</f>
        <v>http://www.degruyter.com/isbn/9781474429665</v>
      </c>
      <c r="AI33" t="s">
        <v>222</v>
      </c>
      <c r="AL33" t="s">
        <v>47</v>
      </c>
      <c r="AM33">
        <v>1</v>
      </c>
      <c r="AN33" s="2">
        <v>9781474429641</v>
      </c>
    </row>
    <row r="34" spans="1:40" x14ac:dyDescent="0.3">
      <c r="A34" t="s">
        <v>223</v>
      </c>
      <c r="B34" t="s">
        <v>1</v>
      </c>
      <c r="C34" t="s">
        <v>224</v>
      </c>
      <c r="D34" t="s">
        <v>27</v>
      </c>
      <c r="E34" t="s">
        <v>225</v>
      </c>
      <c r="F34" t="s">
        <v>5</v>
      </c>
      <c r="G34" t="s">
        <v>6</v>
      </c>
      <c r="L34" t="s">
        <v>7</v>
      </c>
      <c r="M34">
        <v>1999</v>
      </c>
      <c r="N34" s="1">
        <v>44607</v>
      </c>
      <c r="O34" t="s">
        <v>226</v>
      </c>
      <c r="P34">
        <v>1</v>
      </c>
      <c r="S34">
        <v>243.95</v>
      </c>
      <c r="T34">
        <v>280</v>
      </c>
      <c r="U34">
        <v>210</v>
      </c>
      <c r="V34" t="s">
        <v>79</v>
      </c>
      <c r="W34" t="s">
        <v>227</v>
      </c>
      <c r="X34" t="s">
        <v>228</v>
      </c>
      <c r="Y34" t="s">
        <v>229</v>
      </c>
      <c r="AF34" t="s">
        <v>13</v>
      </c>
      <c r="AG34" t="str">
        <f>HYPERLINK("https://doi.org/10.1515/9781474472302")</f>
        <v>https://doi.org/10.1515/9781474472302</v>
      </c>
      <c r="AH34" t="str">
        <f>HYPERLINK("http://www.degruyter.com/isbn/9781474472302")</f>
        <v>http://www.degruyter.com/isbn/9781474472302</v>
      </c>
      <c r="AI34" t="s">
        <v>24</v>
      </c>
      <c r="AL34" t="s">
        <v>83</v>
      </c>
      <c r="AM34">
        <v>1</v>
      </c>
      <c r="AN34" s="2">
        <v>9780748611881</v>
      </c>
    </row>
    <row r="35" spans="1:40" x14ac:dyDescent="0.3">
      <c r="A35" t="s">
        <v>230</v>
      </c>
      <c r="B35" t="s">
        <v>1</v>
      </c>
      <c r="C35" t="s">
        <v>231</v>
      </c>
      <c r="E35" t="s">
        <v>232</v>
      </c>
      <c r="F35" t="s">
        <v>5</v>
      </c>
      <c r="G35" t="s">
        <v>6</v>
      </c>
      <c r="L35" t="s">
        <v>7</v>
      </c>
      <c r="M35">
        <v>2004</v>
      </c>
      <c r="N35" s="1">
        <v>38286</v>
      </c>
      <c r="O35" t="s">
        <v>233</v>
      </c>
      <c r="P35">
        <v>1</v>
      </c>
      <c r="S35">
        <v>287.95</v>
      </c>
      <c r="T35">
        <v>330</v>
      </c>
      <c r="U35">
        <v>250</v>
      </c>
      <c r="V35" t="s">
        <v>79</v>
      </c>
      <c r="W35" t="s">
        <v>227</v>
      </c>
      <c r="X35" t="s">
        <v>234</v>
      </c>
      <c r="Y35" t="s">
        <v>235</v>
      </c>
      <c r="AF35" t="s">
        <v>13</v>
      </c>
      <c r="AG35" t="str">
        <f>HYPERLINK("https://doi.org/10.1515/9781474468930")</f>
        <v>https://doi.org/10.1515/9781474468930</v>
      </c>
      <c r="AH35" t="str">
        <f>HYPERLINK("http://www.degruyter.com/isbn/9781474468930")</f>
        <v>http://www.degruyter.com/isbn/9781474468930</v>
      </c>
      <c r="AI35" t="s">
        <v>68</v>
      </c>
      <c r="AL35" t="s">
        <v>83</v>
      </c>
      <c r="AM35">
        <v>1</v>
      </c>
      <c r="AN35" s="2">
        <v>9780748620166</v>
      </c>
    </row>
    <row r="36" spans="1:40" x14ac:dyDescent="0.3">
      <c r="A36" t="s">
        <v>236</v>
      </c>
      <c r="B36" t="s">
        <v>1</v>
      </c>
      <c r="C36" t="s">
        <v>237</v>
      </c>
      <c r="D36" t="s">
        <v>238</v>
      </c>
      <c r="E36" t="s">
        <v>239</v>
      </c>
      <c r="F36" t="s">
        <v>5</v>
      </c>
      <c r="G36" t="s">
        <v>6</v>
      </c>
      <c r="L36" t="s">
        <v>7</v>
      </c>
      <c r="M36">
        <v>2014</v>
      </c>
      <c r="N36" s="1">
        <v>41806</v>
      </c>
      <c r="O36" t="s">
        <v>240</v>
      </c>
      <c r="P36">
        <v>1</v>
      </c>
      <c r="S36">
        <v>217.95</v>
      </c>
      <c r="T36">
        <v>250</v>
      </c>
      <c r="U36">
        <v>190</v>
      </c>
      <c r="V36" t="s">
        <v>42</v>
      </c>
      <c r="W36" t="s">
        <v>116</v>
      </c>
      <c r="X36" t="s">
        <v>116</v>
      </c>
      <c r="Y36" t="s">
        <v>117</v>
      </c>
      <c r="AF36" t="s">
        <v>13</v>
      </c>
      <c r="AG36" t="str">
        <f>HYPERLINK("https://doi.org/10.1515/9780748682829?locatt=mode:legacy")</f>
        <v>https://doi.org/10.1515/9780748682829?locatt=mode:legacy</v>
      </c>
      <c r="AH36" t="str">
        <f>HYPERLINK("http://www.degruyter.com/isbn/9780748682829")</f>
        <v>http://www.degruyter.com/isbn/9780748682829</v>
      </c>
      <c r="AI36" t="s">
        <v>34</v>
      </c>
      <c r="AL36" t="s">
        <v>47</v>
      </c>
      <c r="AM36">
        <v>1</v>
      </c>
      <c r="AN36" s="2">
        <v>9780748682812</v>
      </c>
    </row>
    <row r="37" spans="1:40" x14ac:dyDescent="0.3">
      <c r="A37" t="s">
        <v>241</v>
      </c>
      <c r="B37" t="s">
        <v>1</v>
      </c>
      <c r="C37" t="s">
        <v>242</v>
      </c>
      <c r="E37" t="s">
        <v>243</v>
      </c>
      <c r="F37" t="s">
        <v>5</v>
      </c>
      <c r="G37" t="s">
        <v>6</v>
      </c>
      <c r="L37" t="s">
        <v>7</v>
      </c>
      <c r="M37">
        <v>1993</v>
      </c>
      <c r="N37" s="1">
        <v>44719</v>
      </c>
      <c r="O37" t="s">
        <v>244</v>
      </c>
      <c r="P37">
        <v>1</v>
      </c>
      <c r="S37">
        <v>217.95</v>
      </c>
      <c r="T37">
        <v>250</v>
      </c>
      <c r="U37">
        <v>190</v>
      </c>
      <c r="V37" t="s">
        <v>58</v>
      </c>
      <c r="W37" t="s">
        <v>59</v>
      </c>
      <c r="X37" t="s">
        <v>60</v>
      </c>
      <c r="Y37" t="s">
        <v>245</v>
      </c>
      <c r="AF37" t="s">
        <v>13</v>
      </c>
      <c r="AG37" t="str">
        <f>HYPERLINK("https://doi.org/10.1515/9781474471398")</f>
        <v>https://doi.org/10.1515/9781474471398</v>
      </c>
      <c r="AH37" t="str">
        <f>HYPERLINK("http://www.degruyter.com/isbn/9781474471398")</f>
        <v>http://www.degruyter.com/isbn/9781474471398</v>
      </c>
      <c r="AI37" t="s">
        <v>24</v>
      </c>
      <c r="AL37" t="s">
        <v>62</v>
      </c>
      <c r="AM37">
        <v>1</v>
      </c>
      <c r="AN37" s="2">
        <v>9780748604500</v>
      </c>
    </row>
    <row r="38" spans="1:40" x14ac:dyDescent="0.3">
      <c r="A38" t="s">
        <v>246</v>
      </c>
      <c r="B38" t="s">
        <v>1</v>
      </c>
      <c r="C38" t="s">
        <v>247</v>
      </c>
      <c r="D38" t="s">
        <v>248</v>
      </c>
      <c r="E38" t="s">
        <v>249</v>
      </c>
      <c r="F38" t="s">
        <v>5</v>
      </c>
      <c r="G38" t="s">
        <v>6</v>
      </c>
      <c r="L38" t="s">
        <v>7</v>
      </c>
      <c r="M38">
        <v>2015</v>
      </c>
      <c r="N38" s="1">
        <v>42179</v>
      </c>
      <c r="O38" t="s">
        <v>250</v>
      </c>
      <c r="P38">
        <v>1</v>
      </c>
      <c r="S38">
        <v>217.95</v>
      </c>
      <c r="T38">
        <v>250</v>
      </c>
      <c r="U38">
        <v>190</v>
      </c>
      <c r="V38" t="s">
        <v>42</v>
      </c>
      <c r="W38" t="s">
        <v>161</v>
      </c>
      <c r="X38" t="s">
        <v>162</v>
      </c>
      <c r="Y38" t="s">
        <v>251</v>
      </c>
      <c r="AF38" t="s">
        <v>13</v>
      </c>
      <c r="AG38" t="str">
        <f>HYPERLINK("https://doi.org/10.1515/9780748682867")</f>
        <v>https://doi.org/10.1515/9780748682867</v>
      </c>
      <c r="AH38" t="str">
        <f>HYPERLINK("http://www.degruyter.com/isbn/9780748682867")</f>
        <v>http://www.degruyter.com/isbn/9780748682867</v>
      </c>
      <c r="AI38" t="s">
        <v>34</v>
      </c>
      <c r="AL38" t="s">
        <v>47</v>
      </c>
      <c r="AM38">
        <v>1</v>
      </c>
      <c r="AN38" s="2">
        <v>9780748682850</v>
      </c>
    </row>
    <row r="39" spans="1:40" x14ac:dyDescent="0.3">
      <c r="A39" t="s">
        <v>252</v>
      </c>
      <c r="B39" t="s">
        <v>1</v>
      </c>
      <c r="C39" t="s">
        <v>253</v>
      </c>
      <c r="E39" t="s">
        <v>254</v>
      </c>
      <c r="F39" t="s">
        <v>5</v>
      </c>
      <c r="G39" t="s">
        <v>6</v>
      </c>
      <c r="L39" t="s">
        <v>7</v>
      </c>
      <c r="M39">
        <v>2020</v>
      </c>
      <c r="N39" s="1">
        <v>44656</v>
      </c>
      <c r="O39" t="s">
        <v>255</v>
      </c>
      <c r="P39">
        <v>1</v>
      </c>
      <c r="S39">
        <v>227.95</v>
      </c>
      <c r="T39">
        <v>260</v>
      </c>
      <c r="U39">
        <v>200</v>
      </c>
      <c r="V39" t="s">
        <v>98</v>
      </c>
      <c r="W39" t="s">
        <v>256</v>
      </c>
      <c r="X39" t="s">
        <v>257</v>
      </c>
      <c r="Y39" t="s">
        <v>258</v>
      </c>
      <c r="AF39" t="s">
        <v>13</v>
      </c>
      <c r="AG39" t="str">
        <f>HYPERLINK("https://doi.org/10.1515/9781474450584")</f>
        <v>https://doi.org/10.1515/9781474450584</v>
      </c>
      <c r="AH39" t="str">
        <f>HYPERLINK("http://www.degruyter.com/isbn/9781474450584")</f>
        <v>http://www.degruyter.com/isbn/9781474450584</v>
      </c>
      <c r="AI39" t="s">
        <v>14</v>
      </c>
      <c r="AL39" t="s">
        <v>102</v>
      </c>
      <c r="AM39">
        <v>1</v>
      </c>
      <c r="AN39" s="2">
        <v>9781474450560</v>
      </c>
    </row>
    <row r="40" spans="1:40" x14ac:dyDescent="0.3">
      <c r="A40" t="s">
        <v>259</v>
      </c>
      <c r="B40" t="s">
        <v>1</v>
      </c>
      <c r="C40" t="s">
        <v>260</v>
      </c>
      <c r="E40" t="s">
        <v>261</v>
      </c>
      <c r="F40" t="s">
        <v>5</v>
      </c>
      <c r="G40" t="s">
        <v>6</v>
      </c>
      <c r="L40" t="s">
        <v>7</v>
      </c>
      <c r="M40">
        <v>2013</v>
      </c>
      <c r="N40" s="1">
        <v>41600</v>
      </c>
      <c r="O40" t="s">
        <v>262</v>
      </c>
      <c r="P40">
        <v>1</v>
      </c>
      <c r="S40">
        <v>217.95</v>
      </c>
      <c r="T40">
        <v>250</v>
      </c>
      <c r="U40">
        <v>190</v>
      </c>
      <c r="V40" t="s">
        <v>42</v>
      </c>
      <c r="W40" t="s">
        <v>43</v>
      </c>
      <c r="X40" t="s">
        <v>44</v>
      </c>
      <c r="Y40" t="s">
        <v>45</v>
      </c>
      <c r="AF40" t="s">
        <v>13</v>
      </c>
      <c r="AG40" t="str">
        <f>HYPERLINK("https://doi.org/10.1515/9780748676125")</f>
        <v>https://doi.org/10.1515/9780748676125</v>
      </c>
      <c r="AH40" t="str">
        <f>HYPERLINK("http://www.degruyter.com/isbn/9780748676125")</f>
        <v>http://www.degruyter.com/isbn/9780748676125</v>
      </c>
      <c r="AI40" t="s">
        <v>68</v>
      </c>
      <c r="AL40" t="s">
        <v>47</v>
      </c>
      <c r="AM40">
        <v>1</v>
      </c>
      <c r="AN40" s="2">
        <v>9780748676118</v>
      </c>
    </row>
    <row r="41" spans="1:40" x14ac:dyDescent="0.3">
      <c r="A41" t="s">
        <v>263</v>
      </c>
      <c r="B41" t="s">
        <v>1</v>
      </c>
      <c r="C41" t="s">
        <v>264</v>
      </c>
      <c r="D41" t="s">
        <v>265</v>
      </c>
      <c r="E41" t="s">
        <v>266</v>
      </c>
      <c r="F41" t="s">
        <v>5</v>
      </c>
      <c r="G41" t="s">
        <v>6</v>
      </c>
      <c r="L41" t="s">
        <v>7</v>
      </c>
      <c r="M41">
        <v>2013</v>
      </c>
      <c r="N41" s="1">
        <v>41386</v>
      </c>
      <c r="O41" t="s">
        <v>267</v>
      </c>
      <c r="P41">
        <v>1</v>
      </c>
      <c r="S41">
        <v>217.95</v>
      </c>
      <c r="T41">
        <v>250</v>
      </c>
      <c r="U41">
        <v>190</v>
      </c>
      <c r="V41" t="s">
        <v>268</v>
      </c>
      <c r="W41" t="s">
        <v>269</v>
      </c>
      <c r="X41" t="s">
        <v>269</v>
      </c>
      <c r="Y41" t="s">
        <v>270</v>
      </c>
      <c r="AF41" t="s">
        <v>13</v>
      </c>
      <c r="AG41" t="str">
        <f>HYPERLINK("https://doi.org/10.1515/9780748670581?locatt=mode:legacy")</f>
        <v>https://doi.org/10.1515/9780748670581?locatt=mode:legacy</v>
      </c>
      <c r="AH41" t="str">
        <f>HYPERLINK("http://www.degruyter.com/isbn/9780748670581")</f>
        <v>http://www.degruyter.com/isbn/9780748670581</v>
      </c>
      <c r="AI41" t="s">
        <v>271</v>
      </c>
      <c r="AL41" t="s">
        <v>272</v>
      </c>
      <c r="AM41">
        <v>1</v>
      </c>
      <c r="AN41" s="2">
        <v>9780748670574</v>
      </c>
    </row>
    <row r="42" spans="1:40" x14ac:dyDescent="0.3">
      <c r="A42" t="s">
        <v>273</v>
      </c>
      <c r="B42" t="s">
        <v>1</v>
      </c>
      <c r="C42" t="s">
        <v>274</v>
      </c>
      <c r="D42" t="s">
        <v>275</v>
      </c>
      <c r="E42" t="s">
        <v>276</v>
      </c>
      <c r="F42" t="s">
        <v>5</v>
      </c>
      <c r="G42" t="s">
        <v>6</v>
      </c>
      <c r="L42" t="s">
        <v>7</v>
      </c>
      <c r="M42">
        <v>2019</v>
      </c>
      <c r="N42" s="1">
        <v>44644</v>
      </c>
      <c r="O42" t="s">
        <v>277</v>
      </c>
      <c r="P42">
        <v>1</v>
      </c>
      <c r="S42">
        <v>253.95</v>
      </c>
      <c r="T42">
        <v>290</v>
      </c>
      <c r="U42">
        <v>220</v>
      </c>
      <c r="V42" t="s">
        <v>58</v>
      </c>
      <c r="W42" t="s">
        <v>59</v>
      </c>
      <c r="X42" t="s">
        <v>278</v>
      </c>
      <c r="Y42" t="s">
        <v>279</v>
      </c>
      <c r="AF42" t="s">
        <v>13</v>
      </c>
      <c r="AG42" t="str">
        <f>HYPERLINK("https://doi.org/10.1515/9781474444231")</f>
        <v>https://doi.org/10.1515/9781474444231</v>
      </c>
      <c r="AH42" t="str">
        <f>HYPERLINK("http://www.degruyter.com/isbn/9781474444231")</f>
        <v>http://www.degruyter.com/isbn/9781474444231</v>
      </c>
      <c r="AI42" t="s">
        <v>280</v>
      </c>
      <c r="AL42" t="s">
        <v>62</v>
      </c>
      <c r="AM42">
        <v>1</v>
      </c>
      <c r="AN42" s="2">
        <v>9781474444217</v>
      </c>
    </row>
    <row r="43" spans="1:40" x14ac:dyDescent="0.3">
      <c r="A43" t="s">
        <v>281</v>
      </c>
      <c r="B43" t="s">
        <v>1</v>
      </c>
      <c r="C43" t="s">
        <v>282</v>
      </c>
      <c r="D43" t="s">
        <v>283</v>
      </c>
      <c r="E43" t="s">
        <v>284</v>
      </c>
      <c r="F43" t="s">
        <v>5</v>
      </c>
      <c r="G43" t="s">
        <v>6</v>
      </c>
      <c r="L43" t="s">
        <v>7</v>
      </c>
      <c r="M43">
        <v>2019</v>
      </c>
      <c r="N43" s="1">
        <v>44656</v>
      </c>
      <c r="O43" t="s">
        <v>285</v>
      </c>
      <c r="P43">
        <v>1</v>
      </c>
      <c r="S43">
        <v>217.95</v>
      </c>
      <c r="T43">
        <v>250</v>
      </c>
      <c r="U43">
        <v>190</v>
      </c>
      <c r="V43" t="s">
        <v>42</v>
      </c>
      <c r="W43" t="s">
        <v>43</v>
      </c>
      <c r="X43" t="s">
        <v>44</v>
      </c>
      <c r="Y43" t="s">
        <v>45</v>
      </c>
      <c r="AF43" t="s">
        <v>13</v>
      </c>
      <c r="AG43" t="str">
        <f>HYPERLINK("https://doi.org/10.1515/9781474454339?locatt=mode:legacy")</f>
        <v>https://doi.org/10.1515/9781474454339?locatt=mode:legacy</v>
      </c>
      <c r="AH43" t="str">
        <f>HYPERLINK("http://www.degruyter.com/isbn/9781474454339")</f>
        <v>http://www.degruyter.com/isbn/9781474454339</v>
      </c>
      <c r="AI43" t="s">
        <v>280</v>
      </c>
      <c r="AL43" t="s">
        <v>47</v>
      </c>
      <c r="AM43">
        <v>1</v>
      </c>
      <c r="AN43" s="2">
        <v>9781474454315</v>
      </c>
    </row>
    <row r="44" spans="1:40" x14ac:dyDescent="0.3">
      <c r="A44" t="s">
        <v>286</v>
      </c>
      <c r="B44" t="s">
        <v>1</v>
      </c>
      <c r="C44" t="s">
        <v>287</v>
      </c>
      <c r="E44" t="s">
        <v>288</v>
      </c>
      <c r="F44" t="s">
        <v>5</v>
      </c>
      <c r="G44" t="s">
        <v>6</v>
      </c>
      <c r="L44" t="s">
        <v>7</v>
      </c>
      <c r="M44">
        <v>2009</v>
      </c>
      <c r="N44" s="1">
        <v>40052</v>
      </c>
      <c r="O44" t="s">
        <v>289</v>
      </c>
      <c r="P44">
        <v>1</v>
      </c>
      <c r="S44">
        <v>217.95</v>
      </c>
      <c r="T44">
        <v>250</v>
      </c>
      <c r="U44">
        <v>190</v>
      </c>
      <c r="V44" t="s">
        <v>42</v>
      </c>
      <c r="W44" t="s">
        <v>290</v>
      </c>
      <c r="X44" t="s">
        <v>290</v>
      </c>
      <c r="Y44" t="s">
        <v>291</v>
      </c>
      <c r="AF44" t="s">
        <v>13</v>
      </c>
      <c r="AG44" t="str">
        <f>HYPERLINK("https://doi.org/10.1515/9780748641567?locatt=mode:legacy")</f>
        <v>https://doi.org/10.1515/9780748641567?locatt=mode:legacy</v>
      </c>
      <c r="AH44" t="str">
        <f>HYPERLINK("http://www.degruyter.com/isbn/9780748641567")</f>
        <v>http://www.degruyter.com/isbn/9780748641567</v>
      </c>
      <c r="AI44" t="s">
        <v>68</v>
      </c>
      <c r="AL44" t="s">
        <v>47</v>
      </c>
      <c r="AM44">
        <v>1</v>
      </c>
      <c r="AN44" s="2">
        <v>9780748638727</v>
      </c>
    </row>
    <row r="45" spans="1:40" x14ac:dyDescent="0.3">
      <c r="A45" t="s">
        <v>292</v>
      </c>
      <c r="B45" t="s">
        <v>1</v>
      </c>
      <c r="C45" t="s">
        <v>293</v>
      </c>
      <c r="D45" t="s">
        <v>294</v>
      </c>
      <c r="E45" t="s">
        <v>295</v>
      </c>
      <c r="F45" t="s">
        <v>5</v>
      </c>
      <c r="G45" t="s">
        <v>6</v>
      </c>
      <c r="L45" t="s">
        <v>7</v>
      </c>
      <c r="M45">
        <v>2010</v>
      </c>
      <c r="N45" s="1">
        <v>40470</v>
      </c>
      <c r="O45" t="s">
        <v>296</v>
      </c>
      <c r="P45">
        <v>1</v>
      </c>
      <c r="S45">
        <v>217.95</v>
      </c>
      <c r="T45">
        <v>250</v>
      </c>
      <c r="U45">
        <v>190</v>
      </c>
      <c r="V45" t="s">
        <v>297</v>
      </c>
      <c r="W45" t="s">
        <v>298</v>
      </c>
      <c r="X45" t="s">
        <v>298</v>
      </c>
      <c r="Y45" t="s">
        <v>299</v>
      </c>
      <c r="AF45" t="s">
        <v>13</v>
      </c>
      <c r="AG45" t="str">
        <f>HYPERLINK("https://doi.org/10.1515/9780748643714?locatt=mode:legacy")</f>
        <v>https://doi.org/10.1515/9780748643714?locatt=mode:legacy</v>
      </c>
      <c r="AH45" t="str">
        <f>HYPERLINK("http://www.degruyter.com/isbn/9780748643714")</f>
        <v>http://www.degruyter.com/isbn/9780748643714</v>
      </c>
      <c r="AI45" t="s">
        <v>68</v>
      </c>
      <c r="AL45" t="s">
        <v>83</v>
      </c>
      <c r="AM45">
        <v>1</v>
      </c>
      <c r="AN45" s="2">
        <v>9780748639236</v>
      </c>
    </row>
    <row r="46" spans="1:40" x14ac:dyDescent="0.3">
      <c r="A46" t="s">
        <v>300</v>
      </c>
      <c r="B46" t="s">
        <v>1</v>
      </c>
      <c r="C46" t="s">
        <v>301</v>
      </c>
      <c r="D46" t="s">
        <v>302</v>
      </c>
      <c r="E46" t="s">
        <v>303</v>
      </c>
      <c r="F46" t="s">
        <v>5</v>
      </c>
      <c r="G46" t="s">
        <v>6</v>
      </c>
      <c r="L46" t="s">
        <v>7</v>
      </c>
      <c r="M46">
        <v>2007</v>
      </c>
      <c r="N46" s="1">
        <v>39379</v>
      </c>
      <c r="O46" t="s">
        <v>304</v>
      </c>
      <c r="P46">
        <v>1</v>
      </c>
      <c r="S46">
        <v>279.95</v>
      </c>
      <c r="T46">
        <v>320</v>
      </c>
      <c r="U46">
        <v>240</v>
      </c>
      <c r="V46" t="s">
        <v>305</v>
      </c>
      <c r="W46" t="s">
        <v>306</v>
      </c>
      <c r="X46" t="s">
        <v>306</v>
      </c>
      <c r="Y46" t="s">
        <v>307</v>
      </c>
      <c r="AF46" t="s">
        <v>13</v>
      </c>
      <c r="AG46" t="str">
        <f>HYPERLINK("https://doi.org/10.1515/9780748630844")</f>
        <v>https://doi.org/10.1515/9780748630844</v>
      </c>
      <c r="AH46" t="str">
        <f>HYPERLINK("http://www.degruyter.com/isbn/9780748630844")</f>
        <v>http://www.degruyter.com/isbn/9780748630844</v>
      </c>
      <c r="AI46" t="s">
        <v>68</v>
      </c>
      <c r="AL46" t="s">
        <v>308</v>
      </c>
      <c r="AM46">
        <v>1</v>
      </c>
      <c r="AN46" s="2">
        <v>9780748625208</v>
      </c>
    </row>
    <row r="47" spans="1:40" x14ac:dyDescent="0.3">
      <c r="A47" t="s">
        <v>309</v>
      </c>
      <c r="B47" t="s">
        <v>1</v>
      </c>
      <c r="C47" t="s">
        <v>310</v>
      </c>
      <c r="E47" t="s">
        <v>311</v>
      </c>
      <c r="F47" t="s">
        <v>5</v>
      </c>
      <c r="G47" t="s">
        <v>6</v>
      </c>
      <c r="L47" t="s">
        <v>7</v>
      </c>
      <c r="M47">
        <v>2004</v>
      </c>
      <c r="N47" s="1">
        <v>44607</v>
      </c>
      <c r="O47" t="s">
        <v>312</v>
      </c>
      <c r="P47">
        <v>1</v>
      </c>
      <c r="S47">
        <v>217.95</v>
      </c>
      <c r="T47">
        <v>250</v>
      </c>
      <c r="U47">
        <v>190</v>
      </c>
      <c r="V47" t="s">
        <v>20</v>
      </c>
      <c r="W47" t="s">
        <v>21</v>
      </c>
      <c r="X47" t="s">
        <v>22</v>
      </c>
      <c r="Y47" t="s">
        <v>23</v>
      </c>
      <c r="AF47" t="s">
        <v>13</v>
      </c>
      <c r="AG47" t="str">
        <f>HYPERLINK("https://doi.org/10.1515/9781474465465")</f>
        <v>https://doi.org/10.1515/9781474465465</v>
      </c>
      <c r="AH47" t="str">
        <f>HYPERLINK("http://www.degruyter.com/isbn/9781474465465")</f>
        <v>http://www.degruyter.com/isbn/9781474465465</v>
      </c>
      <c r="AI47" t="s">
        <v>68</v>
      </c>
      <c r="AL47" t="s">
        <v>15</v>
      </c>
      <c r="AM47">
        <v>1</v>
      </c>
      <c r="AN47" s="2">
        <v>9780748619115</v>
      </c>
    </row>
    <row r="48" spans="1:40" x14ac:dyDescent="0.3">
      <c r="A48" t="s">
        <v>313</v>
      </c>
      <c r="B48" t="s">
        <v>1</v>
      </c>
      <c r="C48" t="s">
        <v>314</v>
      </c>
      <c r="D48" t="s">
        <v>315</v>
      </c>
      <c r="E48" t="s">
        <v>316</v>
      </c>
      <c r="F48" t="s">
        <v>5</v>
      </c>
      <c r="G48" t="s">
        <v>6</v>
      </c>
      <c r="L48" t="s">
        <v>7</v>
      </c>
      <c r="M48">
        <v>2009</v>
      </c>
      <c r="N48" s="1">
        <v>40070</v>
      </c>
      <c r="O48" t="s">
        <v>317</v>
      </c>
      <c r="P48">
        <v>1</v>
      </c>
      <c r="S48">
        <v>253.95</v>
      </c>
      <c r="T48">
        <v>290</v>
      </c>
      <c r="U48">
        <v>220</v>
      </c>
      <c r="V48" t="s">
        <v>79</v>
      </c>
      <c r="W48" t="s">
        <v>123</v>
      </c>
      <c r="X48" t="s">
        <v>123</v>
      </c>
      <c r="Y48" t="s">
        <v>124</v>
      </c>
      <c r="AF48" t="s">
        <v>13</v>
      </c>
      <c r="AG48" t="str">
        <f>HYPERLINK("https://doi.org/10.1515/9780748640928")</f>
        <v>https://doi.org/10.1515/9780748640928</v>
      </c>
      <c r="AH48" t="str">
        <f>HYPERLINK("http://www.degruyter.com/isbn/9780748640928")</f>
        <v>http://www.degruyter.com/isbn/9780748640928</v>
      </c>
      <c r="AI48" t="s">
        <v>68</v>
      </c>
      <c r="AL48" t="s">
        <v>83</v>
      </c>
      <c r="AM48">
        <v>1</v>
      </c>
      <c r="AN48" s="2">
        <v>9780748638819</v>
      </c>
    </row>
    <row r="49" spans="1:40" x14ac:dyDescent="0.3">
      <c r="A49" t="s">
        <v>318</v>
      </c>
      <c r="B49" t="s">
        <v>1</v>
      </c>
      <c r="C49" t="s">
        <v>319</v>
      </c>
      <c r="D49" t="s">
        <v>320</v>
      </c>
      <c r="E49" t="s">
        <v>321</v>
      </c>
      <c r="F49" t="s">
        <v>5</v>
      </c>
      <c r="G49" t="s">
        <v>6</v>
      </c>
      <c r="L49" t="s">
        <v>7</v>
      </c>
      <c r="M49">
        <v>2015</v>
      </c>
      <c r="N49" s="1">
        <v>42026</v>
      </c>
      <c r="O49" t="s">
        <v>322</v>
      </c>
      <c r="P49">
        <v>1</v>
      </c>
      <c r="S49">
        <v>209.95</v>
      </c>
      <c r="T49">
        <v>240</v>
      </c>
      <c r="U49">
        <v>180</v>
      </c>
      <c r="V49" t="s">
        <v>20</v>
      </c>
      <c r="W49" t="s">
        <v>21</v>
      </c>
      <c r="X49" t="s">
        <v>22</v>
      </c>
      <c r="Y49" t="s">
        <v>23</v>
      </c>
      <c r="AF49" t="s">
        <v>13</v>
      </c>
      <c r="AG49" t="str">
        <f>HYPERLINK("https://doi.org/10.1515/9780748697632")</f>
        <v>https://doi.org/10.1515/9780748697632</v>
      </c>
      <c r="AH49" t="str">
        <f>HYPERLINK("http://www.degruyter.com/isbn/9780748697632")</f>
        <v>http://www.degruyter.com/isbn/9780748697632</v>
      </c>
      <c r="AI49" t="s">
        <v>323</v>
      </c>
      <c r="AL49" t="s">
        <v>15</v>
      </c>
      <c r="AM49">
        <v>1</v>
      </c>
      <c r="AN49" s="2">
        <v>9780748697618</v>
      </c>
    </row>
    <row r="50" spans="1:40" x14ac:dyDescent="0.3">
      <c r="A50" t="s">
        <v>324</v>
      </c>
      <c r="B50" t="s">
        <v>1</v>
      </c>
      <c r="C50" t="s">
        <v>325</v>
      </c>
      <c r="D50" t="s">
        <v>326</v>
      </c>
      <c r="E50" t="s">
        <v>327</v>
      </c>
      <c r="F50" t="s">
        <v>5</v>
      </c>
      <c r="G50" t="s">
        <v>6</v>
      </c>
      <c r="L50" t="s">
        <v>7</v>
      </c>
      <c r="M50">
        <v>2000</v>
      </c>
      <c r="N50" s="1">
        <v>36829</v>
      </c>
      <c r="O50" t="s">
        <v>328</v>
      </c>
      <c r="P50">
        <v>1</v>
      </c>
      <c r="S50">
        <v>417.95</v>
      </c>
      <c r="T50">
        <v>480</v>
      </c>
      <c r="U50">
        <v>370</v>
      </c>
      <c r="V50" t="s">
        <v>329</v>
      </c>
      <c r="W50" t="s">
        <v>330</v>
      </c>
      <c r="X50" t="s">
        <v>331</v>
      </c>
      <c r="Y50" t="s">
        <v>332</v>
      </c>
      <c r="AF50" t="s">
        <v>13</v>
      </c>
      <c r="AG50" t="str">
        <f>HYPERLINK("https://doi.org/10.1515/9781474472746")</f>
        <v>https://doi.org/10.1515/9781474472746</v>
      </c>
      <c r="AH50" t="str">
        <f>HYPERLINK("http://www.degruyter.com/isbn/9781474472746")</f>
        <v>http://www.degruyter.com/isbn/9781474472746</v>
      </c>
      <c r="AI50" t="s">
        <v>68</v>
      </c>
      <c r="AL50" t="s">
        <v>333</v>
      </c>
      <c r="AM50">
        <v>1</v>
      </c>
      <c r="AN50" s="2">
        <v>9780748614042</v>
      </c>
    </row>
    <row r="51" spans="1:40" x14ac:dyDescent="0.3">
      <c r="A51" t="s">
        <v>334</v>
      </c>
      <c r="B51" t="s">
        <v>1</v>
      </c>
      <c r="C51" t="s">
        <v>335</v>
      </c>
      <c r="D51" t="s">
        <v>336</v>
      </c>
      <c r="E51" t="s">
        <v>337</v>
      </c>
      <c r="F51" t="s">
        <v>5</v>
      </c>
      <c r="G51" t="s">
        <v>6</v>
      </c>
      <c r="L51" t="s">
        <v>7</v>
      </c>
      <c r="M51">
        <v>2020</v>
      </c>
      <c r="N51" s="1">
        <v>44656</v>
      </c>
      <c r="O51" t="s">
        <v>338</v>
      </c>
      <c r="P51">
        <v>1</v>
      </c>
      <c r="S51">
        <v>217.95</v>
      </c>
      <c r="T51">
        <v>250</v>
      </c>
      <c r="U51">
        <v>190</v>
      </c>
      <c r="V51" t="s">
        <v>9</v>
      </c>
      <c r="W51" t="s">
        <v>10</v>
      </c>
      <c r="X51" t="s">
        <v>11</v>
      </c>
      <c r="Y51" t="s">
        <v>52</v>
      </c>
      <c r="AF51" t="s">
        <v>13</v>
      </c>
      <c r="AG51" t="str">
        <f>HYPERLINK("https://doi.org/10.1515/9781474462792?locatt=mode:legacy")</f>
        <v>https://doi.org/10.1515/9781474462792?locatt=mode:legacy</v>
      </c>
      <c r="AH51" t="str">
        <f>HYPERLINK("http://www.degruyter.com/isbn/9781474462792")</f>
        <v>http://www.degruyter.com/isbn/9781474462792</v>
      </c>
      <c r="AI51" t="s">
        <v>14</v>
      </c>
      <c r="AL51" t="s">
        <v>15</v>
      </c>
      <c r="AM51">
        <v>1</v>
      </c>
      <c r="AN51" s="2">
        <v>9781474462778</v>
      </c>
    </row>
    <row r="52" spans="1:40" x14ac:dyDescent="0.3">
      <c r="A52" t="s">
        <v>339</v>
      </c>
      <c r="B52" t="s">
        <v>1</v>
      </c>
      <c r="C52" t="s">
        <v>340</v>
      </c>
      <c r="D52" t="s">
        <v>341</v>
      </c>
      <c r="E52" t="s">
        <v>342</v>
      </c>
      <c r="F52" t="s">
        <v>5</v>
      </c>
      <c r="G52" t="s">
        <v>6</v>
      </c>
      <c r="L52" t="s">
        <v>7</v>
      </c>
      <c r="M52">
        <v>2019</v>
      </c>
      <c r="N52" s="1">
        <v>44656</v>
      </c>
      <c r="O52" t="s">
        <v>343</v>
      </c>
      <c r="P52">
        <v>1</v>
      </c>
      <c r="S52">
        <v>217.95</v>
      </c>
      <c r="T52">
        <v>250</v>
      </c>
      <c r="U52">
        <v>190</v>
      </c>
      <c r="V52" t="s">
        <v>42</v>
      </c>
      <c r="W52" t="s">
        <v>116</v>
      </c>
      <c r="X52" t="s">
        <v>116</v>
      </c>
      <c r="Y52" t="s">
        <v>117</v>
      </c>
      <c r="AF52" t="s">
        <v>13</v>
      </c>
      <c r="AG52" t="str">
        <f>HYPERLINK("https://doi.org/10.1515/9781474417389")</f>
        <v>https://doi.org/10.1515/9781474417389</v>
      </c>
      <c r="AH52" t="str">
        <f>HYPERLINK("http://www.degruyter.com/isbn/9781474417389")</f>
        <v>http://www.degruyter.com/isbn/9781474417389</v>
      </c>
      <c r="AI52" t="s">
        <v>280</v>
      </c>
      <c r="AL52" t="s">
        <v>47</v>
      </c>
      <c r="AM52">
        <v>1</v>
      </c>
      <c r="AN52" s="2">
        <v>9781474417365</v>
      </c>
    </row>
    <row r="53" spans="1:40" x14ac:dyDescent="0.3">
      <c r="A53" t="s">
        <v>344</v>
      </c>
      <c r="B53" t="s">
        <v>1</v>
      </c>
      <c r="C53" t="s">
        <v>345</v>
      </c>
      <c r="D53" t="s">
        <v>346</v>
      </c>
      <c r="E53" t="s">
        <v>347</v>
      </c>
      <c r="F53" t="s">
        <v>5</v>
      </c>
      <c r="G53" t="s">
        <v>6</v>
      </c>
      <c r="L53" t="s">
        <v>7</v>
      </c>
      <c r="M53">
        <v>2018</v>
      </c>
      <c r="N53" s="1">
        <v>44656</v>
      </c>
      <c r="O53" t="s">
        <v>348</v>
      </c>
      <c r="P53">
        <v>1</v>
      </c>
      <c r="S53">
        <v>191.95</v>
      </c>
      <c r="T53">
        <v>220</v>
      </c>
      <c r="U53">
        <v>170</v>
      </c>
      <c r="V53" t="s">
        <v>58</v>
      </c>
      <c r="W53" t="s">
        <v>59</v>
      </c>
      <c r="X53" t="s">
        <v>60</v>
      </c>
      <c r="Y53" t="s">
        <v>349</v>
      </c>
      <c r="AF53" t="s">
        <v>13</v>
      </c>
      <c r="AG53" t="str">
        <f>HYPERLINK("https://doi.org/10.1515/9781474444279")</f>
        <v>https://doi.org/10.1515/9781474444279</v>
      </c>
      <c r="AH53" t="str">
        <f>HYPERLINK("http://www.degruyter.com/isbn/9781474444279")</f>
        <v>http://www.degruyter.com/isbn/9781474444279</v>
      </c>
      <c r="AI53" t="s">
        <v>350</v>
      </c>
      <c r="AL53" t="s">
        <v>62</v>
      </c>
      <c r="AM53">
        <v>1</v>
      </c>
      <c r="AN53" s="2">
        <v>9781474444255</v>
      </c>
    </row>
    <row r="54" spans="1:40" x14ac:dyDescent="0.3">
      <c r="A54" t="s">
        <v>351</v>
      </c>
      <c r="B54" t="s">
        <v>1</v>
      </c>
      <c r="C54" t="s">
        <v>352</v>
      </c>
      <c r="E54" t="s">
        <v>353</v>
      </c>
      <c r="F54" t="s">
        <v>5</v>
      </c>
      <c r="G54" t="s">
        <v>6</v>
      </c>
      <c r="L54" t="s">
        <v>7</v>
      </c>
      <c r="M54">
        <v>2007</v>
      </c>
      <c r="N54" s="1">
        <v>39408</v>
      </c>
      <c r="O54" t="s">
        <v>354</v>
      </c>
      <c r="P54">
        <v>1</v>
      </c>
      <c r="S54">
        <v>253.95</v>
      </c>
      <c r="T54">
        <v>290</v>
      </c>
      <c r="U54">
        <v>220</v>
      </c>
      <c r="V54" t="s">
        <v>79</v>
      </c>
      <c r="W54" t="s">
        <v>227</v>
      </c>
      <c r="X54" t="s">
        <v>234</v>
      </c>
      <c r="Y54" t="s">
        <v>355</v>
      </c>
      <c r="AF54" t="s">
        <v>13</v>
      </c>
      <c r="AG54" t="str">
        <f>HYPERLINK("https://doi.org/10.1515/9780748631803?locatt=mode:legacy")</f>
        <v>https://doi.org/10.1515/9780748631803?locatt=mode:legacy</v>
      </c>
      <c r="AH54" t="str">
        <f>HYPERLINK("http://www.degruyter.com/isbn/9780748631803")</f>
        <v>http://www.degruyter.com/isbn/9780748631803</v>
      </c>
      <c r="AI54" t="s">
        <v>68</v>
      </c>
      <c r="AL54" t="s">
        <v>83</v>
      </c>
      <c r="AM54">
        <v>1</v>
      </c>
      <c r="AN54" s="2">
        <v>9780748627967</v>
      </c>
    </row>
    <row r="55" spans="1:40" x14ac:dyDescent="0.3">
      <c r="A55" t="s">
        <v>356</v>
      </c>
      <c r="B55" t="s">
        <v>1</v>
      </c>
      <c r="C55" t="s">
        <v>357</v>
      </c>
      <c r="E55" t="s">
        <v>358</v>
      </c>
      <c r="F55" t="s">
        <v>5</v>
      </c>
      <c r="G55" t="s">
        <v>6</v>
      </c>
      <c r="L55" t="s">
        <v>7</v>
      </c>
      <c r="M55">
        <v>2016</v>
      </c>
      <c r="N55" s="1">
        <v>42561</v>
      </c>
      <c r="O55" t="s">
        <v>359</v>
      </c>
      <c r="P55">
        <v>1</v>
      </c>
      <c r="S55">
        <v>253.95</v>
      </c>
      <c r="T55">
        <v>290</v>
      </c>
      <c r="U55">
        <v>220</v>
      </c>
      <c r="V55" t="s">
        <v>268</v>
      </c>
      <c r="W55" t="s">
        <v>269</v>
      </c>
      <c r="X55" t="s">
        <v>269</v>
      </c>
      <c r="Y55" t="s">
        <v>360</v>
      </c>
      <c r="AF55" t="s">
        <v>13</v>
      </c>
      <c r="AG55" t="str">
        <f>HYPERLINK("https://doi.org/10.1515/9781474400770")</f>
        <v>https://doi.org/10.1515/9781474400770</v>
      </c>
      <c r="AH55" t="str">
        <f>HYPERLINK("http://www.degruyter.com/isbn/9781474400770")</f>
        <v>http://www.degruyter.com/isbn/9781474400770</v>
      </c>
      <c r="AI55" t="s">
        <v>361</v>
      </c>
      <c r="AL55" t="s">
        <v>272</v>
      </c>
      <c r="AM55">
        <v>1</v>
      </c>
      <c r="AN55" s="2">
        <v>9781474400763</v>
      </c>
    </row>
    <row r="56" spans="1:40" x14ac:dyDescent="0.3">
      <c r="A56" t="s">
        <v>362</v>
      </c>
      <c r="B56" t="s">
        <v>1</v>
      </c>
      <c r="C56" t="s">
        <v>363</v>
      </c>
      <c r="E56" t="s">
        <v>364</v>
      </c>
      <c r="F56" t="s">
        <v>5</v>
      </c>
      <c r="G56" t="s">
        <v>6</v>
      </c>
      <c r="L56" t="s">
        <v>7</v>
      </c>
      <c r="M56">
        <v>2018</v>
      </c>
      <c r="N56" s="1">
        <v>44644</v>
      </c>
      <c r="O56" t="s">
        <v>365</v>
      </c>
      <c r="P56">
        <v>1</v>
      </c>
      <c r="S56">
        <v>183.95</v>
      </c>
      <c r="T56">
        <v>210</v>
      </c>
      <c r="U56">
        <v>160</v>
      </c>
      <c r="V56" t="s">
        <v>98</v>
      </c>
      <c r="W56" t="s">
        <v>366</v>
      </c>
      <c r="X56" t="s">
        <v>367</v>
      </c>
      <c r="Y56" t="s">
        <v>368</v>
      </c>
      <c r="AF56" t="s">
        <v>13</v>
      </c>
      <c r="AG56" t="str">
        <f>HYPERLINK("https://doi.org/10.1515/9781474434089?locatt=mode:legacy")</f>
        <v>https://doi.org/10.1515/9781474434089?locatt=mode:legacy</v>
      </c>
      <c r="AH56" t="str">
        <f>HYPERLINK("http://www.degruyter.com/isbn/9781474434089")</f>
        <v>http://www.degruyter.com/isbn/9781474434089</v>
      </c>
      <c r="AI56" t="s">
        <v>46</v>
      </c>
      <c r="AL56" t="s">
        <v>102</v>
      </c>
      <c r="AM56">
        <v>1</v>
      </c>
      <c r="AN56" s="2">
        <v>9781474434072</v>
      </c>
    </row>
    <row r="57" spans="1:40" x14ac:dyDescent="0.3">
      <c r="A57" t="s">
        <v>369</v>
      </c>
      <c r="B57" t="s">
        <v>1</v>
      </c>
      <c r="C57" t="s">
        <v>370</v>
      </c>
      <c r="D57" t="s">
        <v>371</v>
      </c>
      <c r="E57" t="s">
        <v>372</v>
      </c>
      <c r="F57" t="s">
        <v>5</v>
      </c>
      <c r="G57" t="s">
        <v>6</v>
      </c>
      <c r="L57" t="s">
        <v>7</v>
      </c>
      <c r="M57">
        <v>2020</v>
      </c>
      <c r="N57" s="1">
        <v>44644</v>
      </c>
      <c r="O57" t="s">
        <v>373</v>
      </c>
      <c r="P57">
        <v>1</v>
      </c>
      <c r="S57">
        <v>217.95</v>
      </c>
      <c r="T57">
        <v>250</v>
      </c>
      <c r="U57">
        <v>190</v>
      </c>
      <c r="V57" t="s">
        <v>268</v>
      </c>
      <c r="W57" t="s">
        <v>269</v>
      </c>
      <c r="X57" t="s">
        <v>269</v>
      </c>
      <c r="Y57" t="s">
        <v>374</v>
      </c>
      <c r="AF57" t="s">
        <v>13</v>
      </c>
      <c r="AG57" t="str">
        <f>HYPERLINK("https://doi.org/10.1515/9781474454995")</f>
        <v>https://doi.org/10.1515/9781474454995</v>
      </c>
      <c r="AH57" t="str">
        <f>HYPERLINK("http://www.degruyter.com/isbn/9781474454995")</f>
        <v>http://www.degruyter.com/isbn/9781474454995</v>
      </c>
      <c r="AI57" t="s">
        <v>375</v>
      </c>
      <c r="AL57" t="s">
        <v>272</v>
      </c>
      <c r="AM57">
        <v>1</v>
      </c>
      <c r="AN57" s="2">
        <v>9781474454971</v>
      </c>
    </row>
    <row r="58" spans="1:40" x14ac:dyDescent="0.3">
      <c r="A58" t="s">
        <v>376</v>
      </c>
      <c r="B58" t="s">
        <v>1</v>
      </c>
      <c r="C58" t="s">
        <v>377</v>
      </c>
      <c r="D58" t="s">
        <v>378</v>
      </c>
      <c r="E58" t="s">
        <v>379</v>
      </c>
      <c r="F58" t="s">
        <v>5</v>
      </c>
      <c r="G58" t="s">
        <v>6</v>
      </c>
      <c r="L58" t="s">
        <v>7</v>
      </c>
      <c r="M58">
        <v>1994</v>
      </c>
      <c r="N58" s="1">
        <v>44719</v>
      </c>
      <c r="O58" t="s">
        <v>380</v>
      </c>
      <c r="P58">
        <v>1</v>
      </c>
      <c r="S58">
        <v>243.95</v>
      </c>
      <c r="T58">
        <v>280</v>
      </c>
      <c r="U58">
        <v>210</v>
      </c>
      <c r="V58" t="s">
        <v>42</v>
      </c>
      <c r="W58" t="s">
        <v>107</v>
      </c>
      <c r="X58" t="s">
        <v>108</v>
      </c>
      <c r="Y58" t="s">
        <v>109</v>
      </c>
      <c r="AF58" t="s">
        <v>13</v>
      </c>
      <c r="AG58" t="str">
        <f>HYPERLINK("https://www.degruyter.com/isbn/9781474472548")</f>
        <v>https://www.degruyter.com/isbn/9781474472548</v>
      </c>
      <c r="AH58" t="str">
        <f>HYPERLINK("http://www.degruyter.com/isbn/9781474472548")</f>
        <v>http://www.degruyter.com/isbn/9781474472548</v>
      </c>
      <c r="AI58" t="s">
        <v>24</v>
      </c>
      <c r="AL58" t="s">
        <v>47</v>
      </c>
      <c r="AM58">
        <v>1</v>
      </c>
      <c r="AN58" s="2">
        <v>9781853310577</v>
      </c>
    </row>
    <row r="59" spans="1:40" x14ac:dyDescent="0.3">
      <c r="A59" t="s">
        <v>381</v>
      </c>
      <c r="B59" t="s">
        <v>1</v>
      </c>
      <c r="C59" t="s">
        <v>382</v>
      </c>
      <c r="D59" t="s">
        <v>383</v>
      </c>
      <c r="E59" t="s">
        <v>384</v>
      </c>
      <c r="F59" t="s">
        <v>5</v>
      </c>
      <c r="G59" t="s">
        <v>6</v>
      </c>
      <c r="L59" t="s">
        <v>7</v>
      </c>
      <c r="M59">
        <v>2020</v>
      </c>
      <c r="N59" s="1">
        <v>44644</v>
      </c>
      <c r="O59" t="s">
        <v>385</v>
      </c>
      <c r="P59">
        <v>1</v>
      </c>
      <c r="S59">
        <v>243.95</v>
      </c>
      <c r="T59">
        <v>280</v>
      </c>
      <c r="U59">
        <v>210</v>
      </c>
      <c r="V59" t="s">
        <v>98</v>
      </c>
      <c r="W59" t="s">
        <v>99</v>
      </c>
      <c r="X59" t="s">
        <v>386</v>
      </c>
      <c r="Y59" t="s">
        <v>387</v>
      </c>
      <c r="AF59" t="s">
        <v>13</v>
      </c>
      <c r="AG59" t="str">
        <f>HYPERLINK("https://doi.org/10.1515/9781474438018?locatt=mode:legacy")</f>
        <v>https://doi.org/10.1515/9781474438018?locatt=mode:legacy</v>
      </c>
      <c r="AH59" t="str">
        <f>HYPERLINK("http://www.degruyter.com/isbn/9781474438018")</f>
        <v>http://www.degruyter.com/isbn/9781474438018</v>
      </c>
      <c r="AI59" t="s">
        <v>14</v>
      </c>
      <c r="AL59" t="s">
        <v>102</v>
      </c>
      <c r="AM59">
        <v>1</v>
      </c>
      <c r="AN59" s="2">
        <v>9781474437998</v>
      </c>
    </row>
    <row r="60" spans="1:40" x14ac:dyDescent="0.3">
      <c r="A60" t="s">
        <v>388</v>
      </c>
      <c r="B60" t="s">
        <v>1</v>
      </c>
      <c r="C60" t="s">
        <v>389</v>
      </c>
      <c r="D60" t="s">
        <v>390</v>
      </c>
      <c r="E60" t="s">
        <v>391</v>
      </c>
      <c r="F60" t="s">
        <v>5</v>
      </c>
      <c r="G60" t="s">
        <v>6</v>
      </c>
      <c r="L60" t="s">
        <v>7</v>
      </c>
      <c r="M60">
        <v>2017</v>
      </c>
      <c r="N60" s="1">
        <v>42874</v>
      </c>
      <c r="O60" t="s">
        <v>392</v>
      </c>
      <c r="P60">
        <v>1</v>
      </c>
      <c r="S60">
        <v>253.95</v>
      </c>
      <c r="T60">
        <v>290</v>
      </c>
      <c r="U60">
        <v>220</v>
      </c>
      <c r="V60" t="s">
        <v>42</v>
      </c>
      <c r="W60" t="s">
        <v>161</v>
      </c>
      <c r="X60" t="s">
        <v>162</v>
      </c>
      <c r="Y60" t="s">
        <v>393</v>
      </c>
      <c r="AF60" t="s">
        <v>13</v>
      </c>
      <c r="AG60" t="str">
        <f>HYPERLINK("https://doi.org/10.1515/9781474420525?locatt=mode:legacy")</f>
        <v>https://doi.org/10.1515/9781474420525?locatt=mode:legacy</v>
      </c>
      <c r="AH60" t="str">
        <f>HYPERLINK("http://www.degruyter.com/isbn/9781474420525")</f>
        <v>http://www.degruyter.com/isbn/9781474420525</v>
      </c>
      <c r="AI60" t="s">
        <v>222</v>
      </c>
      <c r="AL60" t="s">
        <v>47</v>
      </c>
      <c r="AM60">
        <v>1</v>
      </c>
      <c r="AN60" s="2">
        <v>9781474420518</v>
      </c>
    </row>
    <row r="61" spans="1:40" x14ac:dyDescent="0.3">
      <c r="A61" t="s">
        <v>394</v>
      </c>
      <c r="B61" t="s">
        <v>1</v>
      </c>
      <c r="C61" t="s">
        <v>395</v>
      </c>
      <c r="D61" t="s">
        <v>396</v>
      </c>
      <c r="E61" t="s">
        <v>397</v>
      </c>
      <c r="F61" t="s">
        <v>5</v>
      </c>
      <c r="G61" t="s">
        <v>6</v>
      </c>
      <c r="L61" t="s">
        <v>7</v>
      </c>
      <c r="M61">
        <v>1998</v>
      </c>
      <c r="N61" s="1">
        <v>44599</v>
      </c>
      <c r="O61" t="s">
        <v>398</v>
      </c>
      <c r="P61">
        <v>1</v>
      </c>
      <c r="S61">
        <v>217.95</v>
      </c>
      <c r="T61">
        <v>250</v>
      </c>
      <c r="U61">
        <v>190</v>
      </c>
      <c r="V61" t="s">
        <v>58</v>
      </c>
      <c r="W61" t="s">
        <v>59</v>
      </c>
      <c r="X61" t="s">
        <v>60</v>
      </c>
      <c r="Y61" t="s">
        <v>399</v>
      </c>
      <c r="AF61" t="s">
        <v>13</v>
      </c>
      <c r="AG61" t="str">
        <f>HYPERLINK("https://doi.org/10.1515/9780585110011")</f>
        <v>https://doi.org/10.1515/9780585110011</v>
      </c>
      <c r="AH61" t="str">
        <f>HYPERLINK("http://www.degruyter.com/isbn/9780585110011")</f>
        <v>http://www.degruyter.com/isbn/9780585110011</v>
      </c>
      <c r="AI61" t="s">
        <v>24</v>
      </c>
      <c r="AL61" t="s">
        <v>62</v>
      </c>
      <c r="AM61">
        <v>1</v>
      </c>
      <c r="AN61" s="2">
        <v>9780748610075</v>
      </c>
    </row>
    <row r="62" spans="1:40" x14ac:dyDescent="0.3">
      <c r="A62" t="s">
        <v>400</v>
      </c>
      <c r="B62" t="s">
        <v>1</v>
      </c>
      <c r="C62" t="s">
        <v>401</v>
      </c>
      <c r="D62" t="s">
        <v>402</v>
      </c>
      <c r="E62" t="s">
        <v>403</v>
      </c>
      <c r="F62" t="s">
        <v>5</v>
      </c>
      <c r="G62" t="s">
        <v>6</v>
      </c>
      <c r="L62" t="s">
        <v>7</v>
      </c>
      <c r="M62">
        <v>2012</v>
      </c>
      <c r="N62" s="1">
        <v>41255</v>
      </c>
      <c r="O62" t="s">
        <v>404</v>
      </c>
      <c r="P62">
        <v>1</v>
      </c>
      <c r="S62">
        <v>253.95</v>
      </c>
      <c r="T62">
        <v>290</v>
      </c>
      <c r="U62">
        <v>220</v>
      </c>
      <c r="V62" t="s">
        <v>268</v>
      </c>
      <c r="W62" t="s">
        <v>269</v>
      </c>
      <c r="X62" t="s">
        <v>269</v>
      </c>
      <c r="Y62" t="s">
        <v>374</v>
      </c>
      <c r="AF62" t="s">
        <v>13</v>
      </c>
      <c r="AG62" t="str">
        <f>HYPERLINK("https://doi.org/10.1515/9780748669554")</f>
        <v>https://doi.org/10.1515/9780748669554</v>
      </c>
      <c r="AH62" t="str">
        <f>HYPERLINK("http://www.degruyter.com/isbn/9780748669554")</f>
        <v>http://www.degruyter.com/isbn/9780748669554</v>
      </c>
      <c r="AI62" t="s">
        <v>405</v>
      </c>
      <c r="AL62" t="s">
        <v>272</v>
      </c>
      <c r="AM62">
        <v>1</v>
      </c>
      <c r="AN62" s="2">
        <v>9780748669547</v>
      </c>
    </row>
    <row r="63" spans="1:40" x14ac:dyDescent="0.3">
      <c r="A63" t="s">
        <v>406</v>
      </c>
      <c r="B63" t="s">
        <v>1</v>
      </c>
      <c r="C63" t="s">
        <v>407</v>
      </c>
      <c r="D63" t="s">
        <v>408</v>
      </c>
      <c r="E63" t="s">
        <v>409</v>
      </c>
      <c r="F63" t="s">
        <v>5</v>
      </c>
      <c r="G63" t="s">
        <v>6</v>
      </c>
      <c r="L63" t="s">
        <v>7</v>
      </c>
      <c r="M63">
        <v>2009</v>
      </c>
      <c r="N63" s="1">
        <v>44634</v>
      </c>
      <c r="O63" t="s">
        <v>410</v>
      </c>
      <c r="P63">
        <v>1</v>
      </c>
      <c r="S63">
        <v>217.95</v>
      </c>
      <c r="T63">
        <v>250</v>
      </c>
      <c r="U63">
        <v>190</v>
      </c>
      <c r="V63" t="s">
        <v>268</v>
      </c>
      <c r="W63" t="s">
        <v>269</v>
      </c>
      <c r="X63" t="s">
        <v>269</v>
      </c>
      <c r="Y63" t="s">
        <v>411</v>
      </c>
      <c r="AF63" t="s">
        <v>13</v>
      </c>
      <c r="AG63" t="str">
        <f>HYPERLINK("https://doi.org/10.1515/9780748699407")</f>
        <v>https://doi.org/10.1515/9780748699407</v>
      </c>
      <c r="AH63" t="str">
        <f>HYPERLINK("http://www.degruyter.com/isbn/9780748699407")</f>
        <v>http://www.degruyter.com/isbn/9780748699407</v>
      </c>
      <c r="AI63" t="s">
        <v>412</v>
      </c>
      <c r="AL63" t="s">
        <v>272</v>
      </c>
      <c r="AM63">
        <v>1</v>
      </c>
      <c r="AN63" s="2">
        <v>9781845860226</v>
      </c>
    </row>
    <row r="64" spans="1:40" x14ac:dyDescent="0.3">
      <c r="A64" t="s">
        <v>413</v>
      </c>
      <c r="B64" t="s">
        <v>1</v>
      </c>
      <c r="C64" t="s">
        <v>414</v>
      </c>
      <c r="D64" t="s">
        <v>415</v>
      </c>
      <c r="E64" t="s">
        <v>416</v>
      </c>
      <c r="F64" t="s">
        <v>5</v>
      </c>
      <c r="G64" t="s">
        <v>6</v>
      </c>
      <c r="L64" t="s">
        <v>7</v>
      </c>
      <c r="M64">
        <v>1996</v>
      </c>
      <c r="N64" s="1">
        <v>44607</v>
      </c>
      <c r="O64" t="s">
        <v>417</v>
      </c>
      <c r="P64">
        <v>1</v>
      </c>
      <c r="S64">
        <v>217.95</v>
      </c>
      <c r="T64">
        <v>250</v>
      </c>
      <c r="U64">
        <v>190</v>
      </c>
      <c r="V64" t="s">
        <v>20</v>
      </c>
      <c r="W64" t="s">
        <v>21</v>
      </c>
      <c r="X64" t="s">
        <v>418</v>
      </c>
      <c r="Y64" t="s">
        <v>419</v>
      </c>
      <c r="AF64" t="s">
        <v>13</v>
      </c>
      <c r="AG64" t="str">
        <f>HYPERLINK("https://doi.org/10.1515/9781474471763")</f>
        <v>https://doi.org/10.1515/9781474471763</v>
      </c>
      <c r="AH64" t="str">
        <f>HYPERLINK("http://www.degruyter.com/isbn/9781474471763")</f>
        <v>http://www.degruyter.com/isbn/9781474471763</v>
      </c>
      <c r="AI64" t="s">
        <v>24</v>
      </c>
      <c r="AL64" t="s">
        <v>15</v>
      </c>
      <c r="AM64">
        <v>1</v>
      </c>
      <c r="AN64" s="2">
        <v>9780748608614</v>
      </c>
    </row>
    <row r="65" spans="1:40" x14ac:dyDescent="0.3">
      <c r="A65" t="s">
        <v>420</v>
      </c>
      <c r="B65" t="s">
        <v>1</v>
      </c>
      <c r="C65" t="s">
        <v>421</v>
      </c>
      <c r="D65" t="s">
        <v>422</v>
      </c>
      <c r="E65" t="s">
        <v>423</v>
      </c>
      <c r="F65" t="s">
        <v>5</v>
      </c>
      <c r="G65" t="s">
        <v>6</v>
      </c>
      <c r="L65" t="s">
        <v>7</v>
      </c>
      <c r="M65">
        <v>1999</v>
      </c>
      <c r="N65" s="1">
        <v>44599</v>
      </c>
      <c r="O65" t="s">
        <v>424</v>
      </c>
      <c r="P65">
        <v>1</v>
      </c>
      <c r="S65">
        <v>217.95</v>
      </c>
      <c r="T65">
        <v>250</v>
      </c>
      <c r="U65">
        <v>190</v>
      </c>
      <c r="V65" t="s">
        <v>98</v>
      </c>
      <c r="W65" t="s">
        <v>99</v>
      </c>
      <c r="X65" t="s">
        <v>100</v>
      </c>
      <c r="Y65" t="s">
        <v>101</v>
      </c>
      <c r="AF65" t="s">
        <v>13</v>
      </c>
      <c r="AG65" t="str">
        <f>HYPERLINK("https://doi.org/10.1515/9781474472920")</f>
        <v>https://doi.org/10.1515/9781474472920</v>
      </c>
      <c r="AH65" t="str">
        <f>HYPERLINK("http://www.degruyter.com/isbn/9781474472920")</f>
        <v>http://www.degruyter.com/isbn/9781474472920</v>
      </c>
      <c r="AI65" t="s">
        <v>24</v>
      </c>
      <c r="AL65" t="s">
        <v>102</v>
      </c>
      <c r="AM65">
        <v>1</v>
      </c>
      <c r="AN65" s="2">
        <v>9780748606979</v>
      </c>
    </row>
    <row r="66" spans="1:40" x14ac:dyDescent="0.3">
      <c r="A66" t="s">
        <v>425</v>
      </c>
      <c r="B66" t="s">
        <v>1</v>
      </c>
      <c r="C66" t="s">
        <v>426</v>
      </c>
      <c r="E66" t="s">
        <v>427</v>
      </c>
      <c r="F66" t="s">
        <v>5</v>
      </c>
      <c r="G66" t="s">
        <v>6</v>
      </c>
      <c r="L66" t="s">
        <v>7</v>
      </c>
      <c r="M66">
        <v>2006</v>
      </c>
      <c r="N66" s="1">
        <v>38882</v>
      </c>
      <c r="O66" t="s">
        <v>428</v>
      </c>
      <c r="P66">
        <v>1</v>
      </c>
      <c r="S66">
        <v>279.95</v>
      </c>
      <c r="T66">
        <v>320</v>
      </c>
      <c r="U66">
        <v>240</v>
      </c>
      <c r="V66" t="s">
        <v>42</v>
      </c>
      <c r="W66" t="s">
        <v>107</v>
      </c>
      <c r="X66" t="s">
        <v>108</v>
      </c>
      <c r="Y66" t="s">
        <v>109</v>
      </c>
      <c r="AF66" t="s">
        <v>13</v>
      </c>
      <c r="AG66" t="str">
        <f>HYPERLINK("https://doi.org/10.1515/9780748626953?locatt=mode:legacy")</f>
        <v>https://doi.org/10.1515/9780748626953?locatt=mode:legacy</v>
      </c>
      <c r="AH66" t="str">
        <f>HYPERLINK("http://www.degruyter.com/isbn/9780748626953")</f>
        <v>http://www.degruyter.com/isbn/9780748626953</v>
      </c>
      <c r="AI66" t="s">
        <v>68</v>
      </c>
      <c r="AL66" t="s">
        <v>47</v>
      </c>
      <c r="AM66">
        <v>1</v>
      </c>
      <c r="AN66" s="2">
        <v>9780748624348</v>
      </c>
    </row>
    <row r="67" spans="1:40" x14ac:dyDescent="0.3">
      <c r="A67" t="s">
        <v>429</v>
      </c>
      <c r="B67" t="s">
        <v>1</v>
      </c>
      <c r="C67" t="s">
        <v>430</v>
      </c>
      <c r="E67" t="s">
        <v>431</v>
      </c>
      <c r="F67" t="s">
        <v>5</v>
      </c>
      <c r="G67" t="s">
        <v>6</v>
      </c>
      <c r="L67" t="s">
        <v>7</v>
      </c>
      <c r="M67">
        <v>2005</v>
      </c>
      <c r="N67" s="1">
        <v>38544</v>
      </c>
      <c r="O67" t="s">
        <v>432</v>
      </c>
      <c r="P67">
        <v>1</v>
      </c>
      <c r="S67">
        <v>305.95</v>
      </c>
      <c r="T67">
        <v>350</v>
      </c>
      <c r="U67">
        <v>270</v>
      </c>
      <c r="V67" t="s">
        <v>42</v>
      </c>
      <c r="W67" t="s">
        <v>43</v>
      </c>
      <c r="X67" t="s">
        <v>44</v>
      </c>
      <c r="Y67" t="s">
        <v>45</v>
      </c>
      <c r="AF67" t="s">
        <v>13</v>
      </c>
      <c r="AG67" t="str">
        <f>HYPERLINK("https://doi.org/10.1515/9781474473606")</f>
        <v>https://doi.org/10.1515/9781474473606</v>
      </c>
      <c r="AH67" t="str">
        <f>HYPERLINK("http://www.degruyter.com/isbn/9781474473606")</f>
        <v>http://www.degruyter.com/isbn/9781474473606</v>
      </c>
      <c r="AI67" t="s">
        <v>68</v>
      </c>
      <c r="AL67" t="s">
        <v>47</v>
      </c>
      <c r="AM67">
        <v>1</v>
      </c>
      <c r="AN67" s="2">
        <v>9780748611492</v>
      </c>
    </row>
    <row r="68" spans="1:40" x14ac:dyDescent="0.3">
      <c r="A68" t="s">
        <v>433</v>
      </c>
      <c r="B68" t="s">
        <v>1</v>
      </c>
      <c r="C68" t="s">
        <v>434</v>
      </c>
      <c r="D68" t="s">
        <v>435</v>
      </c>
      <c r="E68" t="s">
        <v>436</v>
      </c>
      <c r="F68" t="s">
        <v>5</v>
      </c>
      <c r="G68" t="s">
        <v>6</v>
      </c>
      <c r="L68" t="s">
        <v>7</v>
      </c>
      <c r="M68">
        <v>2009</v>
      </c>
      <c r="N68" s="1">
        <v>39846</v>
      </c>
      <c r="O68" t="s">
        <v>437</v>
      </c>
      <c r="P68">
        <v>1</v>
      </c>
      <c r="S68">
        <v>209.95</v>
      </c>
      <c r="T68">
        <v>240</v>
      </c>
      <c r="U68">
        <v>180</v>
      </c>
      <c r="V68" t="s">
        <v>9</v>
      </c>
      <c r="W68" t="s">
        <v>10</v>
      </c>
      <c r="X68" t="s">
        <v>11</v>
      </c>
      <c r="Y68" t="s">
        <v>12</v>
      </c>
      <c r="AF68" t="s">
        <v>13</v>
      </c>
      <c r="AG68" t="str">
        <f>HYPERLINK("https://doi.org/10.1515/9780748631339?locatt=mode:legacy")</f>
        <v>https://doi.org/10.1515/9780748631339?locatt=mode:legacy</v>
      </c>
      <c r="AH68" t="str">
        <f>HYPERLINK("http://www.degruyter.com/isbn/9780748631339")</f>
        <v>http://www.degruyter.com/isbn/9780748631339</v>
      </c>
      <c r="AI68" t="s">
        <v>68</v>
      </c>
      <c r="AL68" t="s">
        <v>15</v>
      </c>
      <c r="AM68">
        <v>1</v>
      </c>
      <c r="AN68" s="2">
        <v>9780748626038</v>
      </c>
    </row>
    <row r="69" spans="1:40" x14ac:dyDescent="0.3">
      <c r="A69" t="s">
        <v>438</v>
      </c>
      <c r="B69" t="s">
        <v>1</v>
      </c>
      <c r="C69" t="s">
        <v>439</v>
      </c>
      <c r="D69" t="s">
        <v>440</v>
      </c>
      <c r="E69" t="s">
        <v>441</v>
      </c>
      <c r="F69" t="s">
        <v>5</v>
      </c>
      <c r="G69" t="s">
        <v>6</v>
      </c>
      <c r="L69" t="s">
        <v>7</v>
      </c>
      <c r="M69">
        <v>2011</v>
      </c>
      <c r="N69" s="1">
        <v>40663</v>
      </c>
      <c r="O69" t="s">
        <v>442</v>
      </c>
      <c r="P69">
        <v>1</v>
      </c>
      <c r="S69">
        <v>253.95</v>
      </c>
      <c r="T69">
        <v>290</v>
      </c>
      <c r="U69">
        <v>220</v>
      </c>
      <c r="V69" t="s">
        <v>268</v>
      </c>
      <c r="W69" t="s">
        <v>269</v>
      </c>
      <c r="X69" t="s">
        <v>269</v>
      </c>
      <c r="Y69" t="s">
        <v>443</v>
      </c>
      <c r="AF69" t="s">
        <v>13</v>
      </c>
      <c r="AG69" t="str">
        <f>HYPERLINK("https://doi.org/10.1515/9780748646029")</f>
        <v>https://doi.org/10.1515/9780748646029</v>
      </c>
      <c r="AH69" t="str">
        <f>HYPERLINK("http://www.degruyter.com/isbn/9780748646029")</f>
        <v>http://www.degruyter.com/isbn/9780748646029</v>
      </c>
      <c r="AI69" t="s">
        <v>444</v>
      </c>
      <c r="AL69" t="s">
        <v>272</v>
      </c>
      <c r="AM69">
        <v>1</v>
      </c>
      <c r="AN69" s="2">
        <v>9780748641284</v>
      </c>
    </row>
    <row r="70" spans="1:40" x14ac:dyDescent="0.3">
      <c r="A70" t="s">
        <v>445</v>
      </c>
      <c r="B70" t="s">
        <v>1</v>
      </c>
      <c r="C70" t="s">
        <v>446</v>
      </c>
      <c r="E70" t="s">
        <v>447</v>
      </c>
      <c r="F70" t="s">
        <v>5</v>
      </c>
      <c r="G70" t="s">
        <v>6</v>
      </c>
      <c r="L70" t="s">
        <v>7</v>
      </c>
      <c r="M70">
        <v>2006</v>
      </c>
      <c r="N70" s="1">
        <v>38722</v>
      </c>
      <c r="O70" t="s">
        <v>448</v>
      </c>
      <c r="P70">
        <v>1</v>
      </c>
      <c r="S70">
        <v>243.95</v>
      </c>
      <c r="T70">
        <v>280</v>
      </c>
      <c r="U70">
        <v>210</v>
      </c>
      <c r="V70" t="s">
        <v>449</v>
      </c>
      <c r="W70" t="s">
        <v>450</v>
      </c>
      <c r="X70" t="s">
        <v>450</v>
      </c>
      <c r="Y70" t="s">
        <v>451</v>
      </c>
      <c r="AF70" t="s">
        <v>13</v>
      </c>
      <c r="AG70" t="str">
        <f>HYPERLINK("https://doi.org/10.1515/9780748626380")</f>
        <v>https://doi.org/10.1515/9780748626380</v>
      </c>
      <c r="AH70" t="str">
        <f>HYPERLINK("http://www.degruyter.com/isbn/9780748626380")</f>
        <v>http://www.degruyter.com/isbn/9780748626380</v>
      </c>
      <c r="AI70" t="s">
        <v>452</v>
      </c>
      <c r="AL70" t="s">
        <v>308</v>
      </c>
      <c r="AM70">
        <v>1</v>
      </c>
      <c r="AN70" s="2">
        <v>9780748623808</v>
      </c>
    </row>
    <row r="71" spans="1:40" x14ac:dyDescent="0.3">
      <c r="A71" t="s">
        <v>453</v>
      </c>
      <c r="B71" t="s">
        <v>1</v>
      </c>
      <c r="C71" t="s">
        <v>454</v>
      </c>
      <c r="D71" t="s">
        <v>455</v>
      </c>
      <c r="E71" t="s">
        <v>456</v>
      </c>
      <c r="F71" t="s">
        <v>5</v>
      </c>
      <c r="G71" t="s">
        <v>6</v>
      </c>
      <c r="L71" t="s">
        <v>7</v>
      </c>
      <c r="M71">
        <v>2019</v>
      </c>
      <c r="N71" s="1">
        <v>44644</v>
      </c>
      <c r="O71" t="s">
        <v>457</v>
      </c>
      <c r="P71">
        <v>1</v>
      </c>
      <c r="S71">
        <v>253.95</v>
      </c>
      <c r="T71">
        <v>290</v>
      </c>
      <c r="U71">
        <v>220</v>
      </c>
      <c r="V71" t="s">
        <v>20</v>
      </c>
      <c r="W71" t="s">
        <v>21</v>
      </c>
      <c r="X71" t="s">
        <v>458</v>
      </c>
      <c r="Y71" t="s">
        <v>459</v>
      </c>
      <c r="AF71" t="s">
        <v>13</v>
      </c>
      <c r="AG71" t="str">
        <f>HYPERLINK("https://doi.org/10.1515/9781474419529")</f>
        <v>https://doi.org/10.1515/9781474419529</v>
      </c>
      <c r="AH71" t="str">
        <f>HYPERLINK("http://www.degruyter.com/isbn/9781474419529")</f>
        <v>http://www.degruyter.com/isbn/9781474419529</v>
      </c>
      <c r="AI71" t="s">
        <v>280</v>
      </c>
      <c r="AL71" t="s">
        <v>15</v>
      </c>
      <c r="AM71">
        <v>1</v>
      </c>
      <c r="AN71" s="2">
        <v>9781474419505</v>
      </c>
    </row>
    <row r="72" spans="1:40" x14ac:dyDescent="0.3">
      <c r="A72" t="s">
        <v>460</v>
      </c>
      <c r="B72" t="s">
        <v>1</v>
      </c>
      <c r="C72" t="s">
        <v>461</v>
      </c>
      <c r="D72" t="s">
        <v>462</v>
      </c>
      <c r="E72" t="s">
        <v>463</v>
      </c>
      <c r="F72" t="s">
        <v>5</v>
      </c>
      <c r="G72" t="s">
        <v>6</v>
      </c>
      <c r="L72" t="s">
        <v>7</v>
      </c>
      <c r="M72">
        <v>2004</v>
      </c>
      <c r="N72" s="1">
        <v>38194</v>
      </c>
      <c r="O72" t="s">
        <v>464</v>
      </c>
      <c r="P72">
        <v>1</v>
      </c>
      <c r="S72">
        <v>105.95</v>
      </c>
      <c r="T72">
        <v>120</v>
      </c>
      <c r="U72">
        <v>90</v>
      </c>
      <c r="V72" t="s">
        <v>329</v>
      </c>
      <c r="W72" t="s">
        <v>330</v>
      </c>
      <c r="X72" t="s">
        <v>331</v>
      </c>
      <c r="Y72" t="s">
        <v>332</v>
      </c>
      <c r="AF72" t="s">
        <v>13</v>
      </c>
      <c r="AG72" t="str">
        <f>HYPERLINK("https://doi.org/10.1515/9781474467742")</f>
        <v>https://doi.org/10.1515/9781474467742</v>
      </c>
      <c r="AH72" t="str">
        <f>HYPERLINK("http://www.degruyter.com/isbn/9781474467742")</f>
        <v>http://www.degruyter.com/isbn/9781474467742</v>
      </c>
      <c r="AI72" t="s">
        <v>68</v>
      </c>
      <c r="AL72" t="s">
        <v>333</v>
      </c>
      <c r="AM72">
        <v>1</v>
      </c>
      <c r="AN72" s="2">
        <v>9780748616183</v>
      </c>
    </row>
    <row r="73" spans="1:40" x14ac:dyDescent="0.3">
      <c r="A73" t="s">
        <v>465</v>
      </c>
      <c r="B73" t="s">
        <v>1</v>
      </c>
      <c r="C73" t="s">
        <v>466</v>
      </c>
      <c r="D73" t="s">
        <v>467</v>
      </c>
      <c r="E73" t="s">
        <v>468</v>
      </c>
      <c r="F73" t="s">
        <v>5</v>
      </c>
      <c r="G73" t="s">
        <v>6</v>
      </c>
      <c r="L73" t="s">
        <v>7</v>
      </c>
      <c r="M73">
        <v>2021</v>
      </c>
      <c r="N73" s="1">
        <v>44656</v>
      </c>
      <c r="O73" t="s">
        <v>469</v>
      </c>
      <c r="P73">
        <v>1</v>
      </c>
      <c r="S73">
        <v>243.95</v>
      </c>
      <c r="T73">
        <v>280</v>
      </c>
      <c r="U73">
        <v>210</v>
      </c>
      <c r="V73" t="s">
        <v>20</v>
      </c>
      <c r="W73" t="s">
        <v>470</v>
      </c>
      <c r="X73" t="s">
        <v>471</v>
      </c>
      <c r="Y73" t="s">
        <v>472</v>
      </c>
      <c r="AF73" t="s">
        <v>13</v>
      </c>
      <c r="AG73" t="str">
        <f>HYPERLINK("https://doi.org/10.1515/9781474479387")</f>
        <v>https://doi.org/10.1515/9781474479387</v>
      </c>
      <c r="AH73" t="str">
        <f>HYPERLINK("http://www.degruyter.com/isbn/9781474479387")</f>
        <v>http://www.degruyter.com/isbn/9781474479387</v>
      </c>
      <c r="AI73" t="s">
        <v>473</v>
      </c>
      <c r="AL73" t="s">
        <v>15</v>
      </c>
      <c r="AM73">
        <v>1</v>
      </c>
      <c r="AN73" s="2">
        <v>9781474479363</v>
      </c>
    </row>
    <row r="74" spans="1:40" x14ac:dyDescent="0.3">
      <c r="A74" t="s">
        <v>474</v>
      </c>
      <c r="B74" t="s">
        <v>1</v>
      </c>
      <c r="C74" t="s">
        <v>475</v>
      </c>
      <c r="E74" t="s">
        <v>476</v>
      </c>
      <c r="F74" t="s">
        <v>5</v>
      </c>
      <c r="G74" t="s">
        <v>6</v>
      </c>
      <c r="L74" t="s">
        <v>7</v>
      </c>
      <c r="M74">
        <v>2021</v>
      </c>
      <c r="N74" s="1">
        <v>44644</v>
      </c>
      <c r="O74" t="s">
        <v>477</v>
      </c>
      <c r="P74">
        <v>1</v>
      </c>
      <c r="S74">
        <v>243.95</v>
      </c>
      <c r="T74">
        <v>280</v>
      </c>
      <c r="U74">
        <v>210</v>
      </c>
      <c r="V74" t="s">
        <v>58</v>
      </c>
      <c r="W74" t="s">
        <v>59</v>
      </c>
      <c r="X74" t="s">
        <v>60</v>
      </c>
      <c r="Y74" t="s">
        <v>73</v>
      </c>
      <c r="AF74" t="s">
        <v>13</v>
      </c>
      <c r="AG74" t="str">
        <f>HYPERLINK("https://doi.org/10.1515/9781474481700")</f>
        <v>https://doi.org/10.1515/9781474481700</v>
      </c>
      <c r="AH74" t="str">
        <f>HYPERLINK("http://www.degruyter.com/isbn/9781474481700")</f>
        <v>http://www.degruyter.com/isbn/9781474481700</v>
      </c>
      <c r="AI74" t="s">
        <v>478</v>
      </c>
      <c r="AL74" t="s">
        <v>62</v>
      </c>
      <c r="AM74">
        <v>1</v>
      </c>
      <c r="AN74" s="2">
        <v>9781474481687</v>
      </c>
    </row>
    <row r="75" spans="1:40" x14ac:dyDescent="0.3">
      <c r="A75" t="s">
        <v>479</v>
      </c>
      <c r="B75" t="s">
        <v>1</v>
      </c>
      <c r="C75" t="s">
        <v>480</v>
      </c>
      <c r="D75" t="s">
        <v>481</v>
      </c>
      <c r="E75" t="s">
        <v>482</v>
      </c>
      <c r="F75" t="s">
        <v>5</v>
      </c>
      <c r="G75" t="s">
        <v>6</v>
      </c>
      <c r="L75" t="s">
        <v>7</v>
      </c>
      <c r="M75">
        <v>2013</v>
      </c>
      <c r="N75" s="1">
        <v>41572</v>
      </c>
      <c r="O75" t="s">
        <v>483</v>
      </c>
      <c r="P75">
        <v>1</v>
      </c>
      <c r="S75">
        <v>217.95</v>
      </c>
      <c r="T75">
        <v>250</v>
      </c>
      <c r="U75">
        <v>190</v>
      </c>
      <c r="V75" t="s">
        <v>58</v>
      </c>
      <c r="W75" t="s">
        <v>59</v>
      </c>
      <c r="X75" t="s">
        <v>60</v>
      </c>
      <c r="Y75" t="s">
        <v>145</v>
      </c>
      <c r="AF75" t="s">
        <v>13</v>
      </c>
      <c r="AG75" t="str">
        <f>HYPERLINK("https://doi.org/10.1515/9780748668892?locatt=mode:legacy")</f>
        <v>https://doi.org/10.1515/9780748668892?locatt=mode:legacy</v>
      </c>
      <c r="AH75" t="str">
        <f>HYPERLINK("http://www.degruyter.com/isbn/9780748668892")</f>
        <v>http://www.degruyter.com/isbn/9780748668892</v>
      </c>
      <c r="AI75" t="s">
        <v>68</v>
      </c>
      <c r="AL75" t="s">
        <v>62</v>
      </c>
      <c r="AM75">
        <v>1</v>
      </c>
      <c r="AN75" s="2">
        <v>9780748668878</v>
      </c>
    </row>
    <row r="76" spans="1:40" x14ac:dyDescent="0.3">
      <c r="A76" t="s">
        <v>484</v>
      </c>
      <c r="B76" t="s">
        <v>1</v>
      </c>
      <c r="C76" t="s">
        <v>485</v>
      </c>
      <c r="D76" t="s">
        <v>486</v>
      </c>
      <c r="E76" t="s">
        <v>487</v>
      </c>
      <c r="F76" t="s">
        <v>5</v>
      </c>
      <c r="G76" t="s">
        <v>6</v>
      </c>
      <c r="L76" t="s">
        <v>7</v>
      </c>
      <c r="M76">
        <v>2014</v>
      </c>
      <c r="N76" s="1">
        <v>41715</v>
      </c>
      <c r="O76" t="s">
        <v>488</v>
      </c>
      <c r="P76">
        <v>1</v>
      </c>
      <c r="S76">
        <v>217.95</v>
      </c>
      <c r="T76">
        <v>250</v>
      </c>
      <c r="U76">
        <v>190</v>
      </c>
      <c r="V76" t="s">
        <v>20</v>
      </c>
      <c r="W76" t="s">
        <v>21</v>
      </c>
      <c r="X76" t="s">
        <v>22</v>
      </c>
      <c r="Y76" t="s">
        <v>489</v>
      </c>
      <c r="AF76" t="s">
        <v>13</v>
      </c>
      <c r="AG76" t="str">
        <f>HYPERLINK("https://doi.org/10.1515/9780748682904")</f>
        <v>https://doi.org/10.1515/9780748682904</v>
      </c>
      <c r="AH76" t="str">
        <f>HYPERLINK("http://www.degruyter.com/isbn/9780748682904")</f>
        <v>http://www.degruyter.com/isbn/9780748682904</v>
      </c>
      <c r="AI76" t="s">
        <v>34</v>
      </c>
      <c r="AL76" t="s">
        <v>15</v>
      </c>
      <c r="AM76">
        <v>1</v>
      </c>
      <c r="AN76" s="2">
        <v>9780748682898</v>
      </c>
    </row>
    <row r="77" spans="1:40" x14ac:dyDescent="0.3">
      <c r="A77" t="s">
        <v>490</v>
      </c>
      <c r="B77" t="s">
        <v>1</v>
      </c>
      <c r="C77" t="s">
        <v>491</v>
      </c>
      <c r="D77" t="s">
        <v>492</v>
      </c>
      <c r="E77" t="s">
        <v>493</v>
      </c>
      <c r="F77" t="s">
        <v>5</v>
      </c>
      <c r="G77" t="s">
        <v>6</v>
      </c>
      <c r="L77" t="s">
        <v>7</v>
      </c>
      <c r="M77">
        <v>2002</v>
      </c>
      <c r="N77" s="1">
        <v>37354</v>
      </c>
      <c r="O77" t="s">
        <v>494</v>
      </c>
      <c r="P77">
        <v>1</v>
      </c>
      <c r="S77">
        <v>331.95</v>
      </c>
      <c r="T77">
        <v>380</v>
      </c>
      <c r="U77">
        <v>290</v>
      </c>
      <c r="V77" t="s">
        <v>495</v>
      </c>
      <c r="W77" t="s">
        <v>496</v>
      </c>
      <c r="X77" t="s">
        <v>496</v>
      </c>
      <c r="Y77" t="s">
        <v>497</v>
      </c>
      <c r="AF77" t="s">
        <v>13</v>
      </c>
      <c r="AG77" t="str">
        <f>HYPERLINK("https://doi.org/10.1515/9781474400589")</f>
        <v>https://doi.org/10.1515/9781474400589</v>
      </c>
      <c r="AH77" t="str">
        <f>HYPERLINK("http://www.degruyter.com/isbn/9781474400589")</f>
        <v>http://www.degruyter.com/isbn/9781474400589</v>
      </c>
      <c r="AI77" t="s">
        <v>68</v>
      </c>
      <c r="AL77" t="s">
        <v>498</v>
      </c>
      <c r="AM77">
        <v>1</v>
      </c>
      <c r="AN77" s="2">
        <v>9780748613175</v>
      </c>
    </row>
    <row r="78" spans="1:40" x14ac:dyDescent="0.3">
      <c r="A78" t="s">
        <v>499</v>
      </c>
      <c r="B78" t="s">
        <v>1</v>
      </c>
      <c r="C78" t="s">
        <v>500</v>
      </c>
      <c r="D78" t="s">
        <v>501</v>
      </c>
      <c r="E78" t="s">
        <v>502</v>
      </c>
      <c r="F78" t="s">
        <v>5</v>
      </c>
      <c r="G78" t="s">
        <v>6</v>
      </c>
      <c r="L78" t="s">
        <v>7</v>
      </c>
      <c r="M78">
        <v>2007</v>
      </c>
      <c r="N78" s="1">
        <v>39227</v>
      </c>
      <c r="O78" t="s">
        <v>503</v>
      </c>
      <c r="P78">
        <v>1</v>
      </c>
      <c r="S78">
        <v>227.95</v>
      </c>
      <c r="T78">
        <v>260</v>
      </c>
      <c r="U78">
        <v>200</v>
      </c>
      <c r="V78" t="s">
        <v>58</v>
      </c>
      <c r="W78" t="s">
        <v>129</v>
      </c>
      <c r="X78" t="s">
        <v>504</v>
      </c>
      <c r="Y78" t="s">
        <v>505</v>
      </c>
      <c r="AF78" t="s">
        <v>13</v>
      </c>
      <c r="AG78" t="str">
        <f>HYPERLINK("https://doi.org/10.1515/9780748628636")</f>
        <v>https://doi.org/10.1515/9780748628636</v>
      </c>
      <c r="AH78" t="str">
        <f>HYPERLINK("http://www.degruyter.com/isbn/9780748628636")</f>
        <v>http://www.degruyter.com/isbn/9780748628636</v>
      </c>
      <c r="AI78" t="s">
        <v>68</v>
      </c>
      <c r="AL78" t="s">
        <v>62</v>
      </c>
      <c r="AM78">
        <v>1</v>
      </c>
      <c r="AN78" s="2">
        <v>9780748616336</v>
      </c>
    </row>
    <row r="79" spans="1:40" x14ac:dyDescent="0.3">
      <c r="A79" t="s">
        <v>506</v>
      </c>
      <c r="B79" t="s">
        <v>1</v>
      </c>
      <c r="C79" t="s">
        <v>507</v>
      </c>
      <c r="E79" t="s">
        <v>508</v>
      </c>
      <c r="F79" t="s">
        <v>5</v>
      </c>
      <c r="G79" t="s">
        <v>6</v>
      </c>
      <c r="L79" t="s">
        <v>7</v>
      </c>
      <c r="M79">
        <v>2011</v>
      </c>
      <c r="N79" s="1">
        <v>40648</v>
      </c>
      <c r="O79" t="s">
        <v>509</v>
      </c>
      <c r="P79">
        <v>1</v>
      </c>
      <c r="S79">
        <v>243.95</v>
      </c>
      <c r="T79">
        <v>280</v>
      </c>
      <c r="U79">
        <v>210</v>
      </c>
      <c r="V79" t="s">
        <v>79</v>
      </c>
      <c r="W79" t="s">
        <v>209</v>
      </c>
      <c r="X79" t="s">
        <v>209</v>
      </c>
      <c r="Y79" t="s">
        <v>510</v>
      </c>
      <c r="AF79" t="s">
        <v>13</v>
      </c>
      <c r="AG79" t="str">
        <f>HYPERLINK("https://doi.org/10.1515/9780748646067?locatt=mode:legacy")</f>
        <v>https://doi.org/10.1515/9780748646067?locatt=mode:legacy</v>
      </c>
      <c r="AH79" t="str">
        <f>HYPERLINK("http://www.degruyter.com/isbn/9780748646067")</f>
        <v>http://www.degruyter.com/isbn/9780748646067</v>
      </c>
      <c r="AI79" t="s">
        <v>68</v>
      </c>
      <c r="AL79" t="s">
        <v>83</v>
      </c>
      <c r="AM79">
        <v>1</v>
      </c>
      <c r="AN79" s="2">
        <v>9780748640898</v>
      </c>
    </row>
    <row r="80" spans="1:40" x14ac:dyDescent="0.3">
      <c r="A80" t="s">
        <v>511</v>
      </c>
      <c r="B80" t="s">
        <v>1</v>
      </c>
      <c r="C80" t="s">
        <v>512</v>
      </c>
      <c r="E80" t="s">
        <v>513</v>
      </c>
      <c r="F80" t="s">
        <v>5</v>
      </c>
      <c r="G80" t="s">
        <v>6</v>
      </c>
      <c r="L80" t="s">
        <v>7</v>
      </c>
      <c r="M80">
        <v>2018</v>
      </c>
      <c r="N80" s="1">
        <v>44656</v>
      </c>
      <c r="O80" t="s">
        <v>514</v>
      </c>
      <c r="P80">
        <v>1</v>
      </c>
      <c r="S80">
        <v>217.95</v>
      </c>
      <c r="T80">
        <v>250</v>
      </c>
      <c r="U80">
        <v>190</v>
      </c>
      <c r="V80" t="s">
        <v>42</v>
      </c>
      <c r="W80" t="s">
        <v>290</v>
      </c>
      <c r="X80" t="s">
        <v>290</v>
      </c>
      <c r="Y80" t="s">
        <v>515</v>
      </c>
      <c r="AF80" t="s">
        <v>13</v>
      </c>
      <c r="AG80" t="str">
        <f>HYPERLINK("https://doi.org/10.1515/9781474415644?locatt=mode:legacy")</f>
        <v>https://doi.org/10.1515/9781474415644?locatt=mode:legacy</v>
      </c>
      <c r="AH80" t="str">
        <f>HYPERLINK("http://www.degruyter.com/isbn/9781474415644")</f>
        <v>http://www.degruyter.com/isbn/9781474415644</v>
      </c>
      <c r="AI80" t="s">
        <v>46</v>
      </c>
      <c r="AL80" t="s">
        <v>47</v>
      </c>
      <c r="AM80">
        <v>1</v>
      </c>
      <c r="AN80" s="2">
        <v>9781474415637</v>
      </c>
    </row>
    <row r="81" spans="1:40" x14ac:dyDescent="0.3">
      <c r="A81" t="s">
        <v>516</v>
      </c>
      <c r="B81" t="s">
        <v>1</v>
      </c>
      <c r="C81" t="s">
        <v>517</v>
      </c>
      <c r="E81" t="s">
        <v>518</v>
      </c>
      <c r="F81" t="s">
        <v>5</v>
      </c>
      <c r="G81" t="s">
        <v>6</v>
      </c>
      <c r="L81" t="s">
        <v>7</v>
      </c>
      <c r="M81">
        <v>2014</v>
      </c>
      <c r="N81" s="1">
        <v>41715</v>
      </c>
      <c r="O81" t="s">
        <v>519</v>
      </c>
      <c r="P81">
        <v>1</v>
      </c>
      <c r="S81">
        <v>217.95</v>
      </c>
      <c r="T81">
        <v>250</v>
      </c>
      <c r="U81">
        <v>190</v>
      </c>
      <c r="V81" t="s">
        <v>42</v>
      </c>
      <c r="W81" t="s">
        <v>43</v>
      </c>
      <c r="X81" t="s">
        <v>44</v>
      </c>
      <c r="Y81" t="s">
        <v>45</v>
      </c>
      <c r="AF81" t="s">
        <v>13</v>
      </c>
      <c r="AG81" t="str">
        <f>HYPERLINK("https://doi.org/10.1515/9780748664702")</f>
        <v>https://doi.org/10.1515/9780748664702</v>
      </c>
      <c r="AH81" t="str">
        <f>HYPERLINK("http://www.degruyter.com/isbn/9780748664702")</f>
        <v>http://www.degruyter.com/isbn/9780748664702</v>
      </c>
      <c r="AI81" t="s">
        <v>34</v>
      </c>
      <c r="AJ81" t="s">
        <v>35</v>
      </c>
      <c r="AL81" t="s">
        <v>520</v>
      </c>
      <c r="AM81">
        <v>1</v>
      </c>
      <c r="AN81" s="2">
        <v>9780748664696</v>
      </c>
    </row>
    <row r="82" spans="1:40" x14ac:dyDescent="0.3">
      <c r="A82" t="s">
        <v>521</v>
      </c>
      <c r="B82" t="s">
        <v>1</v>
      </c>
      <c r="C82" t="s">
        <v>522</v>
      </c>
      <c r="D82" t="s">
        <v>523</v>
      </c>
      <c r="E82" t="s">
        <v>524</v>
      </c>
      <c r="F82" t="s">
        <v>5</v>
      </c>
      <c r="G82" t="s">
        <v>6</v>
      </c>
      <c r="L82" t="s">
        <v>7</v>
      </c>
      <c r="M82">
        <v>2007</v>
      </c>
      <c r="N82" s="1">
        <v>39416</v>
      </c>
      <c r="O82" t="s">
        <v>525</v>
      </c>
      <c r="P82">
        <v>1</v>
      </c>
      <c r="S82">
        <v>253.95</v>
      </c>
      <c r="T82">
        <v>290</v>
      </c>
      <c r="U82">
        <v>220</v>
      </c>
      <c r="V82" t="s">
        <v>526</v>
      </c>
      <c r="W82" t="s">
        <v>527</v>
      </c>
      <c r="X82" t="s">
        <v>527</v>
      </c>
      <c r="Y82" t="s">
        <v>528</v>
      </c>
      <c r="AF82" t="s">
        <v>13</v>
      </c>
      <c r="AG82" t="str">
        <f>HYPERLINK("https://doi.org/10.1515/9780748634125?locatt=mode:legacy")</f>
        <v>https://doi.org/10.1515/9780748634125?locatt=mode:legacy</v>
      </c>
      <c r="AH82" t="str">
        <f>HYPERLINK("http://www.degruyter.com/isbn/9780748634125")</f>
        <v>http://www.degruyter.com/isbn/9780748634125</v>
      </c>
      <c r="AI82" t="s">
        <v>529</v>
      </c>
      <c r="AL82" t="s">
        <v>530</v>
      </c>
      <c r="AM82">
        <v>1</v>
      </c>
      <c r="AN82" s="2">
        <v>9780748634101</v>
      </c>
    </row>
    <row r="83" spans="1:40" x14ac:dyDescent="0.3">
      <c r="A83" t="s">
        <v>531</v>
      </c>
      <c r="B83" t="s">
        <v>1</v>
      </c>
      <c r="C83" t="s">
        <v>532</v>
      </c>
      <c r="D83" t="s">
        <v>533</v>
      </c>
      <c r="E83" t="s">
        <v>534</v>
      </c>
      <c r="F83" t="s">
        <v>5</v>
      </c>
      <c r="G83" t="s">
        <v>6</v>
      </c>
      <c r="L83" t="s">
        <v>7</v>
      </c>
      <c r="M83">
        <v>2018</v>
      </c>
      <c r="N83" s="1">
        <v>44656</v>
      </c>
      <c r="O83" t="s">
        <v>535</v>
      </c>
      <c r="P83">
        <v>1</v>
      </c>
      <c r="S83">
        <v>217.95</v>
      </c>
      <c r="T83">
        <v>250</v>
      </c>
      <c r="U83">
        <v>190</v>
      </c>
      <c r="V83" t="s">
        <v>42</v>
      </c>
      <c r="W83" t="s">
        <v>290</v>
      </c>
      <c r="X83" t="s">
        <v>290</v>
      </c>
      <c r="Y83" t="s">
        <v>536</v>
      </c>
      <c r="AF83" t="s">
        <v>13</v>
      </c>
      <c r="AG83" t="str">
        <f>HYPERLINK("https://doi.org/10.1515/9781474423328")</f>
        <v>https://doi.org/10.1515/9781474423328</v>
      </c>
      <c r="AH83" t="str">
        <f>HYPERLINK("http://www.degruyter.com/isbn/9781474423328")</f>
        <v>http://www.degruyter.com/isbn/9781474423328</v>
      </c>
      <c r="AI83" t="s">
        <v>46</v>
      </c>
      <c r="AJ83" t="s">
        <v>35</v>
      </c>
      <c r="AL83" t="s">
        <v>520</v>
      </c>
      <c r="AM83">
        <v>1</v>
      </c>
      <c r="AN83" s="2">
        <v>9781474423311</v>
      </c>
    </row>
    <row r="84" spans="1:40" x14ac:dyDescent="0.3">
      <c r="A84" t="s">
        <v>537</v>
      </c>
      <c r="B84" t="s">
        <v>1</v>
      </c>
      <c r="C84" t="s">
        <v>538</v>
      </c>
      <c r="E84" t="s">
        <v>539</v>
      </c>
      <c r="F84" t="s">
        <v>5</v>
      </c>
      <c r="G84" t="s">
        <v>6</v>
      </c>
      <c r="L84" t="s">
        <v>7</v>
      </c>
      <c r="M84">
        <v>2001</v>
      </c>
      <c r="N84" s="1">
        <v>36923</v>
      </c>
      <c r="O84" t="s">
        <v>540</v>
      </c>
      <c r="P84">
        <v>1</v>
      </c>
      <c r="S84">
        <v>217.95</v>
      </c>
      <c r="T84">
        <v>250</v>
      </c>
      <c r="U84">
        <v>190</v>
      </c>
      <c r="V84" t="s">
        <v>20</v>
      </c>
      <c r="W84" t="s">
        <v>21</v>
      </c>
      <c r="X84" t="s">
        <v>22</v>
      </c>
      <c r="Y84" t="s">
        <v>23</v>
      </c>
      <c r="AF84" t="s">
        <v>13</v>
      </c>
      <c r="AG84" t="str">
        <f>HYPERLINK("https://doi.org/10.1515/9780585441764")</f>
        <v>https://doi.org/10.1515/9780585441764</v>
      </c>
      <c r="AH84" t="str">
        <f>HYPERLINK("http://www.degruyter.com/isbn/9780585441764")</f>
        <v>http://www.degruyter.com/isbn/9780585441764</v>
      </c>
      <c r="AI84" t="s">
        <v>68</v>
      </c>
      <c r="AL84" t="s">
        <v>15</v>
      </c>
      <c r="AM84">
        <v>1</v>
      </c>
      <c r="AN84" s="2">
        <v>9781902930237</v>
      </c>
    </row>
    <row r="85" spans="1:40" x14ac:dyDescent="0.3">
      <c r="A85" t="s">
        <v>541</v>
      </c>
      <c r="B85" t="s">
        <v>1</v>
      </c>
      <c r="C85" t="s">
        <v>542</v>
      </c>
      <c r="D85" t="s">
        <v>543</v>
      </c>
      <c r="E85" t="s">
        <v>544</v>
      </c>
      <c r="F85" t="s">
        <v>5</v>
      </c>
      <c r="G85" t="s">
        <v>6</v>
      </c>
      <c r="L85" t="s">
        <v>7</v>
      </c>
      <c r="M85">
        <v>2010</v>
      </c>
      <c r="N85" s="1">
        <v>40329</v>
      </c>
      <c r="O85" t="s">
        <v>545</v>
      </c>
      <c r="P85">
        <v>1</v>
      </c>
      <c r="S85">
        <v>69.95</v>
      </c>
      <c r="T85">
        <v>79.95</v>
      </c>
      <c r="U85">
        <v>59.98</v>
      </c>
      <c r="V85" t="s">
        <v>58</v>
      </c>
      <c r="W85" t="s">
        <v>129</v>
      </c>
      <c r="X85" t="s">
        <v>130</v>
      </c>
      <c r="Y85" t="s">
        <v>546</v>
      </c>
      <c r="AF85" t="s">
        <v>13</v>
      </c>
      <c r="AG85" t="str">
        <f>HYPERLINK("https://doi.org/10.1515/9780748642410")</f>
        <v>https://doi.org/10.1515/9780748642410</v>
      </c>
      <c r="AH85" t="str">
        <f>HYPERLINK("http://www.degruyter.com/isbn/9780748642410")</f>
        <v>http://www.degruyter.com/isbn/9780748642410</v>
      </c>
      <c r="AI85" t="s">
        <v>68</v>
      </c>
      <c r="AL85" t="s">
        <v>62</v>
      </c>
      <c r="AM85">
        <v>1</v>
      </c>
      <c r="AN85" s="2">
        <v>9780748640355</v>
      </c>
    </row>
    <row r="86" spans="1:40" x14ac:dyDescent="0.3">
      <c r="A86" t="s">
        <v>547</v>
      </c>
      <c r="B86" t="s">
        <v>1</v>
      </c>
      <c r="C86" t="s">
        <v>548</v>
      </c>
      <c r="D86" t="s">
        <v>549</v>
      </c>
      <c r="E86" t="s">
        <v>550</v>
      </c>
      <c r="F86" t="s">
        <v>5</v>
      </c>
      <c r="G86" t="s">
        <v>6</v>
      </c>
      <c r="L86" t="s">
        <v>7</v>
      </c>
      <c r="M86">
        <v>2020</v>
      </c>
      <c r="N86" s="1">
        <v>44656</v>
      </c>
      <c r="O86" t="s">
        <v>551</v>
      </c>
      <c r="P86">
        <v>1</v>
      </c>
      <c r="S86">
        <v>227.95</v>
      </c>
      <c r="T86">
        <v>260</v>
      </c>
      <c r="U86">
        <v>200</v>
      </c>
      <c r="V86" t="s">
        <v>98</v>
      </c>
      <c r="W86" t="s">
        <v>99</v>
      </c>
      <c r="X86" t="s">
        <v>386</v>
      </c>
      <c r="Y86" t="s">
        <v>387</v>
      </c>
      <c r="AF86" t="s">
        <v>13</v>
      </c>
      <c r="AG86" t="str">
        <f>HYPERLINK("https://doi.org/10.1515/9781474420716")</f>
        <v>https://doi.org/10.1515/9781474420716</v>
      </c>
      <c r="AH86" t="str">
        <f>HYPERLINK("http://www.degruyter.com/isbn/9781474420716")</f>
        <v>http://www.degruyter.com/isbn/9781474420716</v>
      </c>
      <c r="AI86" t="s">
        <v>14</v>
      </c>
      <c r="AL86" t="s">
        <v>102</v>
      </c>
      <c r="AM86">
        <v>1</v>
      </c>
      <c r="AN86" s="2">
        <v>9781474420709</v>
      </c>
    </row>
    <row r="87" spans="1:40" x14ac:dyDescent="0.3">
      <c r="A87" t="s">
        <v>552</v>
      </c>
      <c r="B87" t="s">
        <v>1</v>
      </c>
      <c r="C87" t="s">
        <v>553</v>
      </c>
      <c r="E87" t="s">
        <v>554</v>
      </c>
      <c r="F87" t="s">
        <v>5</v>
      </c>
      <c r="G87" t="s">
        <v>6</v>
      </c>
      <c r="L87" t="s">
        <v>7</v>
      </c>
      <c r="M87">
        <v>2021</v>
      </c>
      <c r="N87" s="1">
        <v>44592</v>
      </c>
      <c r="O87" t="s">
        <v>555</v>
      </c>
      <c r="P87">
        <v>1</v>
      </c>
      <c r="S87">
        <v>209.95</v>
      </c>
      <c r="T87">
        <v>240</v>
      </c>
      <c r="U87">
        <v>180</v>
      </c>
      <c r="V87" t="s">
        <v>20</v>
      </c>
      <c r="W87" t="s">
        <v>556</v>
      </c>
      <c r="X87" t="s">
        <v>557</v>
      </c>
      <c r="Y87" t="s">
        <v>558</v>
      </c>
      <c r="AF87" t="s">
        <v>13</v>
      </c>
      <c r="AG87" t="str">
        <f>HYPERLINK("https://doi.org/10.1515/9781474487757")</f>
        <v>https://doi.org/10.1515/9781474487757</v>
      </c>
      <c r="AH87" t="str">
        <f>HYPERLINK("http://www.degruyter.com/isbn/9781474487757")</f>
        <v>http://www.degruyter.com/isbn/9781474487757</v>
      </c>
      <c r="AI87" t="s">
        <v>559</v>
      </c>
      <c r="AL87" t="s">
        <v>15</v>
      </c>
      <c r="AM87">
        <v>1</v>
      </c>
      <c r="AN87" s="2">
        <v>9781474487733</v>
      </c>
    </row>
    <row r="88" spans="1:40" x14ac:dyDescent="0.3">
      <c r="A88" t="s">
        <v>560</v>
      </c>
      <c r="B88" t="s">
        <v>1</v>
      </c>
      <c r="C88" t="s">
        <v>561</v>
      </c>
      <c r="D88" t="s">
        <v>562</v>
      </c>
      <c r="E88" t="s">
        <v>563</v>
      </c>
      <c r="F88" t="s">
        <v>5</v>
      </c>
      <c r="G88" t="s">
        <v>6</v>
      </c>
      <c r="L88" t="s">
        <v>7</v>
      </c>
      <c r="M88">
        <v>2021</v>
      </c>
      <c r="N88" s="1">
        <v>44607</v>
      </c>
      <c r="O88" t="s">
        <v>564</v>
      </c>
      <c r="P88">
        <v>1</v>
      </c>
      <c r="S88">
        <v>243.95</v>
      </c>
      <c r="T88">
        <v>280</v>
      </c>
      <c r="U88">
        <v>210</v>
      </c>
      <c r="V88" t="s">
        <v>98</v>
      </c>
      <c r="W88" t="s">
        <v>366</v>
      </c>
      <c r="X88" t="s">
        <v>367</v>
      </c>
      <c r="Y88" t="s">
        <v>368</v>
      </c>
      <c r="AF88" t="s">
        <v>13</v>
      </c>
      <c r="AG88" t="str">
        <f>HYPERLINK("https://doi.org/10.1515/9781474457392")</f>
        <v>https://doi.org/10.1515/9781474457392</v>
      </c>
      <c r="AH88" t="str">
        <f>HYPERLINK("http://www.degruyter.com/isbn/9781474457392")</f>
        <v>http://www.degruyter.com/isbn/9781474457392</v>
      </c>
      <c r="AI88" t="s">
        <v>565</v>
      </c>
      <c r="AL88" t="s">
        <v>102</v>
      </c>
      <c r="AM88">
        <v>1</v>
      </c>
      <c r="AN88" s="2">
        <v>9781474457378</v>
      </c>
    </row>
    <row r="89" spans="1:40" x14ac:dyDescent="0.3">
      <c r="A89" t="s">
        <v>566</v>
      </c>
      <c r="B89" t="s">
        <v>1</v>
      </c>
      <c r="C89" t="s">
        <v>567</v>
      </c>
      <c r="E89" t="s">
        <v>568</v>
      </c>
      <c r="F89" t="s">
        <v>5</v>
      </c>
      <c r="G89" t="s">
        <v>6</v>
      </c>
      <c r="L89" t="s">
        <v>7</v>
      </c>
      <c r="M89">
        <v>2011</v>
      </c>
      <c r="N89" s="1">
        <v>40731</v>
      </c>
      <c r="O89" t="s">
        <v>569</v>
      </c>
      <c r="P89">
        <v>1</v>
      </c>
      <c r="S89">
        <v>243.95</v>
      </c>
      <c r="T89">
        <v>280</v>
      </c>
      <c r="U89">
        <v>210</v>
      </c>
      <c r="V89" t="s">
        <v>98</v>
      </c>
      <c r="W89" t="s">
        <v>99</v>
      </c>
      <c r="X89" t="s">
        <v>386</v>
      </c>
      <c r="Y89" t="s">
        <v>387</v>
      </c>
      <c r="AF89" t="s">
        <v>13</v>
      </c>
      <c r="AG89" t="str">
        <f>HYPERLINK("https://doi.org/10.1515/9780748637447")</f>
        <v>https://doi.org/10.1515/9780748637447</v>
      </c>
      <c r="AH89" t="str">
        <f>HYPERLINK("http://www.degruyter.com/isbn/9780748637447")</f>
        <v>http://www.degruyter.com/isbn/9780748637447</v>
      </c>
      <c r="AI89" t="s">
        <v>68</v>
      </c>
      <c r="AL89" t="s">
        <v>102</v>
      </c>
      <c r="AM89">
        <v>1</v>
      </c>
      <c r="AN89" s="2">
        <v>9780748637423</v>
      </c>
    </row>
    <row r="90" spans="1:40" x14ac:dyDescent="0.3">
      <c r="A90" t="s">
        <v>570</v>
      </c>
      <c r="B90" t="s">
        <v>1</v>
      </c>
      <c r="C90" t="s">
        <v>571</v>
      </c>
      <c r="D90" t="s">
        <v>572</v>
      </c>
      <c r="E90" t="s">
        <v>573</v>
      </c>
      <c r="F90" t="s">
        <v>5</v>
      </c>
      <c r="G90" t="s">
        <v>6</v>
      </c>
      <c r="L90" t="s">
        <v>7</v>
      </c>
      <c r="M90">
        <v>2008</v>
      </c>
      <c r="N90" s="1">
        <v>39638</v>
      </c>
      <c r="O90" t="s">
        <v>574</v>
      </c>
      <c r="P90">
        <v>1</v>
      </c>
      <c r="S90">
        <v>217.95</v>
      </c>
      <c r="T90">
        <v>250</v>
      </c>
      <c r="U90">
        <v>190</v>
      </c>
      <c r="V90" t="s">
        <v>20</v>
      </c>
      <c r="W90" t="s">
        <v>21</v>
      </c>
      <c r="X90" t="s">
        <v>575</v>
      </c>
      <c r="Y90" t="s">
        <v>576</v>
      </c>
      <c r="AF90" t="s">
        <v>13</v>
      </c>
      <c r="AG90" t="str">
        <f>HYPERLINK("https://doi.org/10.1515/9780748637553?locatt=mode:legacy")</f>
        <v>https://doi.org/10.1515/9780748637553?locatt=mode:legacy</v>
      </c>
      <c r="AH90" t="str">
        <f>HYPERLINK("http://www.degruyter.com/isbn/9780748637553")</f>
        <v>http://www.degruyter.com/isbn/9780748637553</v>
      </c>
      <c r="AI90" t="s">
        <v>68</v>
      </c>
      <c r="AL90" t="s">
        <v>15</v>
      </c>
      <c r="AM90">
        <v>1</v>
      </c>
      <c r="AN90" s="2">
        <v>9780748637546</v>
      </c>
    </row>
    <row r="91" spans="1:40" x14ac:dyDescent="0.3">
      <c r="A91" t="s">
        <v>577</v>
      </c>
      <c r="B91" t="s">
        <v>1</v>
      </c>
      <c r="C91" t="s">
        <v>578</v>
      </c>
      <c r="E91" t="s">
        <v>579</v>
      </c>
      <c r="F91" t="s">
        <v>5</v>
      </c>
      <c r="G91" t="s">
        <v>6</v>
      </c>
      <c r="L91" t="s">
        <v>7</v>
      </c>
      <c r="M91">
        <v>2012</v>
      </c>
      <c r="N91" s="1">
        <v>41045</v>
      </c>
      <c r="O91" t="s">
        <v>580</v>
      </c>
      <c r="P91">
        <v>1</v>
      </c>
      <c r="S91">
        <v>217.95</v>
      </c>
      <c r="T91">
        <v>250</v>
      </c>
      <c r="U91">
        <v>190</v>
      </c>
      <c r="V91" t="s">
        <v>42</v>
      </c>
      <c r="W91" t="s">
        <v>107</v>
      </c>
      <c r="X91" t="s">
        <v>108</v>
      </c>
      <c r="Y91" t="s">
        <v>109</v>
      </c>
      <c r="AF91" t="s">
        <v>13</v>
      </c>
      <c r="AG91" t="str">
        <f>HYPERLINK("https://doi.org/10.1515/9780748646494")</f>
        <v>https://doi.org/10.1515/9780748646494</v>
      </c>
      <c r="AH91" t="str">
        <f>HYPERLINK("http://www.degruyter.com/isbn/9780748646494")</f>
        <v>http://www.degruyter.com/isbn/9780748646494</v>
      </c>
      <c r="AI91" t="s">
        <v>68</v>
      </c>
      <c r="AL91" t="s">
        <v>47</v>
      </c>
      <c r="AM91">
        <v>1</v>
      </c>
      <c r="AN91" s="2">
        <v>9780748646487</v>
      </c>
    </row>
    <row r="92" spans="1:40" x14ac:dyDescent="0.3">
      <c r="A92" t="s">
        <v>581</v>
      </c>
      <c r="B92" t="s">
        <v>1</v>
      </c>
      <c r="C92" t="s">
        <v>582</v>
      </c>
      <c r="D92" t="s">
        <v>583</v>
      </c>
      <c r="E92" t="s">
        <v>584</v>
      </c>
      <c r="F92" t="s">
        <v>5</v>
      </c>
      <c r="G92" t="s">
        <v>6</v>
      </c>
      <c r="L92" t="s">
        <v>7</v>
      </c>
      <c r="M92">
        <v>2016</v>
      </c>
      <c r="N92" s="1">
        <v>42542</v>
      </c>
      <c r="O92" t="s">
        <v>585</v>
      </c>
      <c r="P92">
        <v>1</v>
      </c>
      <c r="S92">
        <v>217.95</v>
      </c>
      <c r="T92">
        <v>250</v>
      </c>
      <c r="U92">
        <v>190</v>
      </c>
      <c r="V92" t="s">
        <v>42</v>
      </c>
      <c r="W92" t="s">
        <v>116</v>
      </c>
      <c r="X92" t="s">
        <v>116</v>
      </c>
      <c r="Y92" t="s">
        <v>586</v>
      </c>
      <c r="AF92" t="s">
        <v>13</v>
      </c>
      <c r="AG92" t="str">
        <f>HYPERLINK("https://doi.org/10.1515/9781474415392")</f>
        <v>https://doi.org/10.1515/9781474415392</v>
      </c>
      <c r="AH92" t="str">
        <f>HYPERLINK("http://www.degruyter.com/isbn/9781474415392")</f>
        <v>http://www.degruyter.com/isbn/9781474415392</v>
      </c>
      <c r="AI92" t="s">
        <v>180</v>
      </c>
      <c r="AL92" t="s">
        <v>47</v>
      </c>
      <c r="AM92">
        <v>1</v>
      </c>
      <c r="AN92" s="2">
        <v>9781474415378</v>
      </c>
    </row>
    <row r="93" spans="1:40" x14ac:dyDescent="0.3">
      <c r="A93" t="s">
        <v>587</v>
      </c>
      <c r="B93" t="s">
        <v>1</v>
      </c>
      <c r="C93" t="s">
        <v>588</v>
      </c>
      <c r="E93" t="s">
        <v>589</v>
      </c>
      <c r="F93" t="s">
        <v>5</v>
      </c>
      <c r="G93" t="s">
        <v>6</v>
      </c>
      <c r="L93" t="s">
        <v>7</v>
      </c>
      <c r="M93">
        <v>1992</v>
      </c>
      <c r="N93" s="1">
        <v>44599</v>
      </c>
      <c r="O93" t="s">
        <v>590</v>
      </c>
      <c r="P93">
        <v>1</v>
      </c>
      <c r="S93">
        <v>305.95</v>
      </c>
      <c r="T93">
        <v>350</v>
      </c>
      <c r="U93">
        <v>270</v>
      </c>
      <c r="V93" t="s">
        <v>20</v>
      </c>
      <c r="W93" t="s">
        <v>21</v>
      </c>
      <c r="X93" t="s">
        <v>22</v>
      </c>
      <c r="Y93" t="s">
        <v>23</v>
      </c>
      <c r="AF93" t="s">
        <v>13</v>
      </c>
      <c r="AG93" t="str">
        <f>HYPERLINK("https://doi.org/10.1515/9781474469586")</f>
        <v>https://doi.org/10.1515/9781474469586</v>
      </c>
      <c r="AH93" t="str">
        <f>HYPERLINK("http://www.degruyter.com/isbn/9781474469586")</f>
        <v>http://www.degruyter.com/isbn/9781474469586</v>
      </c>
      <c r="AI93" t="s">
        <v>24</v>
      </c>
      <c r="AL93" t="s">
        <v>15</v>
      </c>
      <c r="AM93">
        <v>1</v>
      </c>
      <c r="AN93" s="2">
        <v>9781853310379</v>
      </c>
    </row>
    <row r="94" spans="1:40" x14ac:dyDescent="0.3">
      <c r="A94" t="s">
        <v>591</v>
      </c>
      <c r="B94" t="s">
        <v>1</v>
      </c>
      <c r="C94" t="s">
        <v>592</v>
      </c>
      <c r="D94" t="s">
        <v>593</v>
      </c>
      <c r="E94" t="s">
        <v>594</v>
      </c>
      <c r="F94" t="s">
        <v>5</v>
      </c>
      <c r="G94" t="s">
        <v>6</v>
      </c>
      <c r="L94" t="s">
        <v>7</v>
      </c>
      <c r="M94">
        <v>2005</v>
      </c>
      <c r="N94" s="1">
        <v>38695</v>
      </c>
      <c r="O94" t="s">
        <v>595</v>
      </c>
      <c r="P94">
        <v>1</v>
      </c>
      <c r="S94">
        <v>253.95</v>
      </c>
      <c r="T94">
        <v>290</v>
      </c>
      <c r="U94">
        <v>220</v>
      </c>
      <c r="V94" t="s">
        <v>9</v>
      </c>
      <c r="W94" t="s">
        <v>10</v>
      </c>
      <c r="X94" t="s">
        <v>596</v>
      </c>
      <c r="Y94" t="s">
        <v>597</v>
      </c>
      <c r="AF94" t="s">
        <v>13</v>
      </c>
      <c r="AG94" t="str">
        <f>HYPERLINK("https://doi.org/10.1515/9780748626311")</f>
        <v>https://doi.org/10.1515/9780748626311</v>
      </c>
      <c r="AH94" t="str">
        <f>HYPERLINK("http://www.degruyter.com/isbn/9780748626311")</f>
        <v>http://www.degruyter.com/isbn/9780748626311</v>
      </c>
      <c r="AI94" t="s">
        <v>68</v>
      </c>
      <c r="AL94" t="s">
        <v>15</v>
      </c>
      <c r="AM94">
        <v>1</v>
      </c>
      <c r="AN94" s="2">
        <v>9780748618255</v>
      </c>
    </row>
    <row r="95" spans="1:40" x14ac:dyDescent="0.3">
      <c r="A95" t="s">
        <v>598</v>
      </c>
      <c r="B95" t="s">
        <v>1</v>
      </c>
      <c r="C95" t="s">
        <v>599</v>
      </c>
      <c r="D95" t="s">
        <v>600</v>
      </c>
      <c r="E95" t="s">
        <v>601</v>
      </c>
      <c r="F95" t="s">
        <v>5</v>
      </c>
      <c r="G95" t="s">
        <v>6</v>
      </c>
      <c r="L95" t="s">
        <v>7</v>
      </c>
      <c r="M95">
        <v>2020</v>
      </c>
      <c r="N95" s="1">
        <v>44656</v>
      </c>
      <c r="O95" t="s">
        <v>602</v>
      </c>
      <c r="P95">
        <v>1</v>
      </c>
      <c r="S95">
        <v>217.95</v>
      </c>
      <c r="T95">
        <v>250</v>
      </c>
      <c r="U95">
        <v>190</v>
      </c>
      <c r="V95" t="s">
        <v>20</v>
      </c>
      <c r="W95" t="s">
        <v>21</v>
      </c>
      <c r="X95" t="s">
        <v>22</v>
      </c>
      <c r="Y95" t="s">
        <v>23</v>
      </c>
      <c r="AF95" t="s">
        <v>13</v>
      </c>
      <c r="AG95" t="str">
        <f>HYPERLINK("https://doi.org/10.1515/9781474459495")</f>
        <v>https://doi.org/10.1515/9781474459495</v>
      </c>
      <c r="AH95" t="str">
        <f>HYPERLINK("http://www.degruyter.com/isbn/9781474459495")</f>
        <v>http://www.degruyter.com/isbn/9781474459495</v>
      </c>
      <c r="AI95" t="s">
        <v>14</v>
      </c>
      <c r="AL95" t="s">
        <v>15</v>
      </c>
      <c r="AM95">
        <v>1</v>
      </c>
      <c r="AN95" s="2">
        <v>9781474459471</v>
      </c>
    </row>
    <row r="96" spans="1:40" x14ac:dyDescent="0.3">
      <c r="A96" t="s">
        <v>603</v>
      </c>
      <c r="B96" t="s">
        <v>1</v>
      </c>
      <c r="C96" t="s">
        <v>604</v>
      </c>
      <c r="E96" t="s">
        <v>605</v>
      </c>
      <c r="F96" t="s">
        <v>5</v>
      </c>
      <c r="G96" t="s">
        <v>6</v>
      </c>
      <c r="L96" t="s">
        <v>7</v>
      </c>
      <c r="M96">
        <v>1990</v>
      </c>
      <c r="N96" s="1">
        <v>44599</v>
      </c>
      <c r="O96" t="s">
        <v>606</v>
      </c>
      <c r="P96">
        <v>1</v>
      </c>
      <c r="S96">
        <v>217.95</v>
      </c>
      <c r="T96">
        <v>250</v>
      </c>
      <c r="U96">
        <v>190</v>
      </c>
      <c r="V96" t="s">
        <v>98</v>
      </c>
      <c r="W96" t="s">
        <v>99</v>
      </c>
      <c r="X96" t="s">
        <v>386</v>
      </c>
      <c r="Y96" t="s">
        <v>387</v>
      </c>
      <c r="AF96" t="s">
        <v>13</v>
      </c>
      <c r="AG96" t="str">
        <f>HYPERLINK("https://doi.org/10.1515/9781474463775")</f>
        <v>https://doi.org/10.1515/9781474463775</v>
      </c>
      <c r="AH96" t="str">
        <f>HYPERLINK("http://www.degruyter.com/isbn/9781474463775")</f>
        <v>http://www.degruyter.com/isbn/9781474463775</v>
      </c>
      <c r="AI96" t="s">
        <v>24</v>
      </c>
      <c r="AL96" t="s">
        <v>102</v>
      </c>
      <c r="AM96">
        <v>1</v>
      </c>
      <c r="AN96" s="2">
        <v>9780852244517</v>
      </c>
    </row>
    <row r="97" spans="1:40" x14ac:dyDescent="0.3">
      <c r="A97" t="s">
        <v>607</v>
      </c>
      <c r="B97" t="s">
        <v>1</v>
      </c>
      <c r="C97" t="s">
        <v>608</v>
      </c>
      <c r="E97" t="s">
        <v>609</v>
      </c>
      <c r="F97" t="s">
        <v>5</v>
      </c>
      <c r="G97" t="s">
        <v>6</v>
      </c>
      <c r="L97" t="s">
        <v>7</v>
      </c>
      <c r="M97">
        <v>2004</v>
      </c>
      <c r="N97" s="1">
        <v>38163</v>
      </c>
      <c r="O97" t="s">
        <v>610</v>
      </c>
      <c r="P97">
        <v>1</v>
      </c>
      <c r="S97">
        <v>253.95</v>
      </c>
      <c r="T97">
        <v>290</v>
      </c>
      <c r="U97">
        <v>220</v>
      </c>
      <c r="V97" t="s">
        <v>449</v>
      </c>
      <c r="W97" t="s">
        <v>450</v>
      </c>
      <c r="X97" t="s">
        <v>450</v>
      </c>
      <c r="Y97" t="s">
        <v>451</v>
      </c>
      <c r="AF97" t="s">
        <v>13</v>
      </c>
      <c r="AG97" t="str">
        <f>HYPERLINK("https://doi.org/10.1515/9781474468282")</f>
        <v>https://doi.org/10.1515/9781474468282</v>
      </c>
      <c r="AH97" t="str">
        <f>HYPERLINK("http://www.degruyter.com/isbn/9781474468282")</f>
        <v>http://www.degruyter.com/isbn/9781474468282</v>
      </c>
      <c r="AI97" t="s">
        <v>452</v>
      </c>
      <c r="AL97" t="s">
        <v>308</v>
      </c>
      <c r="AM97">
        <v>1</v>
      </c>
      <c r="AN97" s="2">
        <v>9780748618125</v>
      </c>
    </row>
    <row r="98" spans="1:40" x14ac:dyDescent="0.3">
      <c r="A98" t="s">
        <v>611</v>
      </c>
      <c r="B98" t="s">
        <v>1</v>
      </c>
      <c r="C98" t="s">
        <v>612</v>
      </c>
      <c r="E98" t="s">
        <v>613</v>
      </c>
      <c r="F98" t="s">
        <v>5</v>
      </c>
      <c r="G98" t="s">
        <v>6</v>
      </c>
      <c r="L98" t="s">
        <v>7</v>
      </c>
      <c r="M98">
        <v>2003</v>
      </c>
      <c r="N98" s="1">
        <v>37677</v>
      </c>
      <c r="O98" t="s">
        <v>614</v>
      </c>
      <c r="P98">
        <v>1</v>
      </c>
      <c r="S98">
        <v>217.95</v>
      </c>
      <c r="T98">
        <v>250</v>
      </c>
      <c r="U98">
        <v>190</v>
      </c>
      <c r="V98" t="s">
        <v>58</v>
      </c>
      <c r="W98" t="s">
        <v>59</v>
      </c>
      <c r="X98" t="s">
        <v>60</v>
      </c>
      <c r="Y98" t="s">
        <v>615</v>
      </c>
      <c r="AF98" t="s">
        <v>13</v>
      </c>
      <c r="AG98" t="str">
        <f>HYPERLINK("https://doi.org/10.1515/9781474467834")</f>
        <v>https://doi.org/10.1515/9781474467834</v>
      </c>
      <c r="AH98" t="str">
        <f>HYPERLINK("http://www.degruyter.com/isbn/9781474467834")</f>
        <v>http://www.degruyter.com/isbn/9781474467834</v>
      </c>
      <c r="AI98" t="s">
        <v>68</v>
      </c>
      <c r="AL98" t="s">
        <v>62</v>
      </c>
      <c r="AM98">
        <v>1</v>
      </c>
      <c r="AN98" s="2">
        <v>9780748614707</v>
      </c>
    </row>
    <row r="99" spans="1:40" x14ac:dyDescent="0.3">
      <c r="A99" t="s">
        <v>616</v>
      </c>
      <c r="B99" t="s">
        <v>1</v>
      </c>
      <c r="C99" t="s">
        <v>617</v>
      </c>
      <c r="D99" t="s">
        <v>618</v>
      </c>
      <c r="E99" t="s">
        <v>619</v>
      </c>
      <c r="F99" t="s">
        <v>5</v>
      </c>
      <c r="G99" t="s">
        <v>6</v>
      </c>
      <c r="L99" t="s">
        <v>7</v>
      </c>
      <c r="M99">
        <v>2000</v>
      </c>
      <c r="N99" s="1">
        <v>36649</v>
      </c>
      <c r="O99" t="s">
        <v>620</v>
      </c>
      <c r="P99">
        <v>1</v>
      </c>
      <c r="S99">
        <v>305.95</v>
      </c>
      <c r="T99">
        <v>350</v>
      </c>
      <c r="U99">
        <v>270</v>
      </c>
      <c r="V99" t="s">
        <v>495</v>
      </c>
      <c r="W99" t="s">
        <v>496</v>
      </c>
      <c r="X99" t="s">
        <v>496</v>
      </c>
      <c r="Y99" t="s">
        <v>621</v>
      </c>
      <c r="AF99" t="s">
        <v>13</v>
      </c>
      <c r="AG99" t="str">
        <f>HYPERLINK("https://doi.org/10.1515/9781474472685")</f>
        <v>https://doi.org/10.1515/9781474472685</v>
      </c>
      <c r="AH99" t="str">
        <f>HYPERLINK("http://www.degruyter.com/isbn/9781474472685")</f>
        <v>http://www.degruyter.com/isbn/9781474472685</v>
      </c>
      <c r="AI99" t="s">
        <v>68</v>
      </c>
      <c r="AL99" t="s">
        <v>498</v>
      </c>
      <c r="AM99">
        <v>1</v>
      </c>
      <c r="AN99" s="2">
        <v>9780748612789</v>
      </c>
    </row>
    <row r="100" spans="1:40" x14ac:dyDescent="0.3">
      <c r="A100" t="s">
        <v>622</v>
      </c>
      <c r="B100" t="s">
        <v>1</v>
      </c>
      <c r="C100" t="s">
        <v>623</v>
      </c>
      <c r="D100" t="s">
        <v>624</v>
      </c>
      <c r="E100" t="s">
        <v>625</v>
      </c>
      <c r="F100" t="s">
        <v>5</v>
      </c>
      <c r="G100" t="s">
        <v>6</v>
      </c>
      <c r="L100" t="s">
        <v>7</v>
      </c>
      <c r="M100">
        <v>2017</v>
      </c>
      <c r="N100" s="1">
        <v>42856</v>
      </c>
      <c r="O100" t="s">
        <v>626</v>
      </c>
      <c r="P100">
        <v>1</v>
      </c>
      <c r="S100">
        <v>261.95</v>
      </c>
      <c r="T100">
        <v>300</v>
      </c>
      <c r="U100">
        <v>230</v>
      </c>
      <c r="V100" t="s">
        <v>79</v>
      </c>
      <c r="W100" t="s">
        <v>80</v>
      </c>
      <c r="X100" t="s">
        <v>80</v>
      </c>
      <c r="Y100" t="s">
        <v>81</v>
      </c>
      <c r="AF100" t="s">
        <v>13</v>
      </c>
      <c r="AG100" t="str">
        <f>HYPERLINK("https://doi.org/10.1515/9781474417792")</f>
        <v>https://doi.org/10.1515/9781474417792</v>
      </c>
      <c r="AH100" t="str">
        <f>HYPERLINK("http://www.degruyter.com/isbn/9781474417792")</f>
        <v>http://www.degruyter.com/isbn/9781474417792</v>
      </c>
      <c r="AI100" t="s">
        <v>222</v>
      </c>
      <c r="AL100" t="s">
        <v>83</v>
      </c>
      <c r="AM100">
        <v>1</v>
      </c>
      <c r="AN100" s="2">
        <v>9781474417778</v>
      </c>
    </row>
    <row r="101" spans="1:40" x14ac:dyDescent="0.3">
      <c r="A101" t="s">
        <v>627</v>
      </c>
      <c r="B101" t="s">
        <v>1</v>
      </c>
      <c r="C101" t="s">
        <v>628</v>
      </c>
      <c r="D101" t="s">
        <v>629</v>
      </c>
      <c r="E101" t="s">
        <v>630</v>
      </c>
      <c r="F101" t="s">
        <v>5</v>
      </c>
      <c r="G101" t="s">
        <v>6</v>
      </c>
      <c r="L101" t="s">
        <v>7</v>
      </c>
      <c r="M101">
        <v>2013</v>
      </c>
      <c r="N101" s="1">
        <v>41477</v>
      </c>
      <c r="O101" t="s">
        <v>631</v>
      </c>
      <c r="P101">
        <v>1</v>
      </c>
      <c r="S101">
        <v>217.95</v>
      </c>
      <c r="T101">
        <v>250</v>
      </c>
      <c r="U101">
        <v>190</v>
      </c>
      <c r="V101" t="s">
        <v>42</v>
      </c>
      <c r="W101" t="s">
        <v>43</v>
      </c>
      <c r="X101" t="s">
        <v>44</v>
      </c>
      <c r="Y101" t="s">
        <v>45</v>
      </c>
      <c r="AF101" t="s">
        <v>13</v>
      </c>
      <c r="AG101" t="str">
        <f>HYPERLINK("https://doi.org/10.1515/9780748680184")</f>
        <v>https://doi.org/10.1515/9780748680184</v>
      </c>
      <c r="AH101" t="str">
        <f>HYPERLINK("http://www.degruyter.com/isbn/9780748680184")</f>
        <v>http://www.degruyter.com/isbn/9780748680184</v>
      </c>
      <c r="AI101" t="s">
        <v>68</v>
      </c>
      <c r="AL101" t="s">
        <v>47</v>
      </c>
      <c r="AM101">
        <v>1</v>
      </c>
      <c r="AN101" s="2">
        <v>9780748680177</v>
      </c>
    </row>
    <row r="102" spans="1:40" x14ac:dyDescent="0.3">
      <c r="A102" t="s">
        <v>632</v>
      </c>
      <c r="B102" t="s">
        <v>1</v>
      </c>
      <c r="C102" t="s">
        <v>633</v>
      </c>
      <c r="D102" t="s">
        <v>634</v>
      </c>
      <c r="E102" t="s">
        <v>635</v>
      </c>
      <c r="F102" t="s">
        <v>5</v>
      </c>
      <c r="G102" t="s">
        <v>6</v>
      </c>
      <c r="L102" t="s">
        <v>7</v>
      </c>
      <c r="M102">
        <v>2013</v>
      </c>
      <c r="N102" s="1">
        <v>41467</v>
      </c>
      <c r="O102" t="s">
        <v>636</v>
      </c>
      <c r="P102">
        <v>1</v>
      </c>
      <c r="S102">
        <v>217.95</v>
      </c>
      <c r="T102">
        <v>250</v>
      </c>
      <c r="U102">
        <v>190</v>
      </c>
      <c r="V102" t="s">
        <v>20</v>
      </c>
      <c r="W102" t="s">
        <v>21</v>
      </c>
      <c r="X102" t="s">
        <v>458</v>
      </c>
      <c r="Y102" t="s">
        <v>459</v>
      </c>
      <c r="AF102" t="s">
        <v>13</v>
      </c>
      <c r="AG102" t="str">
        <f>HYPERLINK("https://doi.org/10.1515/9780748638482")</f>
        <v>https://doi.org/10.1515/9780748638482</v>
      </c>
      <c r="AH102" t="str">
        <f>HYPERLINK("http://www.degruyter.com/isbn/9780748638482")</f>
        <v>http://www.degruyter.com/isbn/9780748638482</v>
      </c>
      <c r="AI102" t="s">
        <v>68</v>
      </c>
      <c r="AL102" t="s">
        <v>15</v>
      </c>
      <c r="AM102">
        <v>1</v>
      </c>
      <c r="AN102" s="2">
        <v>9780748638475</v>
      </c>
    </row>
    <row r="103" spans="1:40" x14ac:dyDescent="0.3">
      <c r="A103">
        <v>286864</v>
      </c>
      <c r="B103" t="s">
        <v>1</v>
      </c>
      <c r="C103" t="s">
        <v>637</v>
      </c>
      <c r="D103" t="s">
        <v>186</v>
      </c>
      <c r="E103" t="s">
        <v>637</v>
      </c>
      <c r="F103" t="s">
        <v>5</v>
      </c>
      <c r="G103" t="s">
        <v>6</v>
      </c>
      <c r="L103" t="s">
        <v>7</v>
      </c>
      <c r="M103">
        <v>2022</v>
      </c>
      <c r="N103" s="1">
        <v>44587</v>
      </c>
      <c r="P103">
        <v>1</v>
      </c>
      <c r="S103">
        <v>860</v>
      </c>
      <c r="T103">
        <v>990</v>
      </c>
      <c r="U103">
        <v>782</v>
      </c>
      <c r="V103" t="s">
        <v>187</v>
      </c>
      <c r="W103" t="s">
        <v>187</v>
      </c>
      <c r="X103" t="s">
        <v>187</v>
      </c>
      <c r="Y103" t="s">
        <v>188</v>
      </c>
      <c r="AF103" t="s">
        <v>189</v>
      </c>
      <c r="AL103" t="s">
        <v>638</v>
      </c>
      <c r="AM103">
        <v>1</v>
      </c>
      <c r="AN103" s="2"/>
    </row>
    <row r="104" spans="1:40" x14ac:dyDescent="0.3">
      <c r="A104">
        <v>286868</v>
      </c>
      <c r="B104" t="s">
        <v>1</v>
      </c>
      <c r="C104" t="s">
        <v>639</v>
      </c>
      <c r="D104" t="s">
        <v>186</v>
      </c>
      <c r="E104" t="s">
        <v>639</v>
      </c>
      <c r="F104" t="s">
        <v>5</v>
      </c>
      <c r="G104" t="s">
        <v>6</v>
      </c>
      <c r="L104" t="s">
        <v>7</v>
      </c>
      <c r="M104">
        <v>2020</v>
      </c>
      <c r="N104" s="1">
        <v>44502</v>
      </c>
      <c r="P104">
        <v>1</v>
      </c>
      <c r="S104">
        <v>20028.560000000001</v>
      </c>
      <c r="T104">
        <v>23200</v>
      </c>
      <c r="U104">
        <v>17031</v>
      </c>
      <c r="V104" t="s">
        <v>187</v>
      </c>
      <c r="W104" t="s">
        <v>187</v>
      </c>
      <c r="X104" t="s">
        <v>187</v>
      </c>
      <c r="Y104" t="s">
        <v>188</v>
      </c>
      <c r="AF104" t="s">
        <v>189</v>
      </c>
      <c r="AL104" t="s">
        <v>190</v>
      </c>
      <c r="AM104">
        <v>1</v>
      </c>
      <c r="AN104" s="2"/>
    </row>
    <row r="105" spans="1:40" x14ac:dyDescent="0.3">
      <c r="A105" t="s">
        <v>640</v>
      </c>
      <c r="B105" t="s">
        <v>1</v>
      </c>
      <c r="C105" t="s">
        <v>641</v>
      </c>
      <c r="D105" t="s">
        <v>642</v>
      </c>
      <c r="E105" t="s">
        <v>643</v>
      </c>
      <c r="F105" t="s">
        <v>5</v>
      </c>
      <c r="G105" t="s">
        <v>6</v>
      </c>
      <c r="L105" t="s">
        <v>7</v>
      </c>
      <c r="M105">
        <v>2014</v>
      </c>
      <c r="N105" s="1">
        <v>41920</v>
      </c>
      <c r="O105" t="s">
        <v>644</v>
      </c>
      <c r="P105">
        <v>1</v>
      </c>
      <c r="S105">
        <v>191.95</v>
      </c>
      <c r="T105">
        <v>220</v>
      </c>
      <c r="U105">
        <v>170</v>
      </c>
      <c r="V105" t="s">
        <v>20</v>
      </c>
      <c r="W105" t="s">
        <v>21</v>
      </c>
      <c r="X105" t="s">
        <v>575</v>
      </c>
      <c r="Y105" t="s">
        <v>576</v>
      </c>
      <c r="AF105" t="s">
        <v>13</v>
      </c>
      <c r="AG105" t="str">
        <f>HYPERLINK("https://doi.org/10.1515/9780748685646")</f>
        <v>https://doi.org/10.1515/9780748685646</v>
      </c>
      <c r="AH105" t="str">
        <f>HYPERLINK("http://www.degruyter.com/isbn/9780748685646")</f>
        <v>http://www.degruyter.com/isbn/9780748685646</v>
      </c>
      <c r="AI105" t="s">
        <v>34</v>
      </c>
      <c r="AL105" t="s">
        <v>15</v>
      </c>
      <c r="AM105">
        <v>1</v>
      </c>
      <c r="AN105" s="2">
        <v>9780748685394</v>
      </c>
    </row>
    <row r="106" spans="1:40" x14ac:dyDescent="0.3">
      <c r="A106" t="s">
        <v>645</v>
      </c>
      <c r="B106" t="s">
        <v>1</v>
      </c>
      <c r="C106" t="s">
        <v>646</v>
      </c>
      <c r="D106" t="s">
        <v>647</v>
      </c>
      <c r="E106" t="s">
        <v>648</v>
      </c>
      <c r="F106" t="s">
        <v>5</v>
      </c>
      <c r="G106" t="s">
        <v>6</v>
      </c>
      <c r="L106" t="s">
        <v>7</v>
      </c>
      <c r="M106">
        <v>2017</v>
      </c>
      <c r="N106" s="1">
        <v>43033</v>
      </c>
      <c r="O106" t="s">
        <v>649</v>
      </c>
      <c r="P106">
        <v>1</v>
      </c>
      <c r="S106">
        <v>243.95</v>
      </c>
      <c r="T106">
        <v>280</v>
      </c>
      <c r="U106">
        <v>210</v>
      </c>
      <c r="V106" t="s">
        <v>305</v>
      </c>
      <c r="W106" t="s">
        <v>650</v>
      </c>
      <c r="X106" t="s">
        <v>650</v>
      </c>
      <c r="Y106" t="s">
        <v>651</v>
      </c>
      <c r="AF106" t="s">
        <v>13</v>
      </c>
      <c r="AG106" t="str">
        <f>HYPERLINK("https://doi.org/10.1515/9781474429368")</f>
        <v>https://doi.org/10.1515/9781474429368</v>
      </c>
      <c r="AH106" t="str">
        <f>HYPERLINK("http://www.degruyter.com/isbn/9781474429368")</f>
        <v>http://www.degruyter.com/isbn/9781474429368</v>
      </c>
      <c r="AI106" t="s">
        <v>222</v>
      </c>
      <c r="AL106" t="s">
        <v>308</v>
      </c>
      <c r="AM106">
        <v>1</v>
      </c>
      <c r="AN106" s="2">
        <v>9781474429344</v>
      </c>
    </row>
    <row r="107" spans="1:40" x14ac:dyDescent="0.3">
      <c r="A107">
        <v>286880</v>
      </c>
      <c r="B107" t="s">
        <v>1</v>
      </c>
      <c r="C107" t="s">
        <v>652</v>
      </c>
      <c r="D107" t="s">
        <v>186</v>
      </c>
      <c r="E107" t="s">
        <v>652</v>
      </c>
      <c r="F107" t="s">
        <v>5</v>
      </c>
      <c r="G107" t="s">
        <v>6</v>
      </c>
      <c r="L107" t="s">
        <v>7</v>
      </c>
      <c r="M107">
        <v>2013</v>
      </c>
      <c r="N107" s="1">
        <v>44502</v>
      </c>
      <c r="P107">
        <v>1</v>
      </c>
      <c r="S107">
        <v>96053</v>
      </c>
      <c r="T107">
        <v>111800</v>
      </c>
      <c r="U107">
        <v>82011</v>
      </c>
      <c r="V107" t="s">
        <v>187</v>
      </c>
      <c r="W107" t="s">
        <v>187</v>
      </c>
      <c r="X107" t="s">
        <v>187</v>
      </c>
      <c r="Y107" t="s">
        <v>188</v>
      </c>
      <c r="AF107" t="s">
        <v>189</v>
      </c>
      <c r="AL107" t="s">
        <v>190</v>
      </c>
      <c r="AM107">
        <v>1</v>
      </c>
      <c r="AN107" s="2"/>
    </row>
    <row r="108" spans="1:40" x14ac:dyDescent="0.3">
      <c r="A108" t="s">
        <v>653</v>
      </c>
      <c r="B108" t="s">
        <v>1</v>
      </c>
      <c r="C108" t="s">
        <v>654</v>
      </c>
      <c r="D108" t="s">
        <v>655</v>
      </c>
      <c r="E108" t="s">
        <v>656</v>
      </c>
      <c r="F108" t="s">
        <v>5</v>
      </c>
      <c r="G108" t="s">
        <v>6</v>
      </c>
      <c r="L108" t="s">
        <v>7</v>
      </c>
      <c r="M108">
        <v>2006</v>
      </c>
      <c r="N108" s="1">
        <v>38770</v>
      </c>
      <c r="O108" t="s">
        <v>657</v>
      </c>
      <c r="P108">
        <v>1</v>
      </c>
      <c r="S108">
        <v>227.95</v>
      </c>
      <c r="T108">
        <v>260</v>
      </c>
      <c r="U108">
        <v>200</v>
      </c>
      <c r="V108" t="s">
        <v>9</v>
      </c>
      <c r="W108" t="s">
        <v>10</v>
      </c>
      <c r="X108" t="s">
        <v>11</v>
      </c>
      <c r="Y108" t="s">
        <v>12</v>
      </c>
      <c r="AF108" t="s">
        <v>13</v>
      </c>
      <c r="AG108" t="str">
        <f>HYPERLINK("https://doi.org/10.1515/9780748626519")</f>
        <v>https://doi.org/10.1515/9780748626519</v>
      </c>
      <c r="AH108" t="str">
        <f>HYPERLINK("http://www.degruyter.com/isbn/9780748626519")</f>
        <v>http://www.degruyter.com/isbn/9780748626519</v>
      </c>
      <c r="AI108" t="s">
        <v>68</v>
      </c>
      <c r="AL108" t="s">
        <v>15</v>
      </c>
      <c r="AM108">
        <v>1</v>
      </c>
      <c r="AN108" s="2">
        <v>9780748621606</v>
      </c>
    </row>
    <row r="109" spans="1:40" x14ac:dyDescent="0.3">
      <c r="A109" t="s">
        <v>658</v>
      </c>
      <c r="B109" t="s">
        <v>1</v>
      </c>
      <c r="C109" t="s">
        <v>659</v>
      </c>
      <c r="E109" t="s">
        <v>660</v>
      </c>
      <c r="F109" t="s">
        <v>5</v>
      </c>
      <c r="G109" t="s">
        <v>6</v>
      </c>
      <c r="L109" t="s">
        <v>7</v>
      </c>
      <c r="M109">
        <v>2015</v>
      </c>
      <c r="N109" s="1">
        <v>42071</v>
      </c>
      <c r="O109" t="s">
        <v>661</v>
      </c>
      <c r="P109">
        <v>1</v>
      </c>
      <c r="S109">
        <v>217.95</v>
      </c>
      <c r="T109">
        <v>250</v>
      </c>
      <c r="U109">
        <v>190</v>
      </c>
      <c r="V109" t="s">
        <v>42</v>
      </c>
      <c r="W109" t="s">
        <v>116</v>
      </c>
      <c r="X109" t="s">
        <v>116</v>
      </c>
      <c r="Y109" t="s">
        <v>117</v>
      </c>
      <c r="AF109" t="s">
        <v>13</v>
      </c>
      <c r="AG109" t="str">
        <f>HYPERLINK("https://doi.org/10.1515/9780748695300")</f>
        <v>https://doi.org/10.1515/9780748695300</v>
      </c>
      <c r="AH109" t="str">
        <f>HYPERLINK("http://www.degruyter.com/isbn/9780748695300")</f>
        <v>http://www.degruyter.com/isbn/9780748695300</v>
      </c>
      <c r="AI109" t="s">
        <v>34</v>
      </c>
      <c r="AL109" t="s">
        <v>47</v>
      </c>
      <c r="AM109">
        <v>1</v>
      </c>
      <c r="AN109" s="2">
        <v>9780748695294</v>
      </c>
    </row>
    <row r="110" spans="1:40" x14ac:dyDescent="0.3">
      <c r="A110" t="s">
        <v>662</v>
      </c>
      <c r="B110" t="s">
        <v>1</v>
      </c>
      <c r="C110" t="s">
        <v>663</v>
      </c>
      <c r="D110" t="s">
        <v>664</v>
      </c>
      <c r="E110" t="s">
        <v>665</v>
      </c>
      <c r="F110" t="s">
        <v>5</v>
      </c>
      <c r="G110" t="s">
        <v>6</v>
      </c>
      <c r="L110" t="s">
        <v>7</v>
      </c>
      <c r="M110">
        <v>2017</v>
      </c>
      <c r="N110" s="1">
        <v>43027</v>
      </c>
      <c r="O110" t="s">
        <v>666</v>
      </c>
      <c r="P110">
        <v>1</v>
      </c>
      <c r="S110">
        <v>217.95</v>
      </c>
      <c r="T110">
        <v>250</v>
      </c>
      <c r="U110">
        <v>190</v>
      </c>
      <c r="V110" t="s">
        <v>42</v>
      </c>
      <c r="W110" t="s">
        <v>116</v>
      </c>
      <c r="X110" t="s">
        <v>116</v>
      </c>
      <c r="Y110" t="s">
        <v>117</v>
      </c>
      <c r="AF110" t="s">
        <v>13</v>
      </c>
      <c r="AG110" t="str">
        <f>HYPERLINK("https://doi.org/10.1515/9780748686193?locatt=mode:legacy")</f>
        <v>https://doi.org/10.1515/9780748686193?locatt=mode:legacy</v>
      </c>
      <c r="AH110" t="str">
        <f>HYPERLINK("http://www.degruyter.com/isbn/9780748686193")</f>
        <v>http://www.degruyter.com/isbn/9780748686193</v>
      </c>
      <c r="AI110" t="s">
        <v>222</v>
      </c>
      <c r="AL110" t="s">
        <v>47</v>
      </c>
      <c r="AM110">
        <v>1</v>
      </c>
      <c r="AN110" s="2">
        <v>9780748686186</v>
      </c>
    </row>
    <row r="111" spans="1:40" x14ac:dyDescent="0.3">
      <c r="A111" t="s">
        <v>667</v>
      </c>
      <c r="B111" t="s">
        <v>1</v>
      </c>
      <c r="C111" t="s">
        <v>668</v>
      </c>
      <c r="D111" t="s">
        <v>669</v>
      </c>
      <c r="E111" t="s">
        <v>670</v>
      </c>
      <c r="F111" t="s">
        <v>5</v>
      </c>
      <c r="G111" t="s">
        <v>6</v>
      </c>
      <c r="L111" t="s">
        <v>7</v>
      </c>
      <c r="M111">
        <v>2014</v>
      </c>
      <c r="N111" s="1">
        <v>41743</v>
      </c>
      <c r="O111" t="s">
        <v>671</v>
      </c>
      <c r="P111">
        <v>1</v>
      </c>
      <c r="S111">
        <v>217.95</v>
      </c>
      <c r="T111">
        <v>250</v>
      </c>
      <c r="U111">
        <v>190</v>
      </c>
      <c r="V111" t="s">
        <v>20</v>
      </c>
      <c r="W111" t="s">
        <v>21</v>
      </c>
      <c r="X111" t="s">
        <v>22</v>
      </c>
      <c r="Y111" t="s">
        <v>489</v>
      </c>
      <c r="AF111" t="s">
        <v>13</v>
      </c>
      <c r="AG111" t="str">
        <f>HYPERLINK("https://doi.org/10.1515/9780748680283")</f>
        <v>https://doi.org/10.1515/9780748680283</v>
      </c>
      <c r="AH111" t="str">
        <f>HYPERLINK("http://www.degruyter.com/isbn/9780748680283")</f>
        <v>http://www.degruyter.com/isbn/9780748680283</v>
      </c>
      <c r="AI111" t="s">
        <v>34</v>
      </c>
      <c r="AL111" t="s">
        <v>15</v>
      </c>
      <c r="AM111">
        <v>1</v>
      </c>
      <c r="AN111" s="2">
        <v>9780748680276</v>
      </c>
    </row>
    <row r="112" spans="1:40" x14ac:dyDescent="0.3">
      <c r="A112" t="s">
        <v>672</v>
      </c>
      <c r="B112" t="s">
        <v>1</v>
      </c>
      <c r="C112" t="s">
        <v>673</v>
      </c>
      <c r="D112" t="s">
        <v>674</v>
      </c>
      <c r="E112" t="s">
        <v>675</v>
      </c>
      <c r="F112" t="s">
        <v>5</v>
      </c>
      <c r="G112" t="s">
        <v>6</v>
      </c>
      <c r="L112" t="s">
        <v>7</v>
      </c>
      <c r="M112">
        <v>1999</v>
      </c>
      <c r="N112" s="1">
        <v>44719</v>
      </c>
      <c r="O112" t="s">
        <v>676</v>
      </c>
      <c r="P112">
        <v>1</v>
      </c>
      <c r="S112">
        <v>217.95</v>
      </c>
      <c r="T112">
        <v>250</v>
      </c>
      <c r="U112">
        <v>190</v>
      </c>
      <c r="V112" t="s">
        <v>495</v>
      </c>
      <c r="W112" t="s">
        <v>496</v>
      </c>
      <c r="X112" t="s">
        <v>496</v>
      </c>
      <c r="Y112" t="s">
        <v>497</v>
      </c>
      <c r="AF112" t="s">
        <v>13</v>
      </c>
      <c r="AG112" t="str">
        <f>HYPERLINK("https://doi.org/10.1515/9781474467797")</f>
        <v>https://doi.org/10.1515/9781474467797</v>
      </c>
      <c r="AH112" t="str">
        <f>HYPERLINK("http://www.degruyter.com/isbn/9781474467797")</f>
        <v>http://www.degruyter.com/isbn/9781474467797</v>
      </c>
      <c r="AI112" t="s">
        <v>24</v>
      </c>
      <c r="AL112" t="s">
        <v>498</v>
      </c>
      <c r="AM112">
        <v>1</v>
      </c>
      <c r="AN112" s="2">
        <v>9780748612437</v>
      </c>
    </row>
    <row r="113" spans="1:40" x14ac:dyDescent="0.3">
      <c r="A113" t="s">
        <v>677</v>
      </c>
      <c r="B113" t="s">
        <v>1</v>
      </c>
      <c r="C113" t="s">
        <v>678</v>
      </c>
      <c r="E113" t="s">
        <v>679</v>
      </c>
      <c r="F113" t="s">
        <v>5</v>
      </c>
      <c r="G113" t="s">
        <v>6</v>
      </c>
      <c r="L113" t="s">
        <v>7</v>
      </c>
      <c r="M113">
        <v>2012</v>
      </c>
      <c r="N113" s="1">
        <v>41045</v>
      </c>
      <c r="O113" t="s">
        <v>680</v>
      </c>
      <c r="P113">
        <v>1</v>
      </c>
      <c r="S113">
        <v>217.95</v>
      </c>
      <c r="T113">
        <v>250</v>
      </c>
      <c r="U113">
        <v>190</v>
      </c>
      <c r="V113" t="s">
        <v>42</v>
      </c>
      <c r="W113" t="s">
        <v>43</v>
      </c>
      <c r="X113" t="s">
        <v>44</v>
      </c>
      <c r="Y113" t="s">
        <v>45</v>
      </c>
      <c r="AF113" t="s">
        <v>13</v>
      </c>
      <c r="AG113" t="str">
        <f>HYPERLINK("https://doi.org/10.1515/9780748649006")</f>
        <v>https://doi.org/10.1515/9780748649006</v>
      </c>
      <c r="AH113" t="str">
        <f>HYPERLINK("http://www.degruyter.com/isbn/9780748649006")</f>
        <v>http://www.degruyter.com/isbn/9780748649006</v>
      </c>
      <c r="AI113" t="s">
        <v>68</v>
      </c>
      <c r="AL113" t="s">
        <v>47</v>
      </c>
      <c r="AM113">
        <v>1</v>
      </c>
      <c r="AN113" s="2">
        <v>9780748648993</v>
      </c>
    </row>
    <row r="114" spans="1:40" x14ac:dyDescent="0.3">
      <c r="A114" t="s">
        <v>681</v>
      </c>
      <c r="B114" t="s">
        <v>1</v>
      </c>
      <c r="C114" t="s">
        <v>682</v>
      </c>
      <c r="E114" t="s">
        <v>683</v>
      </c>
      <c r="F114" t="s">
        <v>5</v>
      </c>
      <c r="G114" t="s">
        <v>6</v>
      </c>
      <c r="L114" t="s">
        <v>7</v>
      </c>
      <c r="M114">
        <v>2014</v>
      </c>
      <c r="N114" s="1">
        <v>41892</v>
      </c>
      <c r="O114" t="s">
        <v>684</v>
      </c>
      <c r="P114">
        <v>1</v>
      </c>
      <c r="S114">
        <v>243.95</v>
      </c>
      <c r="T114">
        <v>280</v>
      </c>
      <c r="U114">
        <v>210</v>
      </c>
      <c r="V114" t="s">
        <v>42</v>
      </c>
      <c r="W114" t="s">
        <v>107</v>
      </c>
      <c r="X114" t="s">
        <v>108</v>
      </c>
      <c r="Y114" t="s">
        <v>109</v>
      </c>
      <c r="AF114" t="s">
        <v>13</v>
      </c>
      <c r="AG114" t="str">
        <f>HYPERLINK("https://doi.org/10.1515/9780748694952")</f>
        <v>https://doi.org/10.1515/9780748694952</v>
      </c>
      <c r="AH114" t="str">
        <f>HYPERLINK("http://www.degruyter.com/isbn/9780748694952")</f>
        <v>http://www.degruyter.com/isbn/9780748694952</v>
      </c>
      <c r="AI114" t="s">
        <v>34</v>
      </c>
      <c r="AL114" t="s">
        <v>47</v>
      </c>
      <c r="AM114">
        <v>1</v>
      </c>
      <c r="AN114" s="2">
        <v>9780748694945</v>
      </c>
    </row>
    <row r="115" spans="1:40" x14ac:dyDescent="0.3">
      <c r="A115" t="s">
        <v>685</v>
      </c>
      <c r="B115" t="s">
        <v>1</v>
      </c>
      <c r="C115" t="s">
        <v>686</v>
      </c>
      <c r="D115" t="s">
        <v>687</v>
      </c>
      <c r="E115" t="s">
        <v>688</v>
      </c>
      <c r="F115" t="s">
        <v>5</v>
      </c>
      <c r="G115" t="s">
        <v>6</v>
      </c>
      <c r="L115" t="s">
        <v>7</v>
      </c>
      <c r="M115">
        <v>1998</v>
      </c>
      <c r="N115" s="1">
        <v>44599</v>
      </c>
      <c r="O115" t="s">
        <v>689</v>
      </c>
      <c r="P115">
        <v>1</v>
      </c>
      <c r="S115">
        <v>305.95</v>
      </c>
      <c r="T115">
        <v>350</v>
      </c>
      <c r="U115">
        <v>270</v>
      </c>
      <c r="V115" t="s">
        <v>79</v>
      </c>
      <c r="W115" t="s">
        <v>227</v>
      </c>
      <c r="X115" t="s">
        <v>234</v>
      </c>
      <c r="Y115" t="s">
        <v>355</v>
      </c>
      <c r="AF115" t="s">
        <v>13</v>
      </c>
      <c r="AG115" t="str">
        <f>HYPERLINK("https://doi.org/10.1515/9781474473248")</f>
        <v>https://doi.org/10.1515/9781474473248</v>
      </c>
      <c r="AH115" t="str">
        <f>HYPERLINK("http://www.degruyter.com/isbn/9781474473248")</f>
        <v>http://www.degruyter.com/isbn/9781474473248</v>
      </c>
      <c r="AI115" t="s">
        <v>24</v>
      </c>
      <c r="AL115" t="s">
        <v>83</v>
      </c>
      <c r="AM115">
        <v>1</v>
      </c>
      <c r="AN115" s="2">
        <v>9780748611072</v>
      </c>
    </row>
    <row r="116" spans="1:40" x14ac:dyDescent="0.3">
      <c r="A116" t="s">
        <v>690</v>
      </c>
      <c r="B116" t="s">
        <v>1</v>
      </c>
      <c r="C116" t="s">
        <v>691</v>
      </c>
      <c r="D116" t="s">
        <v>692</v>
      </c>
      <c r="E116" t="s">
        <v>693</v>
      </c>
      <c r="F116" t="s">
        <v>5</v>
      </c>
      <c r="G116" t="s">
        <v>6</v>
      </c>
      <c r="L116" t="s">
        <v>7</v>
      </c>
      <c r="M116">
        <v>2020</v>
      </c>
      <c r="N116" s="1">
        <v>44644</v>
      </c>
      <c r="O116" t="s">
        <v>694</v>
      </c>
      <c r="P116">
        <v>1</v>
      </c>
      <c r="S116">
        <v>217.95</v>
      </c>
      <c r="T116">
        <v>250</v>
      </c>
      <c r="U116">
        <v>190</v>
      </c>
      <c r="V116" t="s">
        <v>79</v>
      </c>
      <c r="W116" t="s">
        <v>123</v>
      </c>
      <c r="X116" t="s">
        <v>123</v>
      </c>
      <c r="Y116" t="s">
        <v>124</v>
      </c>
      <c r="AF116" t="s">
        <v>13</v>
      </c>
      <c r="AG116" t="str">
        <f>HYPERLINK("https://doi.org/10.1515/9781474475303?locatt=mode:legacy")</f>
        <v>https://doi.org/10.1515/9781474475303?locatt=mode:legacy</v>
      </c>
      <c r="AH116" t="str">
        <f>HYPERLINK("http://www.degruyter.com/isbn/9781474475303")</f>
        <v>http://www.degruyter.com/isbn/9781474475303</v>
      </c>
      <c r="AI116" t="s">
        <v>14</v>
      </c>
      <c r="AL116" t="s">
        <v>83</v>
      </c>
      <c r="AM116">
        <v>1</v>
      </c>
      <c r="AN116" s="2">
        <v>9781474475280</v>
      </c>
    </row>
    <row r="117" spans="1:40" x14ac:dyDescent="0.3">
      <c r="A117" t="s">
        <v>695</v>
      </c>
      <c r="B117" t="s">
        <v>1</v>
      </c>
      <c r="C117" t="s">
        <v>696</v>
      </c>
      <c r="E117" t="s">
        <v>697</v>
      </c>
      <c r="F117" t="s">
        <v>5</v>
      </c>
      <c r="G117" t="s">
        <v>6</v>
      </c>
      <c r="L117" t="s">
        <v>7</v>
      </c>
      <c r="M117">
        <v>2016</v>
      </c>
      <c r="N117" s="1">
        <v>42633</v>
      </c>
      <c r="O117" t="s">
        <v>698</v>
      </c>
      <c r="P117">
        <v>1</v>
      </c>
      <c r="S117">
        <v>243.95</v>
      </c>
      <c r="T117">
        <v>280</v>
      </c>
      <c r="U117">
        <v>210</v>
      </c>
      <c r="V117" t="s">
        <v>79</v>
      </c>
      <c r="W117" t="s">
        <v>209</v>
      </c>
      <c r="X117" t="s">
        <v>209</v>
      </c>
      <c r="Y117" t="s">
        <v>699</v>
      </c>
      <c r="AF117" t="s">
        <v>13</v>
      </c>
      <c r="AG117" t="str">
        <f>HYPERLINK("https://doi.org/10.1515/9780748697700")</f>
        <v>https://doi.org/10.1515/9780748697700</v>
      </c>
      <c r="AH117" t="str">
        <f>HYPERLINK("http://www.degruyter.com/isbn/9780748697700")</f>
        <v>http://www.degruyter.com/isbn/9780748697700</v>
      </c>
      <c r="AI117" t="s">
        <v>180</v>
      </c>
      <c r="AL117" t="s">
        <v>83</v>
      </c>
      <c r="AM117">
        <v>1</v>
      </c>
      <c r="AN117" s="2">
        <v>9780748697694</v>
      </c>
    </row>
    <row r="118" spans="1:40" x14ac:dyDescent="0.3">
      <c r="A118" t="s">
        <v>700</v>
      </c>
      <c r="B118" t="s">
        <v>1</v>
      </c>
      <c r="C118" t="s">
        <v>701</v>
      </c>
      <c r="D118" t="s">
        <v>702</v>
      </c>
      <c r="E118" t="s">
        <v>703</v>
      </c>
      <c r="F118" t="s">
        <v>5</v>
      </c>
      <c r="G118" t="s">
        <v>6</v>
      </c>
      <c r="L118" t="s">
        <v>7</v>
      </c>
      <c r="M118">
        <v>2013</v>
      </c>
      <c r="N118" s="1">
        <v>41449</v>
      </c>
      <c r="O118" t="s">
        <v>704</v>
      </c>
      <c r="P118">
        <v>1</v>
      </c>
      <c r="S118">
        <v>321.95</v>
      </c>
      <c r="T118">
        <v>370</v>
      </c>
      <c r="U118">
        <v>280</v>
      </c>
      <c r="V118" t="s">
        <v>268</v>
      </c>
      <c r="W118" t="s">
        <v>705</v>
      </c>
      <c r="X118" t="s">
        <v>706</v>
      </c>
      <c r="Y118" t="s">
        <v>707</v>
      </c>
      <c r="AF118" t="s">
        <v>13</v>
      </c>
      <c r="AG118" t="str">
        <f>HYPERLINK("https://doi.org/10.1515/9780748684182")</f>
        <v>https://doi.org/10.1515/9780748684182</v>
      </c>
      <c r="AH118" t="str">
        <f>HYPERLINK("http://www.degruyter.com/isbn/9780748684182")</f>
        <v>http://www.degruyter.com/isbn/9780748684182</v>
      </c>
      <c r="AI118" t="s">
        <v>412</v>
      </c>
      <c r="AL118" t="s">
        <v>272</v>
      </c>
      <c r="AM118">
        <v>1</v>
      </c>
      <c r="AN118" s="2">
        <v>9780748684175</v>
      </c>
    </row>
    <row r="119" spans="1:40" x14ac:dyDescent="0.3">
      <c r="A119" t="s">
        <v>708</v>
      </c>
      <c r="B119" t="s">
        <v>1</v>
      </c>
      <c r="C119" t="s">
        <v>709</v>
      </c>
      <c r="D119" t="s">
        <v>710</v>
      </c>
      <c r="E119" t="s">
        <v>711</v>
      </c>
      <c r="F119" t="s">
        <v>5</v>
      </c>
      <c r="G119" t="s">
        <v>6</v>
      </c>
      <c r="L119" t="s">
        <v>7</v>
      </c>
      <c r="M119">
        <v>2008</v>
      </c>
      <c r="N119" s="1">
        <v>39751</v>
      </c>
      <c r="O119" t="s">
        <v>712</v>
      </c>
      <c r="P119">
        <v>1</v>
      </c>
      <c r="S119">
        <v>217.95</v>
      </c>
      <c r="T119">
        <v>250</v>
      </c>
      <c r="U119">
        <v>190</v>
      </c>
      <c r="V119" t="s">
        <v>20</v>
      </c>
      <c r="W119" t="s">
        <v>21</v>
      </c>
      <c r="X119" t="s">
        <v>22</v>
      </c>
      <c r="Y119" t="s">
        <v>23</v>
      </c>
      <c r="AF119" t="s">
        <v>13</v>
      </c>
      <c r="AG119" t="str">
        <f>HYPERLINK("https://doi.org/10.1515/9780748634279")</f>
        <v>https://doi.org/10.1515/9780748634279</v>
      </c>
      <c r="AH119" t="str">
        <f>HYPERLINK("http://www.degruyter.com/isbn/9780748634279")</f>
        <v>http://www.degruyter.com/isbn/9780748634279</v>
      </c>
      <c r="AI119" t="s">
        <v>68</v>
      </c>
      <c r="AL119" t="s">
        <v>15</v>
      </c>
      <c r="AM119">
        <v>1</v>
      </c>
      <c r="AN119" s="2">
        <v>9780748634262</v>
      </c>
    </row>
    <row r="120" spans="1:40" x14ac:dyDescent="0.3">
      <c r="A120" t="s">
        <v>713</v>
      </c>
      <c r="B120" t="s">
        <v>1</v>
      </c>
      <c r="C120" t="s">
        <v>714</v>
      </c>
      <c r="E120" t="s">
        <v>715</v>
      </c>
      <c r="F120" t="s">
        <v>5</v>
      </c>
      <c r="G120" t="s">
        <v>6</v>
      </c>
      <c r="L120" t="s">
        <v>7</v>
      </c>
      <c r="M120">
        <v>2015</v>
      </c>
      <c r="N120" s="1">
        <v>42073</v>
      </c>
      <c r="O120" t="s">
        <v>716</v>
      </c>
      <c r="P120">
        <v>1</v>
      </c>
      <c r="S120">
        <v>253.95</v>
      </c>
      <c r="T120">
        <v>290</v>
      </c>
      <c r="U120">
        <v>220</v>
      </c>
      <c r="V120" t="s">
        <v>89</v>
      </c>
      <c r="W120" t="s">
        <v>90</v>
      </c>
      <c r="X120" t="s">
        <v>91</v>
      </c>
      <c r="Y120" t="s">
        <v>717</v>
      </c>
      <c r="AF120" t="s">
        <v>13</v>
      </c>
      <c r="AG120" t="str">
        <f>HYPERLINK("https://doi.org/10.1515/9781474401791")</f>
        <v>https://doi.org/10.1515/9781474401791</v>
      </c>
      <c r="AH120" t="str">
        <f>HYPERLINK("http://www.degruyter.com/isbn/9781474401791")</f>
        <v>http://www.degruyter.com/isbn/9781474401791</v>
      </c>
      <c r="AI120" t="s">
        <v>34</v>
      </c>
      <c r="AJ120" t="s">
        <v>35</v>
      </c>
      <c r="AL120" t="s">
        <v>718</v>
      </c>
      <c r="AM120">
        <v>1</v>
      </c>
      <c r="AN120" s="2">
        <v>9781474401777</v>
      </c>
    </row>
    <row r="121" spans="1:40" x14ac:dyDescent="0.3">
      <c r="A121" t="s">
        <v>719</v>
      </c>
      <c r="B121" t="s">
        <v>1</v>
      </c>
      <c r="C121" t="s">
        <v>720</v>
      </c>
      <c r="D121" t="s">
        <v>721</v>
      </c>
      <c r="E121" t="s">
        <v>722</v>
      </c>
      <c r="F121" t="s">
        <v>5</v>
      </c>
      <c r="G121" t="s">
        <v>6</v>
      </c>
      <c r="L121" t="s">
        <v>7</v>
      </c>
      <c r="M121">
        <v>2015</v>
      </c>
      <c r="N121" s="1">
        <v>42321</v>
      </c>
      <c r="O121" t="s">
        <v>723</v>
      </c>
      <c r="P121">
        <v>1</v>
      </c>
      <c r="S121">
        <v>253.95</v>
      </c>
      <c r="T121">
        <v>290</v>
      </c>
      <c r="U121">
        <v>220</v>
      </c>
      <c r="V121" t="s">
        <v>79</v>
      </c>
      <c r="W121" t="s">
        <v>386</v>
      </c>
      <c r="X121" t="s">
        <v>386</v>
      </c>
      <c r="Y121" t="s">
        <v>724</v>
      </c>
      <c r="AF121" t="s">
        <v>13</v>
      </c>
      <c r="AG121" t="str">
        <f>HYPERLINK("https://doi.org/10.1515/9781474404181")</f>
        <v>https://doi.org/10.1515/9781474404181</v>
      </c>
      <c r="AH121" t="str">
        <f>HYPERLINK("http://www.degruyter.com/isbn/9781474404181")</f>
        <v>http://www.degruyter.com/isbn/9781474404181</v>
      </c>
      <c r="AI121" t="s">
        <v>34</v>
      </c>
      <c r="AL121" t="s">
        <v>83</v>
      </c>
      <c r="AM121">
        <v>1</v>
      </c>
      <c r="AN121" s="2">
        <v>9781474404174</v>
      </c>
    </row>
    <row r="122" spans="1:40" x14ac:dyDescent="0.3">
      <c r="A122" t="s">
        <v>725</v>
      </c>
      <c r="B122" t="s">
        <v>1</v>
      </c>
      <c r="C122" t="s">
        <v>726</v>
      </c>
      <c r="E122" t="s">
        <v>727</v>
      </c>
      <c r="F122" t="s">
        <v>5</v>
      </c>
      <c r="G122" t="s">
        <v>6</v>
      </c>
      <c r="L122" t="s">
        <v>7</v>
      </c>
      <c r="M122">
        <v>2008</v>
      </c>
      <c r="N122" s="1">
        <v>39619</v>
      </c>
      <c r="O122" t="s">
        <v>728</v>
      </c>
      <c r="P122">
        <v>1</v>
      </c>
      <c r="S122">
        <v>217.95</v>
      </c>
      <c r="T122">
        <v>250</v>
      </c>
      <c r="U122">
        <v>190</v>
      </c>
      <c r="V122" t="s">
        <v>42</v>
      </c>
      <c r="W122" t="s">
        <v>116</v>
      </c>
      <c r="X122" t="s">
        <v>116</v>
      </c>
      <c r="Y122" t="s">
        <v>117</v>
      </c>
      <c r="AF122" t="s">
        <v>13</v>
      </c>
      <c r="AG122" t="str">
        <f>HYPERLINK("https://doi.org/10.1515/9780748636747?locatt=mode:legacy")</f>
        <v>https://doi.org/10.1515/9780748636747?locatt=mode:legacy</v>
      </c>
      <c r="AH122" t="str">
        <f>HYPERLINK("http://www.degruyter.com/isbn/9780748636747")</f>
        <v>http://www.degruyter.com/isbn/9780748636747</v>
      </c>
      <c r="AI122" t="s">
        <v>68</v>
      </c>
      <c r="AL122" t="s">
        <v>47</v>
      </c>
      <c r="AM122">
        <v>1</v>
      </c>
      <c r="AN122" s="2">
        <v>9780748636730</v>
      </c>
    </row>
    <row r="123" spans="1:40" x14ac:dyDescent="0.3">
      <c r="A123" t="s">
        <v>729</v>
      </c>
      <c r="B123" t="s">
        <v>1</v>
      </c>
      <c r="C123" t="s">
        <v>730</v>
      </c>
      <c r="D123" t="s">
        <v>731</v>
      </c>
      <c r="E123" t="s">
        <v>732</v>
      </c>
      <c r="F123" t="s">
        <v>5</v>
      </c>
      <c r="G123" t="s">
        <v>6</v>
      </c>
      <c r="L123" t="s">
        <v>7</v>
      </c>
      <c r="M123">
        <v>2017</v>
      </c>
      <c r="N123" s="1">
        <v>42814</v>
      </c>
      <c r="O123" t="s">
        <v>733</v>
      </c>
      <c r="P123">
        <v>1</v>
      </c>
      <c r="S123">
        <v>217.95</v>
      </c>
      <c r="T123">
        <v>250</v>
      </c>
      <c r="U123">
        <v>190</v>
      </c>
      <c r="V123" t="s">
        <v>79</v>
      </c>
      <c r="W123" t="s">
        <v>734</v>
      </c>
      <c r="X123" t="s">
        <v>734</v>
      </c>
      <c r="Y123" t="s">
        <v>735</v>
      </c>
      <c r="AF123" t="s">
        <v>13</v>
      </c>
      <c r="AG123" t="str">
        <f>HYPERLINK("https://doi.org/10.1515/9781474404150")</f>
        <v>https://doi.org/10.1515/9781474404150</v>
      </c>
      <c r="AH123" t="str">
        <f>HYPERLINK("http://www.degruyter.com/isbn/9781474404150")</f>
        <v>http://www.degruyter.com/isbn/9781474404150</v>
      </c>
      <c r="AI123" t="s">
        <v>222</v>
      </c>
      <c r="AL123" t="s">
        <v>83</v>
      </c>
      <c r="AM123">
        <v>1</v>
      </c>
      <c r="AN123" s="2">
        <v>9781474404143</v>
      </c>
    </row>
    <row r="124" spans="1:40" x14ac:dyDescent="0.3">
      <c r="A124" t="s">
        <v>736</v>
      </c>
      <c r="B124" t="s">
        <v>1</v>
      </c>
      <c r="C124" t="s">
        <v>737</v>
      </c>
      <c r="E124" t="s">
        <v>738</v>
      </c>
      <c r="F124" t="s">
        <v>5</v>
      </c>
      <c r="G124" t="s">
        <v>6</v>
      </c>
      <c r="L124" t="s">
        <v>7</v>
      </c>
      <c r="M124">
        <v>1994</v>
      </c>
      <c r="N124" s="1">
        <v>44719</v>
      </c>
      <c r="O124" t="s">
        <v>739</v>
      </c>
      <c r="P124">
        <v>1</v>
      </c>
      <c r="S124">
        <v>217.95</v>
      </c>
      <c r="T124">
        <v>250</v>
      </c>
      <c r="U124">
        <v>190</v>
      </c>
      <c r="V124" t="s">
        <v>42</v>
      </c>
      <c r="W124" t="s">
        <v>740</v>
      </c>
      <c r="X124" t="s">
        <v>741</v>
      </c>
      <c r="Y124" t="s">
        <v>742</v>
      </c>
      <c r="AF124" t="s">
        <v>13</v>
      </c>
      <c r="AG124" t="str">
        <f>HYPERLINK("https://doi.org/10.1515/9781474465946")</f>
        <v>https://doi.org/10.1515/9781474465946</v>
      </c>
      <c r="AH124" t="str">
        <f>HYPERLINK("http://www.degruyter.com/isbn/9781474465946")</f>
        <v>http://www.degruyter.com/isbn/9781474465946</v>
      </c>
      <c r="AI124" t="s">
        <v>24</v>
      </c>
      <c r="AL124" t="s">
        <v>47</v>
      </c>
      <c r="AM124">
        <v>1</v>
      </c>
      <c r="AN124" s="2">
        <v>9780748604470</v>
      </c>
    </row>
    <row r="125" spans="1:40" x14ac:dyDescent="0.3">
      <c r="A125" t="s">
        <v>743</v>
      </c>
      <c r="B125" t="s">
        <v>1</v>
      </c>
      <c r="C125" t="s">
        <v>744</v>
      </c>
      <c r="E125" t="s">
        <v>745</v>
      </c>
      <c r="F125" t="s">
        <v>5</v>
      </c>
      <c r="G125" t="s">
        <v>6</v>
      </c>
      <c r="L125" t="s">
        <v>7</v>
      </c>
      <c r="M125">
        <v>2019</v>
      </c>
      <c r="N125" s="1">
        <v>44656</v>
      </c>
      <c r="O125" t="s">
        <v>746</v>
      </c>
      <c r="P125">
        <v>1</v>
      </c>
      <c r="S125">
        <v>227.95</v>
      </c>
      <c r="T125">
        <v>260</v>
      </c>
      <c r="U125">
        <v>200</v>
      </c>
      <c r="V125" t="s">
        <v>42</v>
      </c>
      <c r="W125" t="s">
        <v>107</v>
      </c>
      <c r="X125" t="s">
        <v>108</v>
      </c>
      <c r="Y125" t="s">
        <v>221</v>
      </c>
      <c r="AF125" t="s">
        <v>13</v>
      </c>
      <c r="AG125" t="str">
        <f>HYPERLINK("https://doi.org/10.1515/9781474440400?locatt=mode:legacy")</f>
        <v>https://doi.org/10.1515/9781474440400?locatt=mode:legacy</v>
      </c>
      <c r="AH125" t="str">
        <f>HYPERLINK("http://www.degruyter.com/isbn/9781474440400")</f>
        <v>http://www.degruyter.com/isbn/9781474440400</v>
      </c>
      <c r="AI125" t="s">
        <v>280</v>
      </c>
      <c r="AL125" t="s">
        <v>47</v>
      </c>
      <c r="AM125">
        <v>1</v>
      </c>
      <c r="AN125" s="2">
        <v>9781474440387</v>
      </c>
    </row>
    <row r="126" spans="1:40" x14ac:dyDescent="0.3">
      <c r="A126" t="s">
        <v>747</v>
      </c>
      <c r="B126" t="s">
        <v>1</v>
      </c>
      <c r="C126" t="s">
        <v>748</v>
      </c>
      <c r="E126" t="s">
        <v>749</v>
      </c>
      <c r="F126" t="s">
        <v>5</v>
      </c>
      <c r="G126" t="s">
        <v>6</v>
      </c>
      <c r="L126" t="s">
        <v>7</v>
      </c>
      <c r="M126">
        <v>2020</v>
      </c>
      <c r="N126" s="1">
        <v>44644</v>
      </c>
      <c r="O126" t="s">
        <v>750</v>
      </c>
      <c r="P126">
        <v>1</v>
      </c>
      <c r="S126">
        <v>227.95</v>
      </c>
      <c r="T126">
        <v>260</v>
      </c>
      <c r="U126">
        <v>200</v>
      </c>
      <c r="V126" t="s">
        <v>42</v>
      </c>
      <c r="W126" t="s">
        <v>290</v>
      </c>
      <c r="X126" t="s">
        <v>290</v>
      </c>
      <c r="Y126" t="s">
        <v>515</v>
      </c>
      <c r="AF126" t="s">
        <v>13</v>
      </c>
      <c r="AG126" t="str">
        <f>HYPERLINK("https://doi.org/10.1515/9781474441896?locatt=mode:legacy")</f>
        <v>https://doi.org/10.1515/9781474441896?locatt=mode:legacy</v>
      </c>
      <c r="AH126" t="str">
        <f>HYPERLINK("http://www.degruyter.com/isbn/9781474441896")</f>
        <v>http://www.degruyter.com/isbn/9781474441896</v>
      </c>
      <c r="AI126" t="s">
        <v>14</v>
      </c>
      <c r="AL126" t="s">
        <v>47</v>
      </c>
      <c r="AM126">
        <v>1</v>
      </c>
      <c r="AN126" s="2">
        <v>9781474441872</v>
      </c>
    </row>
    <row r="127" spans="1:40" x14ac:dyDescent="0.3">
      <c r="A127" t="s">
        <v>751</v>
      </c>
      <c r="B127" t="s">
        <v>1</v>
      </c>
      <c r="C127" t="s">
        <v>752</v>
      </c>
      <c r="D127" t="s">
        <v>753</v>
      </c>
      <c r="E127" t="s">
        <v>754</v>
      </c>
      <c r="F127" t="s">
        <v>5</v>
      </c>
      <c r="G127" t="s">
        <v>6</v>
      </c>
      <c r="L127" t="s">
        <v>7</v>
      </c>
      <c r="M127">
        <v>2017</v>
      </c>
      <c r="N127" s="1">
        <v>43067</v>
      </c>
      <c r="O127" t="s">
        <v>755</v>
      </c>
      <c r="P127">
        <v>1</v>
      </c>
      <c r="S127">
        <v>227.95</v>
      </c>
      <c r="T127">
        <v>260</v>
      </c>
      <c r="U127">
        <v>200</v>
      </c>
      <c r="V127" t="s">
        <v>9</v>
      </c>
      <c r="W127" t="s">
        <v>10</v>
      </c>
      <c r="X127" t="s">
        <v>11</v>
      </c>
      <c r="Y127" t="s">
        <v>52</v>
      </c>
      <c r="AF127" t="s">
        <v>13</v>
      </c>
      <c r="AG127" t="str">
        <f>HYPERLINK("https://doi.org/10.1515/9781474414968")</f>
        <v>https://doi.org/10.1515/9781474414968</v>
      </c>
      <c r="AH127" t="str">
        <f>HYPERLINK("http://www.degruyter.com/isbn/9781474414968")</f>
        <v>http://www.degruyter.com/isbn/9781474414968</v>
      </c>
      <c r="AI127" t="s">
        <v>756</v>
      </c>
      <c r="AL127" t="s">
        <v>15</v>
      </c>
      <c r="AM127">
        <v>1</v>
      </c>
      <c r="AN127" s="2">
        <v>9781474414951</v>
      </c>
    </row>
    <row r="128" spans="1:40" x14ac:dyDescent="0.3">
      <c r="A128" t="s">
        <v>757</v>
      </c>
      <c r="B128" t="s">
        <v>1</v>
      </c>
      <c r="C128" t="s">
        <v>758</v>
      </c>
      <c r="D128" t="s">
        <v>759</v>
      </c>
      <c r="E128" t="s">
        <v>760</v>
      </c>
      <c r="F128" t="s">
        <v>5</v>
      </c>
      <c r="G128" t="s">
        <v>6</v>
      </c>
      <c r="L128" t="s">
        <v>7</v>
      </c>
      <c r="M128">
        <v>2008</v>
      </c>
      <c r="N128" s="1">
        <v>39798</v>
      </c>
      <c r="O128" t="s">
        <v>761</v>
      </c>
      <c r="P128">
        <v>1</v>
      </c>
      <c r="S128">
        <v>253.95</v>
      </c>
      <c r="T128">
        <v>290</v>
      </c>
      <c r="U128">
        <v>220</v>
      </c>
      <c r="V128" t="s">
        <v>79</v>
      </c>
      <c r="W128" t="s">
        <v>762</v>
      </c>
      <c r="X128" t="s">
        <v>762</v>
      </c>
      <c r="Y128" t="s">
        <v>763</v>
      </c>
      <c r="AF128" t="s">
        <v>13</v>
      </c>
      <c r="AG128" t="str">
        <f>HYPERLINK("https://doi.org/10.1515/9780748634408?locatt=mode:legacy")</f>
        <v>https://doi.org/10.1515/9780748634408?locatt=mode:legacy</v>
      </c>
      <c r="AH128" t="str">
        <f>HYPERLINK("http://www.degruyter.com/isbn/9780748634408")</f>
        <v>http://www.degruyter.com/isbn/9780748634408</v>
      </c>
      <c r="AI128" t="s">
        <v>68</v>
      </c>
      <c r="AL128" t="s">
        <v>83</v>
      </c>
      <c r="AM128">
        <v>1</v>
      </c>
      <c r="AN128" s="2">
        <v>9780748634392</v>
      </c>
    </row>
    <row r="129" spans="1:40" x14ac:dyDescent="0.3">
      <c r="A129" t="s">
        <v>764</v>
      </c>
      <c r="B129" t="s">
        <v>1</v>
      </c>
      <c r="C129" t="s">
        <v>765</v>
      </c>
      <c r="E129" t="s">
        <v>766</v>
      </c>
      <c r="F129" t="s">
        <v>5</v>
      </c>
      <c r="G129" t="s">
        <v>6</v>
      </c>
      <c r="L129" t="s">
        <v>7</v>
      </c>
      <c r="M129">
        <v>2019</v>
      </c>
      <c r="N129" s="1">
        <v>44656</v>
      </c>
      <c r="O129" t="s">
        <v>767</v>
      </c>
      <c r="P129">
        <v>1</v>
      </c>
      <c r="S129">
        <v>243.95</v>
      </c>
      <c r="T129">
        <v>280</v>
      </c>
      <c r="U129">
        <v>210</v>
      </c>
      <c r="V129" t="s">
        <v>20</v>
      </c>
      <c r="W129" t="s">
        <v>21</v>
      </c>
      <c r="X129" t="s">
        <v>22</v>
      </c>
      <c r="Y129" t="s">
        <v>23</v>
      </c>
      <c r="AF129" t="s">
        <v>13</v>
      </c>
      <c r="AG129" t="str">
        <f>HYPERLINK("https://doi.org/10.1515/9781474452335")</f>
        <v>https://doi.org/10.1515/9781474452335</v>
      </c>
      <c r="AH129" t="str">
        <f>HYPERLINK("http://www.degruyter.com/isbn/9781474452335")</f>
        <v>http://www.degruyter.com/isbn/9781474452335</v>
      </c>
      <c r="AI129" t="s">
        <v>280</v>
      </c>
      <c r="AL129" t="s">
        <v>15</v>
      </c>
      <c r="AM129">
        <v>1</v>
      </c>
      <c r="AN129" s="2">
        <v>9781474452311</v>
      </c>
    </row>
    <row r="130" spans="1:40" x14ac:dyDescent="0.3">
      <c r="A130" t="s">
        <v>768</v>
      </c>
      <c r="B130" t="s">
        <v>1</v>
      </c>
      <c r="C130" t="s">
        <v>769</v>
      </c>
      <c r="E130" t="s">
        <v>770</v>
      </c>
      <c r="F130" t="s">
        <v>5</v>
      </c>
      <c r="G130" t="s">
        <v>6</v>
      </c>
      <c r="L130" t="s">
        <v>7</v>
      </c>
      <c r="M130">
        <v>2008</v>
      </c>
      <c r="N130" s="1">
        <v>39580</v>
      </c>
      <c r="O130" t="s">
        <v>771</v>
      </c>
      <c r="P130">
        <v>1</v>
      </c>
      <c r="S130">
        <v>253.95</v>
      </c>
      <c r="T130">
        <v>290</v>
      </c>
      <c r="U130">
        <v>220</v>
      </c>
      <c r="V130" t="s">
        <v>58</v>
      </c>
      <c r="W130" t="s">
        <v>59</v>
      </c>
      <c r="X130" t="s">
        <v>60</v>
      </c>
      <c r="Y130" t="s">
        <v>772</v>
      </c>
      <c r="AF130" t="s">
        <v>13</v>
      </c>
      <c r="AG130" t="str">
        <f>HYPERLINK("https://doi.org/10.1515/9780748632329?locatt=mode:legacy")</f>
        <v>https://doi.org/10.1515/9780748632329?locatt=mode:legacy</v>
      </c>
      <c r="AH130" t="str">
        <f>HYPERLINK("http://www.degruyter.com/isbn/9780748632329")</f>
        <v>http://www.degruyter.com/isbn/9780748632329</v>
      </c>
      <c r="AI130" t="s">
        <v>68</v>
      </c>
      <c r="AL130" t="s">
        <v>62</v>
      </c>
      <c r="AM130">
        <v>1</v>
      </c>
      <c r="AN130" s="2">
        <v>9780748633289</v>
      </c>
    </row>
    <row r="131" spans="1:40" x14ac:dyDescent="0.3">
      <c r="A131" t="s">
        <v>773</v>
      </c>
      <c r="B131" t="s">
        <v>1</v>
      </c>
      <c r="C131" t="s">
        <v>774</v>
      </c>
      <c r="D131" t="s">
        <v>775</v>
      </c>
      <c r="E131" t="s">
        <v>776</v>
      </c>
      <c r="F131" t="s">
        <v>5</v>
      </c>
      <c r="G131" t="s">
        <v>6</v>
      </c>
      <c r="L131" t="s">
        <v>7</v>
      </c>
      <c r="M131">
        <v>2007</v>
      </c>
      <c r="N131" s="1">
        <v>39156</v>
      </c>
      <c r="O131" t="s">
        <v>777</v>
      </c>
      <c r="P131">
        <v>1</v>
      </c>
      <c r="S131">
        <v>217.95</v>
      </c>
      <c r="T131">
        <v>250</v>
      </c>
      <c r="U131">
        <v>190</v>
      </c>
      <c r="V131" t="s">
        <v>20</v>
      </c>
      <c r="W131" t="s">
        <v>21</v>
      </c>
      <c r="X131" t="s">
        <v>22</v>
      </c>
      <c r="Y131" t="s">
        <v>23</v>
      </c>
      <c r="AF131" t="s">
        <v>13</v>
      </c>
      <c r="AG131" t="str">
        <f>HYPERLINK("https://doi.org/10.1515/9780748673476")</f>
        <v>https://doi.org/10.1515/9780748673476</v>
      </c>
      <c r="AH131" t="str">
        <f>HYPERLINK("http://www.degruyter.com/isbn/9780748673476")</f>
        <v>http://www.degruyter.com/isbn/9780748673476</v>
      </c>
      <c r="AI131" t="s">
        <v>68</v>
      </c>
      <c r="AL131" t="s">
        <v>15</v>
      </c>
      <c r="AM131">
        <v>1</v>
      </c>
      <c r="AN131" s="2">
        <v>9780748632602</v>
      </c>
    </row>
    <row r="132" spans="1:40" x14ac:dyDescent="0.3">
      <c r="A132" t="s">
        <v>778</v>
      </c>
      <c r="B132" t="s">
        <v>1</v>
      </c>
      <c r="C132" t="s">
        <v>779</v>
      </c>
      <c r="D132" t="s">
        <v>780</v>
      </c>
      <c r="E132" t="s">
        <v>781</v>
      </c>
      <c r="F132" t="s">
        <v>5</v>
      </c>
      <c r="G132" t="s">
        <v>6</v>
      </c>
      <c r="L132" t="s">
        <v>7</v>
      </c>
      <c r="M132">
        <v>2016</v>
      </c>
      <c r="N132" s="1">
        <v>42541</v>
      </c>
      <c r="O132" t="s">
        <v>782</v>
      </c>
      <c r="P132">
        <v>1</v>
      </c>
      <c r="S132">
        <v>227.95</v>
      </c>
      <c r="T132">
        <v>260</v>
      </c>
      <c r="U132">
        <v>200</v>
      </c>
      <c r="V132" t="s">
        <v>79</v>
      </c>
      <c r="W132" t="s">
        <v>783</v>
      </c>
      <c r="X132" t="s">
        <v>783</v>
      </c>
      <c r="Y132" t="s">
        <v>784</v>
      </c>
      <c r="AF132" t="s">
        <v>13</v>
      </c>
      <c r="AG132" t="str">
        <f>HYPERLINK("https://doi.org/10.1515/9781474413350?locatt=mode:legacy")</f>
        <v>https://doi.org/10.1515/9781474413350?locatt=mode:legacy</v>
      </c>
      <c r="AH132" t="str">
        <f>HYPERLINK("http://www.degruyter.com/isbn/9781474413350")</f>
        <v>http://www.degruyter.com/isbn/9781474413350</v>
      </c>
      <c r="AI132" t="s">
        <v>180</v>
      </c>
      <c r="AL132" t="s">
        <v>83</v>
      </c>
      <c r="AM132">
        <v>1</v>
      </c>
      <c r="AN132" s="2">
        <v>9781474413343</v>
      </c>
    </row>
    <row r="133" spans="1:40" x14ac:dyDescent="0.3">
      <c r="A133" t="s">
        <v>785</v>
      </c>
      <c r="B133" t="s">
        <v>1</v>
      </c>
      <c r="C133" t="s">
        <v>786</v>
      </c>
      <c r="D133" t="s">
        <v>787</v>
      </c>
      <c r="E133" t="s">
        <v>788</v>
      </c>
      <c r="F133" t="s">
        <v>5</v>
      </c>
      <c r="G133" t="s">
        <v>6</v>
      </c>
      <c r="L133" t="s">
        <v>7</v>
      </c>
      <c r="M133">
        <v>2016</v>
      </c>
      <c r="N133" s="1">
        <v>42387</v>
      </c>
      <c r="O133" t="s">
        <v>789</v>
      </c>
      <c r="P133">
        <v>1</v>
      </c>
      <c r="S133">
        <v>217.95</v>
      </c>
      <c r="T133">
        <v>250</v>
      </c>
      <c r="U133">
        <v>190</v>
      </c>
      <c r="V133" t="s">
        <v>9</v>
      </c>
      <c r="W133" t="s">
        <v>10</v>
      </c>
      <c r="X133" t="s">
        <v>11</v>
      </c>
      <c r="Y133" t="s">
        <v>12</v>
      </c>
      <c r="AF133" t="s">
        <v>13</v>
      </c>
      <c r="AG133" t="str">
        <f>HYPERLINK("https://doi.org/10.1515/9780748694853?locatt=mode:legacy")</f>
        <v>https://doi.org/10.1515/9780748694853?locatt=mode:legacy</v>
      </c>
      <c r="AH133" t="str">
        <f>HYPERLINK("http://www.degruyter.com/isbn/9780748694853")</f>
        <v>http://www.degruyter.com/isbn/9780748694853</v>
      </c>
      <c r="AI133" t="s">
        <v>180</v>
      </c>
      <c r="AJ133" t="s">
        <v>35</v>
      </c>
      <c r="AL133" t="s">
        <v>53</v>
      </c>
      <c r="AM133">
        <v>1</v>
      </c>
      <c r="AN133" s="2">
        <v>9780748694846</v>
      </c>
    </row>
    <row r="134" spans="1:40" x14ac:dyDescent="0.3">
      <c r="A134" t="s">
        <v>790</v>
      </c>
      <c r="B134" t="s">
        <v>1</v>
      </c>
      <c r="C134" t="s">
        <v>791</v>
      </c>
      <c r="D134" t="s">
        <v>792</v>
      </c>
      <c r="E134" t="s">
        <v>793</v>
      </c>
      <c r="F134" t="s">
        <v>5</v>
      </c>
      <c r="G134" t="s">
        <v>6</v>
      </c>
      <c r="L134" t="s">
        <v>7</v>
      </c>
      <c r="M134">
        <v>2014</v>
      </c>
      <c r="N134" s="1">
        <v>41836</v>
      </c>
      <c r="O134" t="s">
        <v>794</v>
      </c>
      <c r="P134">
        <v>1</v>
      </c>
      <c r="S134">
        <v>217.95</v>
      </c>
      <c r="T134">
        <v>250</v>
      </c>
      <c r="U134">
        <v>190</v>
      </c>
      <c r="V134" t="s">
        <v>98</v>
      </c>
      <c r="W134" t="s">
        <v>99</v>
      </c>
      <c r="X134" t="s">
        <v>386</v>
      </c>
      <c r="Y134" t="s">
        <v>387</v>
      </c>
      <c r="AF134" t="s">
        <v>13</v>
      </c>
      <c r="AG134" t="str">
        <f>HYPERLINK("https://doi.org/10.1515/9780748675814")</f>
        <v>https://doi.org/10.1515/9780748675814</v>
      </c>
      <c r="AH134" t="str">
        <f>HYPERLINK("http://www.degruyter.com/isbn/9780748675814")</f>
        <v>http://www.degruyter.com/isbn/9780748675814</v>
      </c>
      <c r="AI134" t="s">
        <v>34</v>
      </c>
      <c r="AL134" t="s">
        <v>102</v>
      </c>
      <c r="AM134">
        <v>1</v>
      </c>
      <c r="AN134" s="2">
        <v>9780748675791</v>
      </c>
    </row>
    <row r="135" spans="1:40" x14ac:dyDescent="0.3">
      <c r="A135" t="s">
        <v>795</v>
      </c>
      <c r="B135" t="s">
        <v>1</v>
      </c>
      <c r="C135" t="s">
        <v>796</v>
      </c>
      <c r="E135" t="s">
        <v>797</v>
      </c>
      <c r="F135" t="s">
        <v>5</v>
      </c>
      <c r="G135" t="s">
        <v>6</v>
      </c>
      <c r="L135" t="s">
        <v>7</v>
      </c>
      <c r="M135">
        <v>2000</v>
      </c>
      <c r="N135" s="1">
        <v>44672</v>
      </c>
      <c r="O135" t="s">
        <v>798</v>
      </c>
      <c r="P135">
        <v>1</v>
      </c>
      <c r="S135">
        <v>217.95</v>
      </c>
      <c r="T135">
        <v>250</v>
      </c>
      <c r="U135">
        <v>190</v>
      </c>
      <c r="V135" t="s">
        <v>79</v>
      </c>
      <c r="W135" t="s">
        <v>123</v>
      </c>
      <c r="X135" t="s">
        <v>123</v>
      </c>
      <c r="Y135" t="s">
        <v>124</v>
      </c>
      <c r="AF135" t="s">
        <v>13</v>
      </c>
      <c r="AG135" t="str">
        <f>HYPERLINK("https://doi.org/10.1515/9780585441696")</f>
        <v>https://doi.org/10.1515/9780585441696</v>
      </c>
      <c r="AH135" t="str">
        <f>HYPERLINK("http://www.degruyter.com/isbn/9780585441696")</f>
        <v>http://www.degruyter.com/isbn/9780585441696</v>
      </c>
      <c r="AI135" t="s">
        <v>68</v>
      </c>
      <c r="AL135" t="s">
        <v>83</v>
      </c>
      <c r="AM135">
        <v>1</v>
      </c>
      <c r="AN135" s="2">
        <v>9780748610914</v>
      </c>
    </row>
    <row r="136" spans="1:40" x14ac:dyDescent="0.3">
      <c r="A136" t="s">
        <v>799</v>
      </c>
      <c r="B136" t="s">
        <v>1</v>
      </c>
      <c r="C136" t="s">
        <v>800</v>
      </c>
      <c r="E136" t="s">
        <v>801</v>
      </c>
      <c r="F136" t="s">
        <v>5</v>
      </c>
      <c r="G136" t="s">
        <v>6</v>
      </c>
      <c r="L136" t="s">
        <v>7</v>
      </c>
      <c r="M136">
        <v>2018</v>
      </c>
      <c r="N136" s="1">
        <v>44656</v>
      </c>
      <c r="O136" t="s">
        <v>802</v>
      </c>
      <c r="P136">
        <v>1</v>
      </c>
      <c r="S136">
        <v>243.95</v>
      </c>
      <c r="T136">
        <v>280</v>
      </c>
      <c r="U136">
        <v>210</v>
      </c>
      <c r="V136" t="s">
        <v>9</v>
      </c>
      <c r="W136" t="s">
        <v>10</v>
      </c>
      <c r="X136" t="s">
        <v>11</v>
      </c>
      <c r="Y136" t="s">
        <v>52</v>
      </c>
      <c r="AF136" t="s">
        <v>13</v>
      </c>
      <c r="AG136" t="str">
        <f>HYPERLINK("https://doi.org/10.1515/9781474430876")</f>
        <v>https://doi.org/10.1515/9781474430876</v>
      </c>
      <c r="AH136" t="str">
        <f>HYPERLINK("http://www.degruyter.com/isbn/9781474430876")</f>
        <v>http://www.degruyter.com/isbn/9781474430876</v>
      </c>
      <c r="AI136" t="s">
        <v>46</v>
      </c>
      <c r="AL136" t="s">
        <v>15</v>
      </c>
      <c r="AM136">
        <v>1</v>
      </c>
      <c r="AN136" s="2">
        <v>9781474430852</v>
      </c>
    </row>
    <row r="137" spans="1:40" x14ac:dyDescent="0.3">
      <c r="A137" t="s">
        <v>803</v>
      </c>
      <c r="B137" t="s">
        <v>1</v>
      </c>
      <c r="C137" t="s">
        <v>804</v>
      </c>
      <c r="D137" t="s">
        <v>805</v>
      </c>
      <c r="E137" t="s">
        <v>806</v>
      </c>
      <c r="F137" t="s">
        <v>5</v>
      </c>
      <c r="G137" t="s">
        <v>6</v>
      </c>
      <c r="L137" t="s">
        <v>7</v>
      </c>
      <c r="M137">
        <v>2005</v>
      </c>
      <c r="N137" s="1">
        <v>38526</v>
      </c>
      <c r="O137" t="s">
        <v>807</v>
      </c>
      <c r="P137">
        <v>1</v>
      </c>
      <c r="S137">
        <v>243.95</v>
      </c>
      <c r="T137">
        <v>280</v>
      </c>
      <c r="U137">
        <v>210</v>
      </c>
      <c r="V137" t="s">
        <v>58</v>
      </c>
      <c r="W137" t="s">
        <v>808</v>
      </c>
      <c r="X137" t="s">
        <v>809</v>
      </c>
      <c r="Y137" t="s">
        <v>810</v>
      </c>
      <c r="AF137" t="s">
        <v>13</v>
      </c>
      <c r="AG137" t="str">
        <f>HYPERLINK("https://doi.org/10.1515/9781474471619")</f>
        <v>https://doi.org/10.1515/9781474471619</v>
      </c>
      <c r="AH137" t="str">
        <f>HYPERLINK("http://www.degruyter.com/isbn/9781474471619")</f>
        <v>http://www.degruyter.com/isbn/9781474471619</v>
      </c>
      <c r="AI137" t="s">
        <v>68</v>
      </c>
      <c r="AL137" t="s">
        <v>62</v>
      </c>
      <c r="AM137">
        <v>1</v>
      </c>
      <c r="AN137" s="2">
        <v>9780748615889</v>
      </c>
    </row>
    <row r="138" spans="1:40" x14ac:dyDescent="0.3">
      <c r="A138" t="s">
        <v>811</v>
      </c>
      <c r="B138" t="s">
        <v>1</v>
      </c>
      <c r="C138" t="s">
        <v>812</v>
      </c>
      <c r="E138" t="s">
        <v>813</v>
      </c>
      <c r="F138" t="s">
        <v>5</v>
      </c>
      <c r="G138" t="s">
        <v>6</v>
      </c>
      <c r="L138" t="s">
        <v>7</v>
      </c>
      <c r="M138">
        <v>2018</v>
      </c>
      <c r="N138" s="1">
        <v>44644</v>
      </c>
      <c r="O138" t="s">
        <v>814</v>
      </c>
      <c r="P138">
        <v>1</v>
      </c>
      <c r="S138">
        <v>217.95</v>
      </c>
      <c r="T138">
        <v>250</v>
      </c>
      <c r="U138">
        <v>190</v>
      </c>
      <c r="V138" t="s">
        <v>42</v>
      </c>
      <c r="W138" t="s">
        <v>43</v>
      </c>
      <c r="X138" t="s">
        <v>44</v>
      </c>
      <c r="Y138" t="s">
        <v>45</v>
      </c>
      <c r="AF138" t="s">
        <v>13</v>
      </c>
      <c r="AG138" t="str">
        <f>HYPERLINK("https://doi.org/10.1515/9781474420358?locatt=mode:legacy")</f>
        <v>https://doi.org/10.1515/9781474420358?locatt=mode:legacy</v>
      </c>
      <c r="AH138" t="str">
        <f>HYPERLINK("http://www.degruyter.com/isbn/9781474420358")</f>
        <v>http://www.degruyter.com/isbn/9781474420358</v>
      </c>
      <c r="AI138" t="s">
        <v>46</v>
      </c>
      <c r="AL138" t="s">
        <v>47</v>
      </c>
      <c r="AM138">
        <v>1</v>
      </c>
      <c r="AN138" s="2">
        <v>9781474420341</v>
      </c>
    </row>
    <row r="139" spans="1:40" x14ac:dyDescent="0.3">
      <c r="A139" t="s">
        <v>815</v>
      </c>
      <c r="B139" t="s">
        <v>1</v>
      </c>
      <c r="C139" t="s">
        <v>816</v>
      </c>
      <c r="E139" t="s">
        <v>817</v>
      </c>
      <c r="F139" t="s">
        <v>5</v>
      </c>
      <c r="G139" t="s">
        <v>6</v>
      </c>
      <c r="L139" t="s">
        <v>7</v>
      </c>
      <c r="M139">
        <v>2013</v>
      </c>
      <c r="N139" s="1">
        <v>44607</v>
      </c>
      <c r="O139" t="s">
        <v>818</v>
      </c>
      <c r="P139">
        <v>1</v>
      </c>
      <c r="S139">
        <v>217.95</v>
      </c>
      <c r="T139">
        <v>250</v>
      </c>
      <c r="U139">
        <v>190</v>
      </c>
      <c r="V139" t="s">
        <v>268</v>
      </c>
      <c r="W139" t="s">
        <v>269</v>
      </c>
      <c r="X139" t="s">
        <v>269</v>
      </c>
      <c r="Y139" t="s">
        <v>819</v>
      </c>
      <c r="AF139" t="s">
        <v>13</v>
      </c>
      <c r="AG139" t="str">
        <f>HYPERLINK("https://doi.org/10.1515/9781474468121")</f>
        <v>https://doi.org/10.1515/9781474468121</v>
      </c>
      <c r="AH139" t="str">
        <f>HYPERLINK("http://www.degruyter.com/isbn/9781474468121")</f>
        <v>http://www.degruyter.com/isbn/9781474468121</v>
      </c>
      <c r="AI139" t="s">
        <v>412</v>
      </c>
      <c r="AL139" t="s">
        <v>272</v>
      </c>
      <c r="AM139">
        <v>1</v>
      </c>
      <c r="AN139" s="2">
        <v>9781845861407</v>
      </c>
    </row>
    <row r="140" spans="1:40" x14ac:dyDescent="0.3">
      <c r="A140" t="s">
        <v>820</v>
      </c>
      <c r="B140" t="s">
        <v>1</v>
      </c>
      <c r="C140" t="s">
        <v>821</v>
      </c>
      <c r="E140" t="s">
        <v>822</v>
      </c>
      <c r="F140" t="s">
        <v>5</v>
      </c>
      <c r="G140" t="s">
        <v>6</v>
      </c>
      <c r="L140" t="s">
        <v>7</v>
      </c>
      <c r="M140">
        <v>2018</v>
      </c>
      <c r="N140" s="1">
        <v>44656</v>
      </c>
      <c r="O140" t="s">
        <v>823</v>
      </c>
      <c r="P140">
        <v>1</v>
      </c>
      <c r="S140">
        <v>217.95</v>
      </c>
      <c r="T140">
        <v>250</v>
      </c>
      <c r="U140">
        <v>190</v>
      </c>
      <c r="V140" t="s">
        <v>20</v>
      </c>
      <c r="W140" t="s">
        <v>21</v>
      </c>
      <c r="X140" t="s">
        <v>22</v>
      </c>
      <c r="Y140" t="s">
        <v>489</v>
      </c>
      <c r="AF140" t="s">
        <v>13</v>
      </c>
      <c r="AG140" t="str">
        <f>HYPERLINK("https://doi.org/10.1515/9781474471848?locatt=mode:legacy")</f>
        <v>https://doi.org/10.1515/9781474471848?locatt=mode:legacy</v>
      </c>
      <c r="AH140" t="str">
        <f>HYPERLINK("http://www.degruyter.com/isbn/9781474471848")</f>
        <v>http://www.degruyter.com/isbn/9781474471848</v>
      </c>
      <c r="AI140" t="s">
        <v>46</v>
      </c>
      <c r="AL140" t="s">
        <v>15</v>
      </c>
      <c r="AM140">
        <v>1</v>
      </c>
      <c r="AN140" s="2">
        <v>9781474427579</v>
      </c>
    </row>
    <row r="141" spans="1:40" x14ac:dyDescent="0.3">
      <c r="A141" t="s">
        <v>824</v>
      </c>
      <c r="B141" t="s">
        <v>1</v>
      </c>
      <c r="C141" t="s">
        <v>825</v>
      </c>
      <c r="D141" t="s">
        <v>826</v>
      </c>
      <c r="E141" t="s">
        <v>827</v>
      </c>
      <c r="F141" t="s">
        <v>5</v>
      </c>
      <c r="G141" t="s">
        <v>6</v>
      </c>
      <c r="L141" t="s">
        <v>7</v>
      </c>
      <c r="M141">
        <v>2013</v>
      </c>
      <c r="N141" s="1">
        <v>41311</v>
      </c>
      <c r="O141" t="s">
        <v>828</v>
      </c>
      <c r="P141">
        <v>1</v>
      </c>
      <c r="S141">
        <v>217.95</v>
      </c>
      <c r="T141">
        <v>250</v>
      </c>
      <c r="U141">
        <v>190</v>
      </c>
      <c r="V141" t="s">
        <v>42</v>
      </c>
      <c r="W141" t="s">
        <v>107</v>
      </c>
      <c r="X141" t="s">
        <v>108</v>
      </c>
      <c r="Y141" t="s">
        <v>109</v>
      </c>
      <c r="AF141" t="s">
        <v>13</v>
      </c>
      <c r="AG141" t="str">
        <f>HYPERLINK("https://doi.org/10.1515/9780748681020?locatt=mode:legacy")</f>
        <v>https://doi.org/10.1515/9780748681020?locatt=mode:legacy</v>
      </c>
      <c r="AH141" t="str">
        <f>HYPERLINK("http://www.degruyter.com/isbn/9780748681020")</f>
        <v>http://www.degruyter.com/isbn/9780748681020</v>
      </c>
      <c r="AI141" t="s">
        <v>68</v>
      </c>
      <c r="AL141" t="s">
        <v>47</v>
      </c>
      <c r="AM141">
        <v>1</v>
      </c>
      <c r="AN141" s="2">
        <v>9780748681013</v>
      </c>
    </row>
    <row r="142" spans="1:40" x14ac:dyDescent="0.3">
      <c r="A142" t="s">
        <v>829</v>
      </c>
      <c r="B142" t="s">
        <v>1</v>
      </c>
      <c r="C142" t="s">
        <v>830</v>
      </c>
      <c r="D142" t="s">
        <v>831</v>
      </c>
      <c r="E142" t="s">
        <v>832</v>
      </c>
      <c r="F142" t="s">
        <v>5</v>
      </c>
      <c r="G142" t="s">
        <v>6</v>
      </c>
      <c r="L142" t="s">
        <v>7</v>
      </c>
      <c r="M142">
        <v>2015</v>
      </c>
      <c r="N142" s="1">
        <v>42204</v>
      </c>
      <c r="O142" t="s">
        <v>833</v>
      </c>
      <c r="P142">
        <v>1</v>
      </c>
      <c r="S142">
        <v>217.95</v>
      </c>
      <c r="T142">
        <v>250</v>
      </c>
      <c r="U142">
        <v>190</v>
      </c>
      <c r="V142" t="s">
        <v>20</v>
      </c>
      <c r="W142" t="s">
        <v>21</v>
      </c>
      <c r="X142" t="s">
        <v>22</v>
      </c>
      <c r="Y142" t="s">
        <v>23</v>
      </c>
      <c r="AF142" t="s">
        <v>13</v>
      </c>
      <c r="AG142" t="str">
        <f>HYPERLINK("https://doi.org/10.1515/9781474400138")</f>
        <v>https://doi.org/10.1515/9781474400138</v>
      </c>
      <c r="AH142" t="str">
        <f>HYPERLINK("http://www.degruyter.com/isbn/9781474400138")</f>
        <v>http://www.degruyter.com/isbn/9781474400138</v>
      </c>
      <c r="AI142" t="s">
        <v>34</v>
      </c>
      <c r="AL142" t="s">
        <v>15</v>
      </c>
      <c r="AM142">
        <v>1</v>
      </c>
      <c r="AN142" s="2">
        <v>9781474400121</v>
      </c>
    </row>
    <row r="143" spans="1:40" x14ac:dyDescent="0.3">
      <c r="A143" t="s">
        <v>834</v>
      </c>
      <c r="B143" t="s">
        <v>1</v>
      </c>
      <c r="C143" t="s">
        <v>835</v>
      </c>
      <c r="D143" t="s">
        <v>836</v>
      </c>
      <c r="E143" t="s">
        <v>837</v>
      </c>
      <c r="F143" t="s">
        <v>5</v>
      </c>
      <c r="G143" t="s">
        <v>6</v>
      </c>
      <c r="L143" t="s">
        <v>7</v>
      </c>
      <c r="M143">
        <v>2020</v>
      </c>
      <c r="N143" s="1">
        <v>44656</v>
      </c>
      <c r="O143" t="s">
        <v>838</v>
      </c>
      <c r="P143">
        <v>1</v>
      </c>
      <c r="S143">
        <v>253.95</v>
      </c>
      <c r="T143">
        <v>290</v>
      </c>
      <c r="U143">
        <v>220</v>
      </c>
      <c r="V143" t="s">
        <v>20</v>
      </c>
      <c r="W143" t="s">
        <v>21</v>
      </c>
      <c r="X143" t="s">
        <v>839</v>
      </c>
      <c r="Y143" t="s">
        <v>840</v>
      </c>
      <c r="AF143" t="s">
        <v>13</v>
      </c>
      <c r="AG143" t="str">
        <f>HYPERLINK("https://doi.org/10.1515/9781474466202")</f>
        <v>https://doi.org/10.1515/9781474466202</v>
      </c>
      <c r="AH143" t="str">
        <f>HYPERLINK("http://www.degruyter.com/isbn/9781474466202")</f>
        <v>http://www.degruyter.com/isbn/9781474466202</v>
      </c>
      <c r="AI143" t="s">
        <v>14</v>
      </c>
      <c r="AL143" t="s">
        <v>15</v>
      </c>
      <c r="AM143">
        <v>1</v>
      </c>
      <c r="AN143" s="2">
        <v>9781474466189</v>
      </c>
    </row>
    <row r="144" spans="1:40" x14ac:dyDescent="0.3">
      <c r="A144" t="s">
        <v>841</v>
      </c>
      <c r="B144" t="s">
        <v>1</v>
      </c>
      <c r="C144" t="s">
        <v>842</v>
      </c>
      <c r="D144" t="s">
        <v>843</v>
      </c>
      <c r="E144" t="s">
        <v>844</v>
      </c>
      <c r="F144" t="s">
        <v>5</v>
      </c>
      <c r="G144" t="s">
        <v>6</v>
      </c>
      <c r="K144" t="s">
        <v>845</v>
      </c>
      <c r="L144" t="s">
        <v>7</v>
      </c>
      <c r="M144">
        <v>2021</v>
      </c>
      <c r="N144" s="1">
        <v>44377</v>
      </c>
      <c r="O144" t="s">
        <v>846</v>
      </c>
      <c r="P144">
        <v>1</v>
      </c>
      <c r="V144" t="s">
        <v>847</v>
      </c>
      <c r="W144" t="s">
        <v>848</v>
      </c>
      <c r="X144" t="s">
        <v>849</v>
      </c>
      <c r="Y144" t="s">
        <v>850</v>
      </c>
      <c r="AF144" t="s">
        <v>13</v>
      </c>
      <c r="AG144" t="str">
        <f>HYPERLINK("https://doi.org/10.1515/9781474483032")</f>
        <v>https://doi.org/10.1515/9781474483032</v>
      </c>
      <c r="AH144" t="str">
        <f>HYPERLINK("http://www.degruyter.com/isbn/9781474483032")</f>
        <v>http://www.degruyter.com/isbn/9781474483032</v>
      </c>
      <c r="AI144" t="s">
        <v>851</v>
      </c>
      <c r="AM144">
        <v>1</v>
      </c>
      <c r="AN144" s="2"/>
    </row>
    <row r="145" spans="1:40" x14ac:dyDescent="0.3">
      <c r="A145" t="s">
        <v>852</v>
      </c>
      <c r="B145" t="s">
        <v>1</v>
      </c>
      <c r="C145" t="s">
        <v>853</v>
      </c>
      <c r="D145" t="s">
        <v>854</v>
      </c>
      <c r="E145" t="s">
        <v>855</v>
      </c>
      <c r="F145" t="s">
        <v>5</v>
      </c>
      <c r="G145" t="s">
        <v>6</v>
      </c>
      <c r="L145" t="s">
        <v>7</v>
      </c>
      <c r="M145">
        <v>2018</v>
      </c>
      <c r="N145" s="1">
        <v>44656</v>
      </c>
      <c r="O145" t="s">
        <v>856</v>
      </c>
      <c r="P145">
        <v>1</v>
      </c>
      <c r="S145">
        <v>217.95</v>
      </c>
      <c r="T145">
        <v>250</v>
      </c>
      <c r="U145">
        <v>190</v>
      </c>
      <c r="V145" t="s">
        <v>20</v>
      </c>
      <c r="W145" t="s">
        <v>21</v>
      </c>
      <c r="X145" t="s">
        <v>22</v>
      </c>
      <c r="Y145" t="s">
        <v>489</v>
      </c>
      <c r="AF145" t="s">
        <v>13</v>
      </c>
      <c r="AG145" t="str">
        <f>HYPERLINK("https://doi.org/10.1515/9781474425629?locatt=mode:legacy")</f>
        <v>https://doi.org/10.1515/9781474425629?locatt=mode:legacy</v>
      </c>
      <c r="AH145" t="str">
        <f>HYPERLINK("http://www.degruyter.com/isbn/9781474425629")</f>
        <v>http://www.degruyter.com/isbn/9781474425629</v>
      </c>
      <c r="AI145" t="s">
        <v>46</v>
      </c>
      <c r="AL145" t="s">
        <v>15</v>
      </c>
      <c r="AM145">
        <v>1</v>
      </c>
      <c r="AN145" s="2">
        <v>9781474425612</v>
      </c>
    </row>
    <row r="146" spans="1:40" x14ac:dyDescent="0.3">
      <c r="A146" t="s">
        <v>857</v>
      </c>
      <c r="B146" t="s">
        <v>1</v>
      </c>
      <c r="C146" t="s">
        <v>858</v>
      </c>
      <c r="D146" t="s">
        <v>859</v>
      </c>
      <c r="E146" t="s">
        <v>860</v>
      </c>
      <c r="F146" t="s">
        <v>5</v>
      </c>
      <c r="G146" t="s">
        <v>6</v>
      </c>
      <c r="L146" t="s">
        <v>7</v>
      </c>
      <c r="M146">
        <v>2010</v>
      </c>
      <c r="N146" s="1">
        <v>40237</v>
      </c>
      <c r="O146" t="s">
        <v>861</v>
      </c>
      <c r="P146">
        <v>1</v>
      </c>
      <c r="S146">
        <v>217.95</v>
      </c>
      <c r="T146">
        <v>250</v>
      </c>
      <c r="U146">
        <v>190</v>
      </c>
      <c r="V146" t="s">
        <v>42</v>
      </c>
      <c r="W146" t="s">
        <v>43</v>
      </c>
      <c r="X146" t="s">
        <v>44</v>
      </c>
      <c r="Y146" t="s">
        <v>45</v>
      </c>
      <c r="AF146" t="s">
        <v>13</v>
      </c>
      <c r="AG146" t="str">
        <f>HYPERLINK("https://doi.org/10.1515/9780748642205?locatt=mode:legacy")</f>
        <v>https://doi.org/10.1515/9780748642205?locatt=mode:legacy</v>
      </c>
      <c r="AH146" t="str">
        <f>HYPERLINK("http://www.degruyter.com/isbn/9780748642205")</f>
        <v>http://www.degruyter.com/isbn/9780748642205</v>
      </c>
      <c r="AI146" t="s">
        <v>68</v>
      </c>
      <c r="AL146" t="s">
        <v>47</v>
      </c>
      <c r="AM146">
        <v>1</v>
      </c>
      <c r="AN146" s="2">
        <v>9780748638918</v>
      </c>
    </row>
    <row r="147" spans="1:40" x14ac:dyDescent="0.3">
      <c r="A147" t="s">
        <v>862</v>
      </c>
      <c r="B147" t="s">
        <v>1</v>
      </c>
      <c r="C147" t="s">
        <v>863</v>
      </c>
      <c r="D147" t="s">
        <v>864</v>
      </c>
      <c r="E147" t="s">
        <v>865</v>
      </c>
      <c r="F147" t="s">
        <v>5</v>
      </c>
      <c r="G147" t="s">
        <v>6</v>
      </c>
      <c r="L147" t="s">
        <v>7</v>
      </c>
      <c r="M147">
        <v>2017</v>
      </c>
      <c r="N147" s="1">
        <v>42758</v>
      </c>
      <c r="O147" t="s">
        <v>866</v>
      </c>
      <c r="P147">
        <v>1</v>
      </c>
      <c r="S147">
        <v>217.95</v>
      </c>
      <c r="T147">
        <v>250</v>
      </c>
      <c r="U147">
        <v>190</v>
      </c>
      <c r="V147" t="s">
        <v>20</v>
      </c>
      <c r="W147" t="s">
        <v>21</v>
      </c>
      <c r="X147" t="s">
        <v>22</v>
      </c>
      <c r="Y147" t="s">
        <v>489</v>
      </c>
      <c r="AF147" t="s">
        <v>13</v>
      </c>
      <c r="AG147" t="str">
        <f>HYPERLINK("https://doi.org/10.1515/9781474403900?locatt=mode:legacy")</f>
        <v>https://doi.org/10.1515/9781474403900?locatt=mode:legacy</v>
      </c>
      <c r="AH147" t="str">
        <f>HYPERLINK("http://www.degruyter.com/isbn/9781474403900")</f>
        <v>http://www.degruyter.com/isbn/9781474403900</v>
      </c>
      <c r="AI147" t="s">
        <v>222</v>
      </c>
      <c r="AL147" t="s">
        <v>15</v>
      </c>
      <c r="AM147">
        <v>1</v>
      </c>
      <c r="AN147" s="2">
        <v>9781474403894</v>
      </c>
    </row>
    <row r="148" spans="1:40" x14ac:dyDescent="0.3">
      <c r="A148" t="s">
        <v>867</v>
      </c>
      <c r="B148" t="s">
        <v>1</v>
      </c>
      <c r="C148" t="s">
        <v>868</v>
      </c>
      <c r="E148" t="s">
        <v>869</v>
      </c>
      <c r="F148" t="s">
        <v>5</v>
      </c>
      <c r="G148" t="s">
        <v>6</v>
      </c>
      <c r="L148" t="s">
        <v>7</v>
      </c>
      <c r="M148">
        <v>2002</v>
      </c>
      <c r="N148" s="1">
        <v>37514</v>
      </c>
      <c r="O148" t="s">
        <v>870</v>
      </c>
      <c r="P148">
        <v>1</v>
      </c>
      <c r="S148">
        <v>209.95</v>
      </c>
      <c r="T148">
        <v>240</v>
      </c>
      <c r="U148">
        <v>180</v>
      </c>
      <c r="V148" t="s">
        <v>20</v>
      </c>
      <c r="W148" t="s">
        <v>21</v>
      </c>
      <c r="X148" t="s">
        <v>22</v>
      </c>
      <c r="Y148" t="s">
        <v>23</v>
      </c>
      <c r="AF148" t="s">
        <v>13</v>
      </c>
      <c r="AG148" t="str">
        <f>HYPERLINK("https://doi.org/10.1515/9781474471138")</f>
        <v>https://doi.org/10.1515/9781474471138</v>
      </c>
      <c r="AH148" t="str">
        <f>HYPERLINK("http://www.degruyter.com/isbn/9781474471138")</f>
        <v>http://www.degruyter.com/isbn/9781474471138</v>
      </c>
      <c r="AI148" t="s">
        <v>68</v>
      </c>
      <c r="AL148" t="s">
        <v>15</v>
      </c>
      <c r="AM148">
        <v>1</v>
      </c>
      <c r="AN148" s="2">
        <v>9780748617227</v>
      </c>
    </row>
    <row r="149" spans="1:40" x14ac:dyDescent="0.3">
      <c r="A149" t="s">
        <v>871</v>
      </c>
      <c r="B149" t="s">
        <v>1</v>
      </c>
      <c r="C149" t="s">
        <v>872</v>
      </c>
      <c r="D149" t="s">
        <v>873</v>
      </c>
      <c r="E149" t="s">
        <v>874</v>
      </c>
      <c r="F149" t="s">
        <v>5</v>
      </c>
      <c r="G149" t="s">
        <v>6</v>
      </c>
      <c r="L149" t="s">
        <v>7</v>
      </c>
      <c r="M149">
        <v>2016</v>
      </c>
      <c r="N149" s="1">
        <v>42706</v>
      </c>
      <c r="O149" t="s">
        <v>875</v>
      </c>
      <c r="P149">
        <v>1</v>
      </c>
      <c r="S149">
        <v>217.95</v>
      </c>
      <c r="T149">
        <v>250</v>
      </c>
      <c r="U149">
        <v>190</v>
      </c>
      <c r="V149" t="s">
        <v>42</v>
      </c>
      <c r="W149" t="s">
        <v>290</v>
      </c>
      <c r="X149" t="s">
        <v>290</v>
      </c>
      <c r="Y149" t="s">
        <v>515</v>
      </c>
      <c r="AF149" t="s">
        <v>13</v>
      </c>
      <c r="AG149" t="str">
        <f>HYPERLINK("https://doi.org/10.1515/9781474415767")</f>
        <v>https://doi.org/10.1515/9781474415767</v>
      </c>
      <c r="AH149" t="str">
        <f>HYPERLINK("http://www.degruyter.com/isbn/9781474415767")</f>
        <v>http://www.degruyter.com/isbn/9781474415767</v>
      </c>
      <c r="AI149" t="s">
        <v>180</v>
      </c>
      <c r="AL149" t="s">
        <v>47</v>
      </c>
      <c r="AM149">
        <v>1</v>
      </c>
      <c r="AN149" s="2">
        <v>9781474415750</v>
      </c>
    </row>
    <row r="150" spans="1:40" x14ac:dyDescent="0.3">
      <c r="A150" t="s">
        <v>876</v>
      </c>
      <c r="B150" t="s">
        <v>1</v>
      </c>
      <c r="C150" t="s">
        <v>877</v>
      </c>
      <c r="D150" t="s">
        <v>878</v>
      </c>
      <c r="E150" t="s">
        <v>879</v>
      </c>
      <c r="F150" t="s">
        <v>5</v>
      </c>
      <c r="G150" t="s">
        <v>6</v>
      </c>
      <c r="L150" t="s">
        <v>7</v>
      </c>
      <c r="M150">
        <v>2014</v>
      </c>
      <c r="N150" s="1">
        <v>41824</v>
      </c>
      <c r="O150" t="s">
        <v>880</v>
      </c>
      <c r="P150">
        <v>1</v>
      </c>
      <c r="S150">
        <v>217.95</v>
      </c>
      <c r="T150">
        <v>250</v>
      </c>
      <c r="U150">
        <v>190</v>
      </c>
      <c r="V150" t="s">
        <v>42</v>
      </c>
      <c r="W150" t="s">
        <v>43</v>
      </c>
      <c r="X150" t="s">
        <v>44</v>
      </c>
      <c r="Y150" t="s">
        <v>45</v>
      </c>
      <c r="AF150" t="s">
        <v>13</v>
      </c>
      <c r="AG150" t="str">
        <f>HYPERLINK("https://doi.org/10.1515/9780748654550")</f>
        <v>https://doi.org/10.1515/9780748654550</v>
      </c>
      <c r="AH150" t="str">
        <f>HYPERLINK("http://www.degruyter.com/isbn/9780748654550")</f>
        <v>http://www.degruyter.com/isbn/9780748654550</v>
      </c>
      <c r="AI150" t="s">
        <v>34</v>
      </c>
      <c r="AL150" t="s">
        <v>47</v>
      </c>
      <c r="AM150">
        <v>1</v>
      </c>
      <c r="AN150" s="2">
        <v>9780748654543</v>
      </c>
    </row>
    <row r="151" spans="1:40" x14ac:dyDescent="0.3">
      <c r="A151" t="s">
        <v>881</v>
      </c>
      <c r="B151" t="s">
        <v>1</v>
      </c>
      <c r="C151" t="s">
        <v>882</v>
      </c>
      <c r="D151" t="s">
        <v>883</v>
      </c>
      <c r="E151" t="s">
        <v>884</v>
      </c>
      <c r="F151" t="s">
        <v>5</v>
      </c>
      <c r="G151" t="s">
        <v>6</v>
      </c>
      <c r="L151" t="s">
        <v>7</v>
      </c>
      <c r="M151">
        <v>1997</v>
      </c>
      <c r="N151" s="1">
        <v>44599</v>
      </c>
      <c r="O151" t="s">
        <v>885</v>
      </c>
      <c r="P151">
        <v>1</v>
      </c>
      <c r="S151">
        <v>217.95</v>
      </c>
      <c r="T151">
        <v>250</v>
      </c>
      <c r="U151">
        <v>190</v>
      </c>
      <c r="V151" t="s">
        <v>20</v>
      </c>
      <c r="W151" t="s">
        <v>21</v>
      </c>
      <c r="X151" t="s">
        <v>22</v>
      </c>
      <c r="Y151" t="s">
        <v>23</v>
      </c>
      <c r="AF151" t="s">
        <v>13</v>
      </c>
      <c r="AG151" t="str">
        <f>HYPERLINK("https://doi.org/10.1515/9780585070254")</f>
        <v>https://doi.org/10.1515/9780585070254</v>
      </c>
      <c r="AH151" t="str">
        <f>HYPERLINK("http://www.degruyter.com/isbn/9780585070254")</f>
        <v>http://www.degruyter.com/isbn/9780585070254</v>
      </c>
      <c r="AI151" t="s">
        <v>24</v>
      </c>
      <c r="AL151" t="s">
        <v>15</v>
      </c>
      <c r="AM151">
        <v>1</v>
      </c>
      <c r="AN151" s="2">
        <v>9780748609260</v>
      </c>
    </row>
    <row r="152" spans="1:40" x14ac:dyDescent="0.3">
      <c r="A152" t="s">
        <v>886</v>
      </c>
      <c r="B152" t="s">
        <v>1</v>
      </c>
      <c r="C152" t="s">
        <v>887</v>
      </c>
      <c r="D152" t="s">
        <v>888</v>
      </c>
      <c r="E152" t="s">
        <v>889</v>
      </c>
      <c r="F152" t="s">
        <v>5</v>
      </c>
      <c r="G152" t="s">
        <v>6</v>
      </c>
      <c r="L152" t="s">
        <v>7</v>
      </c>
      <c r="M152">
        <v>2020</v>
      </c>
      <c r="N152" s="1">
        <v>44644</v>
      </c>
      <c r="O152" t="s">
        <v>890</v>
      </c>
      <c r="P152">
        <v>1</v>
      </c>
      <c r="S152">
        <v>227.95</v>
      </c>
      <c r="T152">
        <v>260</v>
      </c>
      <c r="U152">
        <v>200</v>
      </c>
      <c r="V152" t="s">
        <v>42</v>
      </c>
      <c r="W152" t="s">
        <v>43</v>
      </c>
      <c r="X152" t="s">
        <v>44</v>
      </c>
      <c r="Y152" t="s">
        <v>45</v>
      </c>
      <c r="AF152" t="s">
        <v>13</v>
      </c>
      <c r="AG152" t="str">
        <f>HYPERLINK("https://doi.org/10.1515/9781474441360")</f>
        <v>https://doi.org/10.1515/9781474441360</v>
      </c>
      <c r="AH152" t="str">
        <f>HYPERLINK("http://www.degruyter.com/isbn/9781474441360")</f>
        <v>http://www.degruyter.com/isbn/9781474441360</v>
      </c>
      <c r="AI152" t="s">
        <v>14</v>
      </c>
      <c r="AL152" t="s">
        <v>47</v>
      </c>
      <c r="AM152">
        <v>1</v>
      </c>
      <c r="AN152" s="2">
        <v>9781474441346</v>
      </c>
    </row>
    <row r="153" spans="1:40" x14ac:dyDescent="0.3">
      <c r="A153" t="s">
        <v>891</v>
      </c>
      <c r="B153" t="s">
        <v>1</v>
      </c>
      <c r="C153" t="s">
        <v>892</v>
      </c>
      <c r="D153" t="s">
        <v>893</v>
      </c>
      <c r="E153" t="s">
        <v>894</v>
      </c>
      <c r="F153" t="s">
        <v>5</v>
      </c>
      <c r="G153" t="s">
        <v>6</v>
      </c>
      <c r="L153" t="s">
        <v>7</v>
      </c>
      <c r="M153">
        <v>2012</v>
      </c>
      <c r="N153" s="1">
        <v>41127</v>
      </c>
      <c r="O153" t="s">
        <v>895</v>
      </c>
      <c r="P153">
        <v>1</v>
      </c>
      <c r="S153">
        <v>217.95</v>
      </c>
      <c r="T153">
        <v>250</v>
      </c>
      <c r="U153">
        <v>190</v>
      </c>
      <c r="V153" t="s">
        <v>42</v>
      </c>
      <c r="W153" t="s">
        <v>161</v>
      </c>
      <c r="X153" t="s">
        <v>162</v>
      </c>
      <c r="Y153" t="s">
        <v>896</v>
      </c>
      <c r="AF153" t="s">
        <v>13</v>
      </c>
      <c r="AG153" t="str">
        <f>HYPERLINK("https://doi.org/10.1515/9780748665624?locatt=mode:legacy")</f>
        <v>https://doi.org/10.1515/9780748665624?locatt=mode:legacy</v>
      </c>
      <c r="AH153" t="str">
        <f>HYPERLINK("http://www.degruyter.com/isbn/9780748665624")</f>
        <v>http://www.degruyter.com/isbn/9780748665624</v>
      </c>
      <c r="AI153" t="s">
        <v>68</v>
      </c>
      <c r="AL153" t="s">
        <v>47</v>
      </c>
      <c r="AM153">
        <v>1</v>
      </c>
      <c r="AN153" s="2">
        <v>9780748665617</v>
      </c>
    </row>
    <row r="154" spans="1:40" x14ac:dyDescent="0.3">
      <c r="A154" t="s">
        <v>897</v>
      </c>
      <c r="B154" t="s">
        <v>1</v>
      </c>
      <c r="C154" t="s">
        <v>898</v>
      </c>
      <c r="D154" t="s">
        <v>899</v>
      </c>
      <c r="E154" t="s">
        <v>900</v>
      </c>
      <c r="F154" t="s">
        <v>5</v>
      </c>
      <c r="G154" t="s">
        <v>6</v>
      </c>
      <c r="L154" t="s">
        <v>7</v>
      </c>
      <c r="M154">
        <v>2020</v>
      </c>
      <c r="N154" s="1">
        <v>44644</v>
      </c>
      <c r="O154" t="s">
        <v>901</v>
      </c>
      <c r="P154">
        <v>1</v>
      </c>
      <c r="S154">
        <v>217.95</v>
      </c>
      <c r="T154">
        <v>250</v>
      </c>
      <c r="U154">
        <v>190</v>
      </c>
      <c r="V154" t="s">
        <v>20</v>
      </c>
      <c r="W154" t="s">
        <v>556</v>
      </c>
      <c r="X154" t="s">
        <v>902</v>
      </c>
      <c r="Y154" t="s">
        <v>903</v>
      </c>
      <c r="AF154" t="s">
        <v>13</v>
      </c>
      <c r="AG154" t="str">
        <f>HYPERLINK("https://doi.org/10.1515/9781474443821?locatt=mode:legacy")</f>
        <v>https://doi.org/10.1515/9781474443821?locatt=mode:legacy</v>
      </c>
      <c r="AH154" t="str">
        <f>HYPERLINK("http://www.degruyter.com/isbn/9781474443821")</f>
        <v>http://www.degruyter.com/isbn/9781474443821</v>
      </c>
      <c r="AI154" t="s">
        <v>14</v>
      </c>
      <c r="AL154" t="s">
        <v>15</v>
      </c>
      <c r="AM154">
        <v>1</v>
      </c>
      <c r="AN154" s="2">
        <v>9781474443807</v>
      </c>
    </row>
    <row r="155" spans="1:40" x14ac:dyDescent="0.3">
      <c r="A155" t="s">
        <v>904</v>
      </c>
      <c r="B155" t="s">
        <v>1</v>
      </c>
      <c r="C155" t="s">
        <v>905</v>
      </c>
      <c r="E155" t="s">
        <v>906</v>
      </c>
      <c r="F155" t="s">
        <v>5</v>
      </c>
      <c r="G155" t="s">
        <v>6</v>
      </c>
      <c r="L155" t="s">
        <v>7</v>
      </c>
      <c r="M155">
        <v>2021</v>
      </c>
      <c r="N155" s="1">
        <v>44656</v>
      </c>
      <c r="O155" t="s">
        <v>907</v>
      </c>
      <c r="P155">
        <v>1</v>
      </c>
      <c r="S155">
        <v>227.95</v>
      </c>
      <c r="T155">
        <v>260</v>
      </c>
      <c r="U155">
        <v>200</v>
      </c>
      <c r="V155" t="s">
        <v>9</v>
      </c>
      <c r="W155" t="s">
        <v>10</v>
      </c>
      <c r="X155" t="s">
        <v>11</v>
      </c>
      <c r="Y155" t="s">
        <v>52</v>
      </c>
      <c r="AF155" t="s">
        <v>13</v>
      </c>
      <c r="AG155" t="str">
        <f>HYPERLINK("https://doi.org/10.1515/9781474451918")</f>
        <v>https://doi.org/10.1515/9781474451918</v>
      </c>
      <c r="AH155" t="str">
        <f>HYPERLINK("http://www.degruyter.com/isbn/9781474451918")</f>
        <v>http://www.degruyter.com/isbn/9781474451918</v>
      </c>
      <c r="AI155" t="s">
        <v>908</v>
      </c>
      <c r="AL155" t="s">
        <v>15</v>
      </c>
      <c r="AM155">
        <v>1</v>
      </c>
      <c r="AN155" s="2">
        <v>9781474451895</v>
      </c>
    </row>
    <row r="156" spans="1:40" x14ac:dyDescent="0.3">
      <c r="A156" t="s">
        <v>909</v>
      </c>
      <c r="B156" t="s">
        <v>1</v>
      </c>
      <c r="C156" t="s">
        <v>910</v>
      </c>
      <c r="D156" t="s">
        <v>911</v>
      </c>
      <c r="E156" t="s">
        <v>912</v>
      </c>
      <c r="F156" t="s">
        <v>5</v>
      </c>
      <c r="G156" t="s">
        <v>6</v>
      </c>
      <c r="L156" t="s">
        <v>7</v>
      </c>
      <c r="M156">
        <v>2020</v>
      </c>
      <c r="N156" s="1">
        <v>44644</v>
      </c>
      <c r="O156" t="s">
        <v>913</v>
      </c>
      <c r="P156">
        <v>1</v>
      </c>
      <c r="S156">
        <v>217.95</v>
      </c>
      <c r="T156">
        <v>250</v>
      </c>
      <c r="U156">
        <v>190</v>
      </c>
      <c r="V156" t="s">
        <v>79</v>
      </c>
      <c r="W156" t="s">
        <v>734</v>
      </c>
      <c r="X156" t="s">
        <v>734</v>
      </c>
      <c r="Y156" t="s">
        <v>735</v>
      </c>
      <c r="AF156" t="s">
        <v>13</v>
      </c>
      <c r="AG156" t="str">
        <f>HYPERLINK("https://doi.org/10.1515/9781474478588")</f>
        <v>https://doi.org/10.1515/9781474478588</v>
      </c>
      <c r="AH156" t="str">
        <f>HYPERLINK("http://www.degruyter.com/isbn/9781474478588")</f>
        <v>http://www.degruyter.com/isbn/9781474478588</v>
      </c>
      <c r="AI156" t="s">
        <v>14</v>
      </c>
      <c r="AL156" t="s">
        <v>83</v>
      </c>
      <c r="AM156">
        <v>1</v>
      </c>
      <c r="AN156" s="2">
        <v>9781474478557</v>
      </c>
    </row>
    <row r="157" spans="1:40" x14ac:dyDescent="0.3">
      <c r="A157" t="s">
        <v>914</v>
      </c>
      <c r="B157" t="s">
        <v>1</v>
      </c>
      <c r="C157" t="s">
        <v>915</v>
      </c>
      <c r="D157" t="s">
        <v>916</v>
      </c>
      <c r="E157" t="s">
        <v>917</v>
      </c>
      <c r="F157" t="s">
        <v>5</v>
      </c>
      <c r="G157" t="s">
        <v>6</v>
      </c>
      <c r="L157" t="s">
        <v>7</v>
      </c>
      <c r="M157">
        <v>2019</v>
      </c>
      <c r="N157" s="1">
        <v>44656</v>
      </c>
      <c r="O157" t="s">
        <v>918</v>
      </c>
      <c r="P157">
        <v>1</v>
      </c>
      <c r="S157">
        <v>253.95</v>
      </c>
      <c r="T157">
        <v>290</v>
      </c>
      <c r="U157">
        <v>220</v>
      </c>
      <c r="V157" t="s">
        <v>98</v>
      </c>
      <c r="W157" t="s">
        <v>99</v>
      </c>
      <c r="X157" t="s">
        <v>386</v>
      </c>
      <c r="Y157" t="s">
        <v>387</v>
      </c>
      <c r="AF157" t="s">
        <v>13</v>
      </c>
      <c r="AG157" t="str">
        <f>HYPERLINK("https://doi.org/10.1515/9781474439923")</f>
        <v>https://doi.org/10.1515/9781474439923</v>
      </c>
      <c r="AH157" t="str">
        <f>HYPERLINK("http://www.degruyter.com/isbn/9781474439923")</f>
        <v>http://www.degruyter.com/isbn/9781474439923</v>
      </c>
      <c r="AI157" t="s">
        <v>280</v>
      </c>
      <c r="AL157" t="s">
        <v>102</v>
      </c>
      <c r="AM157">
        <v>1</v>
      </c>
      <c r="AN157" s="2">
        <v>9781474439909</v>
      </c>
    </row>
    <row r="158" spans="1:40" x14ac:dyDescent="0.3">
      <c r="A158" t="s">
        <v>919</v>
      </c>
      <c r="B158" t="s">
        <v>1</v>
      </c>
      <c r="C158" t="s">
        <v>920</v>
      </c>
      <c r="D158" t="s">
        <v>921</v>
      </c>
      <c r="E158" t="s">
        <v>922</v>
      </c>
      <c r="F158" t="s">
        <v>5</v>
      </c>
      <c r="G158" t="s">
        <v>6</v>
      </c>
      <c r="K158" t="s">
        <v>923</v>
      </c>
      <c r="L158" t="s">
        <v>7</v>
      </c>
      <c r="M158">
        <v>2018</v>
      </c>
      <c r="N158" s="1">
        <v>43235</v>
      </c>
      <c r="O158" t="s">
        <v>924</v>
      </c>
      <c r="P158">
        <v>1</v>
      </c>
      <c r="V158" t="s">
        <v>89</v>
      </c>
      <c r="W158" t="s">
        <v>90</v>
      </c>
      <c r="X158" t="s">
        <v>91</v>
      </c>
      <c r="Y158" t="s">
        <v>717</v>
      </c>
      <c r="AF158" t="s">
        <v>13</v>
      </c>
      <c r="AG158" t="str">
        <f>HYPERLINK("https://doi.org/10.1515/9781474426664?locatt=mode:legacy")</f>
        <v>https://doi.org/10.1515/9781474426664?locatt=mode:legacy</v>
      </c>
      <c r="AH158" t="str">
        <f>HYPERLINK("http://www.degruyter.com/isbn/9781474426664")</f>
        <v>http://www.degruyter.com/isbn/9781474426664</v>
      </c>
      <c r="AI158" t="s">
        <v>46</v>
      </c>
      <c r="AM158">
        <v>1</v>
      </c>
      <c r="AN158" s="2"/>
    </row>
    <row r="159" spans="1:40" x14ac:dyDescent="0.3">
      <c r="A159" t="s">
        <v>925</v>
      </c>
      <c r="B159" t="s">
        <v>1</v>
      </c>
      <c r="C159" t="s">
        <v>926</v>
      </c>
      <c r="D159" t="s">
        <v>927</v>
      </c>
      <c r="E159" t="s">
        <v>928</v>
      </c>
      <c r="F159" t="s">
        <v>5</v>
      </c>
      <c r="G159" t="s">
        <v>6</v>
      </c>
      <c r="K159" t="s">
        <v>929</v>
      </c>
      <c r="L159" t="s">
        <v>7</v>
      </c>
      <c r="M159">
        <v>2014</v>
      </c>
      <c r="N159" s="1">
        <v>41668</v>
      </c>
      <c r="O159" t="s">
        <v>930</v>
      </c>
      <c r="P159">
        <v>1</v>
      </c>
      <c r="V159" t="s">
        <v>58</v>
      </c>
      <c r="W159" t="s">
        <v>59</v>
      </c>
      <c r="X159" t="s">
        <v>931</v>
      </c>
      <c r="Y159" t="s">
        <v>932</v>
      </c>
      <c r="AF159" t="s">
        <v>13</v>
      </c>
      <c r="AG159" t="str">
        <f>HYPERLINK("https://doi.org/10.1515/9780748645763?locatt=mode:legacy")</f>
        <v>https://doi.org/10.1515/9780748645763?locatt=mode:legacy</v>
      </c>
      <c r="AH159" t="str">
        <f>HYPERLINK("http://www.degruyter.com/isbn/9780748645763")</f>
        <v>http://www.degruyter.com/isbn/9780748645763</v>
      </c>
      <c r="AI159" t="s">
        <v>34</v>
      </c>
      <c r="AM159">
        <v>1</v>
      </c>
      <c r="AN159" s="2"/>
    </row>
    <row r="160" spans="1:40" x14ac:dyDescent="0.3">
      <c r="A160" t="s">
        <v>933</v>
      </c>
      <c r="B160" t="s">
        <v>1</v>
      </c>
      <c r="C160" t="s">
        <v>934</v>
      </c>
      <c r="E160" t="s">
        <v>935</v>
      </c>
      <c r="F160" t="s">
        <v>5</v>
      </c>
      <c r="G160" t="s">
        <v>6</v>
      </c>
      <c r="L160" t="s">
        <v>7</v>
      </c>
      <c r="M160">
        <v>2014</v>
      </c>
      <c r="N160" s="1">
        <v>41794</v>
      </c>
      <c r="O160" t="s">
        <v>936</v>
      </c>
      <c r="P160">
        <v>1</v>
      </c>
      <c r="S160">
        <v>217.95</v>
      </c>
      <c r="T160">
        <v>250</v>
      </c>
      <c r="U160">
        <v>190</v>
      </c>
      <c r="V160" t="s">
        <v>98</v>
      </c>
      <c r="W160" t="s">
        <v>99</v>
      </c>
      <c r="X160" t="s">
        <v>100</v>
      </c>
      <c r="Y160" t="s">
        <v>937</v>
      </c>
      <c r="AF160" t="s">
        <v>13</v>
      </c>
      <c r="AG160" t="str">
        <f>HYPERLINK("https://doi.org/10.1515/9780748691784")</f>
        <v>https://doi.org/10.1515/9780748691784</v>
      </c>
      <c r="AH160" t="str">
        <f>HYPERLINK("http://www.degruyter.com/isbn/9780748691784")</f>
        <v>http://www.degruyter.com/isbn/9780748691784</v>
      </c>
      <c r="AI160" t="s">
        <v>34</v>
      </c>
      <c r="AL160" t="s">
        <v>102</v>
      </c>
      <c r="AM160">
        <v>1</v>
      </c>
      <c r="AN160" s="2">
        <v>9780748691777</v>
      </c>
    </row>
    <row r="161" spans="1:40" x14ac:dyDescent="0.3">
      <c r="A161" t="s">
        <v>938</v>
      </c>
      <c r="B161" t="s">
        <v>1</v>
      </c>
      <c r="C161" t="s">
        <v>939</v>
      </c>
      <c r="D161" t="s">
        <v>940</v>
      </c>
      <c r="E161" t="s">
        <v>941</v>
      </c>
      <c r="F161" t="s">
        <v>5</v>
      </c>
      <c r="G161" t="s">
        <v>6</v>
      </c>
      <c r="K161" t="s">
        <v>923</v>
      </c>
      <c r="L161" t="s">
        <v>7</v>
      </c>
      <c r="M161">
        <v>2015</v>
      </c>
      <c r="N161" s="1">
        <v>42284</v>
      </c>
      <c r="O161" t="s">
        <v>942</v>
      </c>
      <c r="P161">
        <v>1</v>
      </c>
      <c r="V161" t="s">
        <v>58</v>
      </c>
      <c r="W161" t="s">
        <v>59</v>
      </c>
      <c r="X161" t="s">
        <v>60</v>
      </c>
      <c r="Y161" t="s">
        <v>169</v>
      </c>
      <c r="AF161" t="s">
        <v>13</v>
      </c>
      <c r="AG161" t="str">
        <f>HYPERLINK("https://doi.org/10.1515/9780748692828?locatt=mode:legacy")</f>
        <v>https://doi.org/10.1515/9780748692828?locatt=mode:legacy</v>
      </c>
      <c r="AH161" t="str">
        <f>HYPERLINK("http://www.degruyter.com/isbn/9780748692828")</f>
        <v>http://www.degruyter.com/isbn/9780748692828</v>
      </c>
      <c r="AI161" t="s">
        <v>34</v>
      </c>
      <c r="AM161">
        <v>1</v>
      </c>
      <c r="AN161" s="2"/>
    </row>
    <row r="162" spans="1:40" x14ac:dyDescent="0.3">
      <c r="A162" t="s">
        <v>943</v>
      </c>
      <c r="B162" t="s">
        <v>1</v>
      </c>
      <c r="C162" t="s">
        <v>944</v>
      </c>
      <c r="D162" t="s">
        <v>945</v>
      </c>
      <c r="E162" t="s">
        <v>946</v>
      </c>
      <c r="F162" t="s">
        <v>5</v>
      </c>
      <c r="G162" t="s">
        <v>6</v>
      </c>
      <c r="K162" t="s">
        <v>923</v>
      </c>
      <c r="L162" t="s">
        <v>7</v>
      </c>
      <c r="M162">
        <v>2018</v>
      </c>
      <c r="N162" s="1">
        <v>43343</v>
      </c>
      <c r="O162" t="s">
        <v>947</v>
      </c>
      <c r="P162">
        <v>1</v>
      </c>
      <c r="V162" t="s">
        <v>20</v>
      </c>
      <c r="W162" t="s">
        <v>21</v>
      </c>
      <c r="X162" t="s">
        <v>458</v>
      </c>
      <c r="Y162" t="s">
        <v>459</v>
      </c>
      <c r="AF162" t="s">
        <v>13</v>
      </c>
      <c r="AG162" t="str">
        <f>HYPERLINK("https://doi.org/10.1515/9781474430678")</f>
        <v>https://doi.org/10.1515/9781474430678</v>
      </c>
      <c r="AH162" t="str">
        <f>HYPERLINK("http://www.degruyter.com/isbn/9781474430678")</f>
        <v>http://www.degruyter.com/isbn/9781474430678</v>
      </c>
      <c r="AI162" t="s">
        <v>46</v>
      </c>
      <c r="AM162">
        <v>1</v>
      </c>
      <c r="AN162" s="2"/>
    </row>
    <row r="163" spans="1:40" x14ac:dyDescent="0.3">
      <c r="A163" t="s">
        <v>948</v>
      </c>
      <c r="B163" t="s">
        <v>1</v>
      </c>
      <c r="C163" t="s">
        <v>949</v>
      </c>
      <c r="E163" t="s">
        <v>950</v>
      </c>
      <c r="F163" t="s">
        <v>5</v>
      </c>
      <c r="G163" t="s">
        <v>6</v>
      </c>
      <c r="L163" t="s">
        <v>7</v>
      </c>
      <c r="M163">
        <v>2010</v>
      </c>
      <c r="N163" s="1">
        <v>40358</v>
      </c>
      <c r="O163" t="s">
        <v>951</v>
      </c>
      <c r="P163">
        <v>1</v>
      </c>
      <c r="S163">
        <v>99.95</v>
      </c>
      <c r="T163">
        <v>114</v>
      </c>
      <c r="U163">
        <v>84</v>
      </c>
      <c r="V163" t="s">
        <v>42</v>
      </c>
      <c r="W163" t="s">
        <v>107</v>
      </c>
      <c r="X163" t="s">
        <v>108</v>
      </c>
      <c r="Y163" t="s">
        <v>952</v>
      </c>
      <c r="AF163" t="s">
        <v>13</v>
      </c>
      <c r="AG163" t="str">
        <f>HYPERLINK("https://doi.org/10.1515/9780748642663")</f>
        <v>https://doi.org/10.1515/9780748642663</v>
      </c>
      <c r="AH163" t="str">
        <f>HYPERLINK("http://www.degruyter.com/isbn/9780748642663")</f>
        <v>http://www.degruyter.com/isbn/9780748642663</v>
      </c>
      <c r="AI163" t="s">
        <v>68</v>
      </c>
      <c r="AL163" t="s">
        <v>47</v>
      </c>
      <c r="AM163">
        <v>1</v>
      </c>
      <c r="AN163" s="2">
        <v>9780748641116</v>
      </c>
    </row>
    <row r="164" spans="1:40" x14ac:dyDescent="0.3">
      <c r="A164" t="s">
        <v>953</v>
      </c>
      <c r="B164" t="s">
        <v>1</v>
      </c>
      <c r="C164" t="s">
        <v>954</v>
      </c>
      <c r="E164" t="s">
        <v>955</v>
      </c>
      <c r="F164" t="s">
        <v>5</v>
      </c>
      <c r="G164" t="s">
        <v>6</v>
      </c>
      <c r="L164" t="s">
        <v>7</v>
      </c>
      <c r="M164">
        <v>2015</v>
      </c>
      <c r="N164" s="1">
        <v>42171</v>
      </c>
      <c r="O164" t="s">
        <v>956</v>
      </c>
      <c r="P164">
        <v>1</v>
      </c>
      <c r="S164">
        <v>217.95</v>
      </c>
      <c r="T164">
        <v>250</v>
      </c>
      <c r="U164">
        <v>190</v>
      </c>
      <c r="V164" t="s">
        <v>42</v>
      </c>
      <c r="W164" t="s">
        <v>161</v>
      </c>
      <c r="X164" t="s">
        <v>162</v>
      </c>
      <c r="Y164" t="s">
        <v>957</v>
      </c>
      <c r="AF164" t="s">
        <v>13</v>
      </c>
      <c r="AG164" t="str">
        <f>HYPERLINK("https://doi.org/10.1515/9780748694426")</f>
        <v>https://doi.org/10.1515/9780748694426</v>
      </c>
      <c r="AH164" t="str">
        <f>HYPERLINK("http://www.degruyter.com/isbn/9780748694426")</f>
        <v>http://www.degruyter.com/isbn/9780748694426</v>
      </c>
      <c r="AI164" t="s">
        <v>34</v>
      </c>
      <c r="AL164" t="s">
        <v>47</v>
      </c>
      <c r="AM164">
        <v>1</v>
      </c>
      <c r="AN164" s="2">
        <v>9780748694419</v>
      </c>
    </row>
    <row r="165" spans="1:40" x14ac:dyDescent="0.3">
      <c r="A165" t="s">
        <v>958</v>
      </c>
      <c r="B165" t="s">
        <v>1</v>
      </c>
      <c r="C165" t="s">
        <v>959</v>
      </c>
      <c r="D165" t="s">
        <v>960</v>
      </c>
      <c r="E165" t="s">
        <v>961</v>
      </c>
      <c r="F165" t="s">
        <v>5</v>
      </c>
      <c r="G165" t="s">
        <v>6</v>
      </c>
      <c r="L165" t="s">
        <v>7</v>
      </c>
      <c r="M165">
        <v>2017</v>
      </c>
      <c r="N165" s="1">
        <v>43068</v>
      </c>
      <c r="O165" t="s">
        <v>962</v>
      </c>
      <c r="P165">
        <v>1</v>
      </c>
      <c r="S165">
        <v>217.95</v>
      </c>
      <c r="T165">
        <v>250</v>
      </c>
      <c r="U165">
        <v>190</v>
      </c>
      <c r="V165" t="s">
        <v>268</v>
      </c>
      <c r="W165" t="s">
        <v>963</v>
      </c>
      <c r="X165" t="s">
        <v>964</v>
      </c>
      <c r="Y165" t="s">
        <v>965</v>
      </c>
      <c r="AF165" t="s">
        <v>13</v>
      </c>
      <c r="AG165" t="str">
        <f>HYPERLINK("https://doi.org/10.1515/9781474414777")</f>
        <v>https://doi.org/10.1515/9781474414777</v>
      </c>
      <c r="AH165" t="str">
        <f>HYPERLINK("http://www.degruyter.com/isbn/9781474414777")</f>
        <v>http://www.degruyter.com/isbn/9781474414777</v>
      </c>
      <c r="AI165" t="s">
        <v>966</v>
      </c>
      <c r="AL165" t="s">
        <v>272</v>
      </c>
      <c r="AM165">
        <v>1</v>
      </c>
      <c r="AN165" s="2">
        <v>9781474414760</v>
      </c>
    </row>
    <row r="166" spans="1:40" x14ac:dyDescent="0.3">
      <c r="A166" t="s">
        <v>967</v>
      </c>
      <c r="B166" t="s">
        <v>1</v>
      </c>
      <c r="C166" t="s">
        <v>968</v>
      </c>
      <c r="E166" t="s">
        <v>969</v>
      </c>
      <c r="F166" t="s">
        <v>5</v>
      </c>
      <c r="G166" t="s">
        <v>6</v>
      </c>
      <c r="L166" t="s">
        <v>7</v>
      </c>
      <c r="M166">
        <v>2008</v>
      </c>
      <c r="N166" s="1">
        <v>39778</v>
      </c>
      <c r="O166" t="s">
        <v>970</v>
      </c>
      <c r="P166">
        <v>1</v>
      </c>
      <c r="S166">
        <v>279.95</v>
      </c>
      <c r="T166">
        <v>320</v>
      </c>
      <c r="U166">
        <v>240</v>
      </c>
      <c r="V166" t="s">
        <v>42</v>
      </c>
      <c r="W166" t="s">
        <v>116</v>
      </c>
      <c r="X166" t="s">
        <v>116</v>
      </c>
      <c r="Y166" t="s">
        <v>971</v>
      </c>
      <c r="AF166" t="s">
        <v>13</v>
      </c>
      <c r="AG166" t="str">
        <f>HYPERLINK("https://doi.org/10.1515/9780748635702")</f>
        <v>https://doi.org/10.1515/9780748635702</v>
      </c>
      <c r="AH166" t="str">
        <f>HYPERLINK("http://www.degruyter.com/isbn/9780748635702")</f>
        <v>http://www.degruyter.com/isbn/9780748635702</v>
      </c>
      <c r="AI166" t="s">
        <v>68</v>
      </c>
      <c r="AL166" t="s">
        <v>47</v>
      </c>
      <c r="AM166">
        <v>1</v>
      </c>
      <c r="AN166" s="2">
        <v>9780748635689</v>
      </c>
    </row>
    <row r="167" spans="1:40" x14ac:dyDescent="0.3">
      <c r="A167" t="s">
        <v>972</v>
      </c>
      <c r="B167" t="s">
        <v>1</v>
      </c>
      <c r="C167" t="s">
        <v>973</v>
      </c>
      <c r="E167" t="s">
        <v>974</v>
      </c>
      <c r="F167" t="s">
        <v>5</v>
      </c>
      <c r="G167" t="s">
        <v>6</v>
      </c>
      <c r="L167" t="s">
        <v>7</v>
      </c>
      <c r="M167">
        <v>2014</v>
      </c>
      <c r="N167" s="1">
        <v>41806</v>
      </c>
      <c r="O167" t="s">
        <v>975</v>
      </c>
      <c r="P167">
        <v>1</v>
      </c>
      <c r="S167">
        <v>209.95</v>
      </c>
      <c r="T167">
        <v>240</v>
      </c>
      <c r="U167">
        <v>180</v>
      </c>
      <c r="V167" t="s">
        <v>42</v>
      </c>
      <c r="W167" t="s">
        <v>116</v>
      </c>
      <c r="X167" t="s">
        <v>116</v>
      </c>
      <c r="Y167" t="s">
        <v>117</v>
      </c>
      <c r="AF167" t="s">
        <v>13</v>
      </c>
      <c r="AG167" t="str">
        <f>HYPERLINK("https://doi.org/10.1515/9780748694082")</f>
        <v>https://doi.org/10.1515/9780748694082</v>
      </c>
      <c r="AH167" t="str">
        <f>HYPERLINK("http://www.degruyter.com/isbn/9780748694082")</f>
        <v>http://www.degruyter.com/isbn/9780748694082</v>
      </c>
      <c r="AI167" t="s">
        <v>34</v>
      </c>
      <c r="AL167" t="s">
        <v>47</v>
      </c>
      <c r="AM167">
        <v>1</v>
      </c>
      <c r="AN167" s="2">
        <v>9780748641147</v>
      </c>
    </row>
    <row r="168" spans="1:40" x14ac:dyDescent="0.3">
      <c r="A168" t="s">
        <v>976</v>
      </c>
      <c r="B168" t="s">
        <v>1</v>
      </c>
      <c r="C168" t="s">
        <v>977</v>
      </c>
      <c r="E168" t="s">
        <v>978</v>
      </c>
      <c r="F168" t="s">
        <v>5</v>
      </c>
      <c r="G168" t="s">
        <v>6</v>
      </c>
      <c r="L168" t="s">
        <v>7</v>
      </c>
      <c r="M168">
        <v>2001</v>
      </c>
      <c r="N168" s="1">
        <v>44693</v>
      </c>
      <c r="O168" t="s">
        <v>979</v>
      </c>
      <c r="P168">
        <v>1</v>
      </c>
      <c r="S168">
        <v>217.95</v>
      </c>
      <c r="T168">
        <v>250</v>
      </c>
      <c r="U168">
        <v>190</v>
      </c>
      <c r="V168" t="s">
        <v>58</v>
      </c>
      <c r="W168" t="s">
        <v>59</v>
      </c>
      <c r="X168" t="s">
        <v>60</v>
      </c>
      <c r="Y168" t="s">
        <v>399</v>
      </c>
      <c r="AF168" t="s">
        <v>13</v>
      </c>
      <c r="AG168" t="str">
        <f>HYPERLINK("https://doi.org/10.1515/9780585441788")</f>
        <v>https://doi.org/10.1515/9780585441788</v>
      </c>
      <c r="AH168" t="str">
        <f>HYPERLINK("http://www.degruyter.com/isbn/9780585441788")</f>
        <v>http://www.degruyter.com/isbn/9780585441788</v>
      </c>
      <c r="AI168" t="s">
        <v>68</v>
      </c>
      <c r="AL168" t="s">
        <v>62</v>
      </c>
      <c r="AM168">
        <v>1</v>
      </c>
      <c r="AN168" s="2">
        <v>9781902930251</v>
      </c>
    </row>
    <row r="169" spans="1:40" x14ac:dyDescent="0.3">
      <c r="A169" t="s">
        <v>980</v>
      </c>
      <c r="B169" t="s">
        <v>1</v>
      </c>
      <c r="C169" t="s">
        <v>981</v>
      </c>
      <c r="D169" t="s">
        <v>982</v>
      </c>
      <c r="E169" t="s">
        <v>983</v>
      </c>
      <c r="F169" t="s">
        <v>5</v>
      </c>
      <c r="G169" t="s">
        <v>6</v>
      </c>
      <c r="L169" t="s">
        <v>7</v>
      </c>
      <c r="M169">
        <v>2021</v>
      </c>
      <c r="N169" s="1">
        <v>44656</v>
      </c>
      <c r="O169" t="s">
        <v>984</v>
      </c>
      <c r="P169">
        <v>1</v>
      </c>
      <c r="S169">
        <v>227.95</v>
      </c>
      <c r="T169">
        <v>260</v>
      </c>
      <c r="U169">
        <v>200</v>
      </c>
      <c r="V169" t="s">
        <v>9</v>
      </c>
      <c r="W169" t="s">
        <v>10</v>
      </c>
      <c r="X169" t="s">
        <v>11</v>
      </c>
      <c r="Y169" t="s">
        <v>52</v>
      </c>
      <c r="AF169" t="s">
        <v>13</v>
      </c>
      <c r="AG169" t="str">
        <f>HYPERLINK("https://doi.org/10.1515/9781474451956")</f>
        <v>https://doi.org/10.1515/9781474451956</v>
      </c>
      <c r="AH169" t="str">
        <f>HYPERLINK("http://www.degruyter.com/isbn/9781474451956")</f>
        <v>http://www.degruyter.com/isbn/9781474451956</v>
      </c>
      <c r="AI169" t="s">
        <v>908</v>
      </c>
      <c r="AL169" t="s">
        <v>15</v>
      </c>
      <c r="AM169">
        <v>1</v>
      </c>
      <c r="AN169" s="2">
        <v>9781474451932</v>
      </c>
    </row>
    <row r="170" spans="1:40" x14ac:dyDescent="0.3">
      <c r="A170" t="s">
        <v>985</v>
      </c>
      <c r="B170" t="s">
        <v>1</v>
      </c>
      <c r="C170" t="s">
        <v>986</v>
      </c>
      <c r="E170" t="s">
        <v>987</v>
      </c>
      <c r="F170" t="s">
        <v>5</v>
      </c>
      <c r="G170" t="s">
        <v>6</v>
      </c>
      <c r="L170" t="s">
        <v>7</v>
      </c>
      <c r="M170">
        <v>2012</v>
      </c>
      <c r="N170" s="1">
        <v>41080</v>
      </c>
      <c r="O170" t="s">
        <v>988</v>
      </c>
      <c r="P170">
        <v>1</v>
      </c>
      <c r="S170">
        <v>227.95</v>
      </c>
      <c r="T170">
        <v>260</v>
      </c>
      <c r="U170">
        <v>200</v>
      </c>
      <c r="V170" t="s">
        <v>58</v>
      </c>
      <c r="W170" t="s">
        <v>59</v>
      </c>
      <c r="X170" t="s">
        <v>278</v>
      </c>
      <c r="Y170" t="s">
        <v>932</v>
      </c>
      <c r="AF170" t="s">
        <v>13</v>
      </c>
      <c r="AG170" t="str">
        <f>HYPERLINK("https://doi.org/10.1515/9780748654871")</f>
        <v>https://doi.org/10.1515/9780748654871</v>
      </c>
      <c r="AH170" t="str">
        <f>HYPERLINK("http://www.degruyter.com/isbn/9780748654871")</f>
        <v>http://www.degruyter.com/isbn/9780748654871</v>
      </c>
      <c r="AI170" t="s">
        <v>68</v>
      </c>
      <c r="AL170" t="s">
        <v>62</v>
      </c>
      <c r="AM170">
        <v>1</v>
      </c>
      <c r="AN170" s="2">
        <v>9780748650712</v>
      </c>
    </row>
    <row r="171" spans="1:40" x14ac:dyDescent="0.3">
      <c r="A171" t="s">
        <v>989</v>
      </c>
      <c r="B171" t="s">
        <v>1</v>
      </c>
      <c r="C171" t="s">
        <v>990</v>
      </c>
      <c r="D171" t="s">
        <v>991</v>
      </c>
      <c r="E171" t="s">
        <v>992</v>
      </c>
      <c r="F171" t="s">
        <v>5</v>
      </c>
      <c r="G171" t="s">
        <v>6</v>
      </c>
      <c r="L171" t="s">
        <v>7</v>
      </c>
      <c r="M171">
        <v>2020</v>
      </c>
      <c r="N171" s="1">
        <v>44644</v>
      </c>
      <c r="O171" t="s">
        <v>993</v>
      </c>
      <c r="P171">
        <v>1</v>
      </c>
      <c r="S171">
        <v>253.95</v>
      </c>
      <c r="T171">
        <v>290</v>
      </c>
      <c r="U171">
        <v>220</v>
      </c>
      <c r="V171" t="s">
        <v>79</v>
      </c>
      <c r="W171" t="s">
        <v>783</v>
      </c>
      <c r="X171" t="s">
        <v>783</v>
      </c>
      <c r="Y171" t="s">
        <v>784</v>
      </c>
      <c r="AF171" t="s">
        <v>13</v>
      </c>
      <c r="AG171" t="str">
        <f>HYPERLINK("https://doi.org/10.1515/9781474451352")</f>
        <v>https://doi.org/10.1515/9781474451352</v>
      </c>
      <c r="AH171" t="str">
        <f>HYPERLINK("http://www.degruyter.com/isbn/9781474451352")</f>
        <v>http://www.degruyter.com/isbn/9781474451352</v>
      </c>
      <c r="AI171" t="s">
        <v>14</v>
      </c>
      <c r="AL171" t="s">
        <v>83</v>
      </c>
      <c r="AM171">
        <v>1</v>
      </c>
      <c r="AN171" s="2">
        <v>9781474451321</v>
      </c>
    </row>
    <row r="172" spans="1:40" x14ac:dyDescent="0.3">
      <c r="A172" t="s">
        <v>994</v>
      </c>
      <c r="B172" t="s">
        <v>1</v>
      </c>
      <c r="C172" t="s">
        <v>995</v>
      </c>
      <c r="D172" t="s">
        <v>996</v>
      </c>
      <c r="E172" t="s">
        <v>997</v>
      </c>
      <c r="F172" t="s">
        <v>5</v>
      </c>
      <c r="G172" t="s">
        <v>6</v>
      </c>
      <c r="L172" t="s">
        <v>7</v>
      </c>
      <c r="M172">
        <v>2015</v>
      </c>
      <c r="N172" s="1">
        <v>42171</v>
      </c>
      <c r="O172" t="s">
        <v>998</v>
      </c>
      <c r="P172">
        <v>1</v>
      </c>
      <c r="S172">
        <v>217.95</v>
      </c>
      <c r="T172">
        <v>250</v>
      </c>
      <c r="U172">
        <v>190</v>
      </c>
      <c r="V172" t="s">
        <v>20</v>
      </c>
      <c r="W172" t="s">
        <v>21</v>
      </c>
      <c r="X172" t="s">
        <v>22</v>
      </c>
      <c r="Y172" t="s">
        <v>489</v>
      </c>
      <c r="AF172" t="s">
        <v>13</v>
      </c>
      <c r="AG172" t="str">
        <f>HYPERLINK("https://doi.org/10.1515/9780748699964?locatt=mode:legacy")</f>
        <v>https://doi.org/10.1515/9780748699964?locatt=mode:legacy</v>
      </c>
      <c r="AH172" t="str">
        <f>HYPERLINK("http://www.degruyter.com/isbn/9780748699964")</f>
        <v>http://www.degruyter.com/isbn/9780748699964</v>
      </c>
      <c r="AI172" t="s">
        <v>34</v>
      </c>
      <c r="AL172" t="s">
        <v>15</v>
      </c>
      <c r="AM172">
        <v>1</v>
      </c>
      <c r="AN172" s="2">
        <v>9780748696574</v>
      </c>
    </row>
    <row r="173" spans="1:40" x14ac:dyDescent="0.3">
      <c r="A173" t="s">
        <v>999</v>
      </c>
      <c r="B173" t="s">
        <v>1</v>
      </c>
      <c r="C173" t="s">
        <v>1000</v>
      </c>
      <c r="E173" t="s">
        <v>1001</v>
      </c>
      <c r="F173" t="s">
        <v>5</v>
      </c>
      <c r="G173" t="s">
        <v>6</v>
      </c>
      <c r="L173" t="s">
        <v>7</v>
      </c>
      <c r="M173">
        <v>2011</v>
      </c>
      <c r="N173" s="1">
        <v>44622</v>
      </c>
      <c r="O173" t="s">
        <v>1002</v>
      </c>
      <c r="P173">
        <v>1</v>
      </c>
      <c r="S173">
        <v>217.95</v>
      </c>
      <c r="T173">
        <v>250</v>
      </c>
      <c r="U173">
        <v>190</v>
      </c>
      <c r="V173" t="s">
        <v>268</v>
      </c>
      <c r="W173" t="s">
        <v>269</v>
      </c>
      <c r="X173" t="s">
        <v>269</v>
      </c>
      <c r="Y173" t="s">
        <v>411</v>
      </c>
      <c r="AF173" t="s">
        <v>13</v>
      </c>
      <c r="AG173" t="str">
        <f>HYPERLINK("https://doi.org/10.1515/9780748699353?locatt=mode:legacy")</f>
        <v>https://doi.org/10.1515/9780748699353?locatt=mode:legacy</v>
      </c>
      <c r="AH173" t="str">
        <f>HYPERLINK("http://www.degruyter.com/isbn/9780748699353")</f>
        <v>http://www.degruyter.com/isbn/9780748699353</v>
      </c>
      <c r="AI173" t="s">
        <v>1003</v>
      </c>
      <c r="AL173" t="s">
        <v>272</v>
      </c>
      <c r="AM173">
        <v>1</v>
      </c>
      <c r="AN173" s="2">
        <v>9781845861223</v>
      </c>
    </row>
    <row r="174" spans="1:40" x14ac:dyDescent="0.3">
      <c r="A174" t="s">
        <v>1004</v>
      </c>
      <c r="B174" t="s">
        <v>1</v>
      </c>
      <c r="C174" t="s">
        <v>1005</v>
      </c>
      <c r="D174" t="s">
        <v>1006</v>
      </c>
      <c r="E174" t="s">
        <v>1007</v>
      </c>
      <c r="F174" t="s">
        <v>5</v>
      </c>
      <c r="G174" t="s">
        <v>6</v>
      </c>
      <c r="L174" t="s">
        <v>7</v>
      </c>
      <c r="M174">
        <v>2019</v>
      </c>
      <c r="N174" s="1">
        <v>44644</v>
      </c>
      <c r="O174" t="s">
        <v>1008</v>
      </c>
      <c r="P174">
        <v>1</v>
      </c>
      <c r="S174">
        <v>253.95</v>
      </c>
      <c r="T174">
        <v>290</v>
      </c>
      <c r="U174">
        <v>220</v>
      </c>
      <c r="V174" t="s">
        <v>58</v>
      </c>
      <c r="W174" t="s">
        <v>59</v>
      </c>
      <c r="X174" t="s">
        <v>60</v>
      </c>
      <c r="Y174" t="s">
        <v>73</v>
      </c>
      <c r="AF174" t="s">
        <v>13</v>
      </c>
      <c r="AG174" t="str">
        <f>HYPERLINK("https://doi.org/10.1515/9781474442985")</f>
        <v>https://doi.org/10.1515/9781474442985</v>
      </c>
      <c r="AH174" t="str">
        <f>HYPERLINK("http://www.degruyter.com/isbn/9781474442985")</f>
        <v>http://www.degruyter.com/isbn/9781474442985</v>
      </c>
      <c r="AI174" t="s">
        <v>280</v>
      </c>
      <c r="AL174" t="s">
        <v>62</v>
      </c>
      <c r="AM174">
        <v>1</v>
      </c>
      <c r="AN174" s="2">
        <v>9781474442961</v>
      </c>
    </row>
    <row r="175" spans="1:40" x14ac:dyDescent="0.3">
      <c r="A175" t="s">
        <v>1009</v>
      </c>
      <c r="B175" t="s">
        <v>1</v>
      </c>
      <c r="C175" t="s">
        <v>1010</v>
      </c>
      <c r="D175" t="s">
        <v>1011</v>
      </c>
      <c r="E175" t="s">
        <v>1012</v>
      </c>
      <c r="F175" t="s">
        <v>5</v>
      </c>
      <c r="G175" t="s">
        <v>6</v>
      </c>
      <c r="L175" t="s">
        <v>7</v>
      </c>
      <c r="M175">
        <v>2016</v>
      </c>
      <c r="N175" s="1">
        <v>42402</v>
      </c>
      <c r="O175" t="s">
        <v>1013</v>
      </c>
      <c r="P175">
        <v>1</v>
      </c>
      <c r="S175">
        <v>217.95</v>
      </c>
      <c r="T175">
        <v>250</v>
      </c>
      <c r="U175">
        <v>190</v>
      </c>
      <c r="V175" t="s">
        <v>42</v>
      </c>
      <c r="W175" t="s">
        <v>116</v>
      </c>
      <c r="X175" t="s">
        <v>116</v>
      </c>
      <c r="Y175" t="s">
        <v>117</v>
      </c>
      <c r="AF175" t="s">
        <v>13</v>
      </c>
      <c r="AG175" t="str">
        <f>HYPERLINK("https://doi.org/10.1515/9781474470490")</f>
        <v>https://doi.org/10.1515/9781474470490</v>
      </c>
      <c r="AH175" t="str">
        <f>HYPERLINK("http://www.degruyter.com/isbn/9781474470490")</f>
        <v>http://www.degruyter.com/isbn/9781474470490</v>
      </c>
      <c r="AI175" t="s">
        <v>180</v>
      </c>
      <c r="AL175" t="s">
        <v>47</v>
      </c>
      <c r="AM175">
        <v>1</v>
      </c>
      <c r="AN175" s="2">
        <v>9781474411363</v>
      </c>
    </row>
    <row r="176" spans="1:40" x14ac:dyDescent="0.3">
      <c r="A176" t="s">
        <v>1014</v>
      </c>
      <c r="B176" t="s">
        <v>1</v>
      </c>
      <c r="C176" t="s">
        <v>1015</v>
      </c>
      <c r="E176" t="s">
        <v>1016</v>
      </c>
      <c r="F176" t="s">
        <v>5</v>
      </c>
      <c r="G176" t="s">
        <v>6</v>
      </c>
      <c r="L176" t="s">
        <v>7</v>
      </c>
      <c r="M176">
        <v>2012</v>
      </c>
      <c r="N176" s="1">
        <v>41205</v>
      </c>
      <c r="O176" t="s">
        <v>1017</v>
      </c>
      <c r="P176">
        <v>1</v>
      </c>
      <c r="S176">
        <v>331.95</v>
      </c>
      <c r="T176">
        <v>380</v>
      </c>
      <c r="U176">
        <v>290</v>
      </c>
      <c r="V176" t="s">
        <v>20</v>
      </c>
      <c r="W176" t="s">
        <v>1018</v>
      </c>
      <c r="X176" t="s">
        <v>1018</v>
      </c>
      <c r="Y176" t="s">
        <v>1019</v>
      </c>
      <c r="AF176" t="s">
        <v>13</v>
      </c>
      <c r="AG176" t="str">
        <f>HYPERLINK("https://doi.org/10.1515/9780748653669")</f>
        <v>https://doi.org/10.1515/9780748653669</v>
      </c>
      <c r="AH176" t="str">
        <f>HYPERLINK("http://www.degruyter.com/isbn/9780748653669")</f>
        <v>http://www.degruyter.com/isbn/9780748653669</v>
      </c>
      <c r="AI176" t="s">
        <v>68</v>
      </c>
      <c r="AL176" t="s">
        <v>15</v>
      </c>
      <c r="AM176">
        <v>1</v>
      </c>
      <c r="AN176" s="2">
        <v>9780748640751</v>
      </c>
    </row>
    <row r="177" spans="1:40" x14ac:dyDescent="0.3">
      <c r="A177" t="s">
        <v>1020</v>
      </c>
      <c r="B177" t="s">
        <v>1</v>
      </c>
      <c r="C177" t="s">
        <v>1021</v>
      </c>
      <c r="E177" t="s">
        <v>1022</v>
      </c>
      <c r="F177" t="s">
        <v>5</v>
      </c>
      <c r="G177" t="s">
        <v>6</v>
      </c>
      <c r="L177" t="s">
        <v>7</v>
      </c>
      <c r="M177">
        <v>1998</v>
      </c>
      <c r="N177" s="1">
        <v>44693</v>
      </c>
      <c r="O177" t="s">
        <v>1023</v>
      </c>
      <c r="P177">
        <v>1</v>
      </c>
      <c r="S177">
        <v>217.95</v>
      </c>
      <c r="T177">
        <v>250</v>
      </c>
      <c r="U177">
        <v>190</v>
      </c>
      <c r="V177" t="s">
        <v>79</v>
      </c>
      <c r="W177" t="s">
        <v>227</v>
      </c>
      <c r="X177" t="s">
        <v>234</v>
      </c>
      <c r="Y177" t="s">
        <v>355</v>
      </c>
      <c r="AF177" t="s">
        <v>13</v>
      </c>
      <c r="AG177" t="str">
        <f>HYPERLINK("https://doi.org/10.1515/9780585069821")</f>
        <v>https://doi.org/10.1515/9780585069821</v>
      </c>
      <c r="AH177" t="str">
        <f>HYPERLINK("http://www.degruyter.com/isbn/9780585069821")</f>
        <v>http://www.degruyter.com/isbn/9780585069821</v>
      </c>
      <c r="AI177" t="s">
        <v>24</v>
      </c>
      <c r="AL177" t="s">
        <v>83</v>
      </c>
      <c r="AM177">
        <v>1</v>
      </c>
      <c r="AN177" s="2">
        <v>9780748610594</v>
      </c>
    </row>
    <row r="178" spans="1:40" x14ac:dyDescent="0.3">
      <c r="A178" t="s">
        <v>1024</v>
      </c>
      <c r="B178" t="s">
        <v>1</v>
      </c>
      <c r="C178" t="s">
        <v>1025</v>
      </c>
      <c r="D178" t="s">
        <v>1026</v>
      </c>
      <c r="E178" t="s">
        <v>1027</v>
      </c>
      <c r="F178" t="s">
        <v>5</v>
      </c>
      <c r="G178" t="s">
        <v>6</v>
      </c>
      <c r="L178" t="s">
        <v>7</v>
      </c>
      <c r="M178">
        <v>2020</v>
      </c>
      <c r="N178" s="1">
        <v>44656</v>
      </c>
      <c r="O178" t="s">
        <v>1028</v>
      </c>
      <c r="P178">
        <v>1</v>
      </c>
      <c r="S178">
        <v>217.95</v>
      </c>
      <c r="T178">
        <v>250</v>
      </c>
      <c r="U178">
        <v>190</v>
      </c>
      <c r="V178" t="s">
        <v>58</v>
      </c>
      <c r="W178" t="s">
        <v>59</v>
      </c>
      <c r="X178" t="s">
        <v>60</v>
      </c>
      <c r="Y178" t="s">
        <v>1029</v>
      </c>
      <c r="AF178" t="s">
        <v>13</v>
      </c>
      <c r="AG178" t="str">
        <f>HYPERLINK("https://doi.org/10.1515/9781474454261")</f>
        <v>https://doi.org/10.1515/9781474454261</v>
      </c>
      <c r="AH178" t="str">
        <f>HYPERLINK("http://www.degruyter.com/isbn/9781474454261")</f>
        <v>http://www.degruyter.com/isbn/9781474454261</v>
      </c>
      <c r="AI178" t="s">
        <v>14</v>
      </c>
      <c r="AL178" t="s">
        <v>62</v>
      </c>
      <c r="AM178">
        <v>1</v>
      </c>
      <c r="AN178" s="2">
        <v>9781474454230</v>
      </c>
    </row>
    <row r="179" spans="1:40" x14ac:dyDescent="0.3">
      <c r="A179" t="s">
        <v>1030</v>
      </c>
      <c r="B179" t="s">
        <v>1</v>
      </c>
      <c r="C179" t="s">
        <v>1031</v>
      </c>
      <c r="D179" t="s">
        <v>1032</v>
      </c>
      <c r="E179" t="s">
        <v>1033</v>
      </c>
      <c r="F179" t="s">
        <v>5</v>
      </c>
      <c r="G179" t="s">
        <v>6</v>
      </c>
      <c r="L179" t="s">
        <v>7</v>
      </c>
      <c r="M179">
        <v>2007</v>
      </c>
      <c r="N179" s="1">
        <v>39118</v>
      </c>
      <c r="O179" t="s">
        <v>1034</v>
      </c>
      <c r="P179">
        <v>1</v>
      </c>
      <c r="S179">
        <v>105.95</v>
      </c>
      <c r="T179">
        <v>120</v>
      </c>
      <c r="U179">
        <v>90</v>
      </c>
      <c r="V179" t="s">
        <v>329</v>
      </c>
      <c r="W179" t="s">
        <v>330</v>
      </c>
      <c r="X179" t="s">
        <v>331</v>
      </c>
      <c r="Y179" t="s">
        <v>1035</v>
      </c>
      <c r="AF179" t="s">
        <v>13</v>
      </c>
      <c r="AG179" t="str">
        <f>HYPERLINK("https://doi.org/10.1515/9780748629008?locatt=mode:legacy")</f>
        <v>https://doi.org/10.1515/9780748629008?locatt=mode:legacy</v>
      </c>
      <c r="AH179" t="str">
        <f>HYPERLINK("http://www.degruyter.com/isbn/9780748629008")</f>
        <v>http://www.degruyter.com/isbn/9780748629008</v>
      </c>
      <c r="AI179" t="s">
        <v>68</v>
      </c>
      <c r="AL179" t="s">
        <v>333</v>
      </c>
      <c r="AM179">
        <v>1</v>
      </c>
      <c r="AN179" s="2">
        <v>9780748619368</v>
      </c>
    </row>
    <row r="180" spans="1:40" x14ac:dyDescent="0.3">
      <c r="A180" t="s">
        <v>1036</v>
      </c>
      <c r="B180" t="s">
        <v>1</v>
      </c>
      <c r="C180" t="s">
        <v>1037</v>
      </c>
      <c r="D180" t="s">
        <v>1038</v>
      </c>
      <c r="E180" t="s">
        <v>1039</v>
      </c>
      <c r="F180" t="s">
        <v>5</v>
      </c>
      <c r="G180" t="s">
        <v>6</v>
      </c>
      <c r="L180" t="s">
        <v>7</v>
      </c>
      <c r="M180">
        <v>2019</v>
      </c>
      <c r="N180" s="1">
        <v>44644</v>
      </c>
      <c r="O180" t="s">
        <v>1040</v>
      </c>
      <c r="P180">
        <v>1</v>
      </c>
      <c r="S180">
        <v>217.95</v>
      </c>
      <c r="T180">
        <v>250</v>
      </c>
      <c r="U180">
        <v>190</v>
      </c>
      <c r="V180" t="s">
        <v>42</v>
      </c>
      <c r="W180" t="s">
        <v>43</v>
      </c>
      <c r="X180" t="s">
        <v>44</v>
      </c>
      <c r="Y180" t="s">
        <v>45</v>
      </c>
      <c r="AF180" t="s">
        <v>13</v>
      </c>
      <c r="AG180" t="str">
        <f>HYPERLINK("https://doi.org/10.1515/9781474429269?locatt=mode:legacy")</f>
        <v>https://doi.org/10.1515/9781474429269?locatt=mode:legacy</v>
      </c>
      <c r="AH180" t="str">
        <f>HYPERLINK("http://www.degruyter.com/isbn/9781474429269")</f>
        <v>http://www.degruyter.com/isbn/9781474429269</v>
      </c>
      <c r="AI180" t="s">
        <v>280</v>
      </c>
      <c r="AL180" t="s">
        <v>47</v>
      </c>
      <c r="AM180">
        <v>1</v>
      </c>
      <c r="AN180" s="2">
        <v>9781474429245</v>
      </c>
    </row>
    <row r="181" spans="1:40" x14ac:dyDescent="0.3">
      <c r="A181" t="s">
        <v>1041</v>
      </c>
      <c r="B181" t="s">
        <v>1</v>
      </c>
      <c r="C181" t="s">
        <v>1042</v>
      </c>
      <c r="E181" t="s">
        <v>1043</v>
      </c>
      <c r="F181" t="s">
        <v>5</v>
      </c>
      <c r="G181" t="s">
        <v>6</v>
      </c>
      <c r="L181" t="s">
        <v>7</v>
      </c>
      <c r="M181">
        <v>2021</v>
      </c>
      <c r="N181" s="1">
        <v>44622</v>
      </c>
      <c r="O181" t="s">
        <v>1044</v>
      </c>
      <c r="P181">
        <v>1</v>
      </c>
      <c r="S181">
        <v>227.95</v>
      </c>
      <c r="T181">
        <v>260</v>
      </c>
      <c r="U181">
        <v>200</v>
      </c>
      <c r="V181" t="s">
        <v>268</v>
      </c>
      <c r="W181" t="s">
        <v>269</v>
      </c>
      <c r="X181" t="s">
        <v>269</v>
      </c>
      <c r="Y181" t="s">
        <v>1045</v>
      </c>
      <c r="AF181" t="s">
        <v>13</v>
      </c>
      <c r="AG181" t="str">
        <f>HYPERLINK("https://doi.org/10.1515/9781474482707")</f>
        <v>https://doi.org/10.1515/9781474482707</v>
      </c>
      <c r="AH181" t="str">
        <f>HYPERLINK("http://www.degruyter.com/isbn/9781474482707")</f>
        <v>http://www.degruyter.com/isbn/9781474482707</v>
      </c>
      <c r="AI181" t="s">
        <v>1046</v>
      </c>
      <c r="AL181" t="s">
        <v>272</v>
      </c>
      <c r="AM181">
        <v>1</v>
      </c>
      <c r="AN181" s="2">
        <v>9781474482165</v>
      </c>
    </row>
    <row r="182" spans="1:40" x14ac:dyDescent="0.3">
      <c r="A182" t="s">
        <v>1047</v>
      </c>
      <c r="B182" t="s">
        <v>1</v>
      </c>
      <c r="C182" t="s">
        <v>1048</v>
      </c>
      <c r="D182" t="s">
        <v>1049</v>
      </c>
      <c r="E182" t="s">
        <v>1050</v>
      </c>
      <c r="F182" t="s">
        <v>5</v>
      </c>
      <c r="G182" t="s">
        <v>6</v>
      </c>
      <c r="L182" t="s">
        <v>7</v>
      </c>
      <c r="M182">
        <v>2012</v>
      </c>
      <c r="N182" s="1">
        <v>41116</v>
      </c>
      <c r="O182" t="s">
        <v>1051</v>
      </c>
      <c r="P182">
        <v>1</v>
      </c>
      <c r="S182">
        <v>253.95</v>
      </c>
      <c r="T182">
        <v>290</v>
      </c>
      <c r="U182">
        <v>220</v>
      </c>
      <c r="V182" t="s">
        <v>89</v>
      </c>
      <c r="W182" t="s">
        <v>90</v>
      </c>
      <c r="X182" t="s">
        <v>91</v>
      </c>
      <c r="Y182" t="s">
        <v>717</v>
      </c>
      <c r="AF182" t="s">
        <v>13</v>
      </c>
      <c r="AG182" t="str">
        <f>HYPERLINK("https://doi.org/10.1515/9780748631131")</f>
        <v>https://doi.org/10.1515/9780748631131</v>
      </c>
      <c r="AH182" t="str">
        <f>HYPERLINK("http://www.degruyter.com/isbn/9780748631131")</f>
        <v>http://www.degruyter.com/isbn/9780748631131</v>
      </c>
      <c r="AI182" t="s">
        <v>68</v>
      </c>
      <c r="AJ182" t="s">
        <v>35</v>
      </c>
      <c r="AL182" t="s">
        <v>718</v>
      </c>
      <c r="AM182">
        <v>1</v>
      </c>
      <c r="AN182" s="2">
        <v>9780748625703</v>
      </c>
    </row>
    <row r="183" spans="1:40" x14ac:dyDescent="0.3">
      <c r="A183" t="s">
        <v>1052</v>
      </c>
      <c r="B183" t="s">
        <v>1</v>
      </c>
      <c r="C183" t="s">
        <v>1053</v>
      </c>
      <c r="D183" t="s">
        <v>1054</v>
      </c>
      <c r="E183" t="s">
        <v>1055</v>
      </c>
      <c r="F183" t="s">
        <v>5</v>
      </c>
      <c r="G183" t="s">
        <v>6</v>
      </c>
      <c r="L183" t="s">
        <v>7</v>
      </c>
      <c r="M183">
        <v>2005</v>
      </c>
      <c r="N183" s="1">
        <v>44592</v>
      </c>
      <c r="O183" t="s">
        <v>1056</v>
      </c>
      <c r="P183">
        <v>1</v>
      </c>
      <c r="S183">
        <v>217.95</v>
      </c>
      <c r="T183">
        <v>250</v>
      </c>
      <c r="U183">
        <v>190</v>
      </c>
      <c r="V183" t="s">
        <v>42</v>
      </c>
      <c r="W183" t="s">
        <v>43</v>
      </c>
      <c r="X183" t="s">
        <v>44</v>
      </c>
      <c r="Y183" t="s">
        <v>45</v>
      </c>
      <c r="AF183" t="s">
        <v>13</v>
      </c>
      <c r="AG183" t="str">
        <f>HYPERLINK("https://doi.org/10.1515/9781474470131")</f>
        <v>https://doi.org/10.1515/9781474470131</v>
      </c>
      <c r="AH183" t="str">
        <f>HYPERLINK("http://www.degruyter.com/isbn/9781474470131")</f>
        <v>http://www.degruyter.com/isbn/9781474470131</v>
      </c>
      <c r="AI183" t="s">
        <v>68</v>
      </c>
      <c r="AL183" t="s">
        <v>47</v>
      </c>
      <c r="AM183">
        <v>1</v>
      </c>
      <c r="AN183" s="2">
        <v>9780748619030</v>
      </c>
    </row>
    <row r="184" spans="1:40" x14ac:dyDescent="0.3">
      <c r="A184" t="s">
        <v>1057</v>
      </c>
      <c r="B184" t="s">
        <v>1</v>
      </c>
      <c r="C184" t="s">
        <v>1058</v>
      </c>
      <c r="E184" t="s">
        <v>1059</v>
      </c>
      <c r="F184" t="s">
        <v>5</v>
      </c>
      <c r="G184" t="s">
        <v>6</v>
      </c>
      <c r="L184" t="s">
        <v>7</v>
      </c>
      <c r="M184">
        <v>2018</v>
      </c>
      <c r="N184" s="1">
        <v>44644</v>
      </c>
      <c r="O184" t="s">
        <v>1060</v>
      </c>
      <c r="P184">
        <v>1</v>
      </c>
      <c r="S184">
        <v>253.95</v>
      </c>
      <c r="T184">
        <v>290</v>
      </c>
      <c r="U184">
        <v>220</v>
      </c>
      <c r="V184" t="s">
        <v>42</v>
      </c>
      <c r="W184" t="s">
        <v>43</v>
      </c>
      <c r="X184" t="s">
        <v>1061</v>
      </c>
      <c r="Y184" t="s">
        <v>1062</v>
      </c>
      <c r="AF184" t="s">
        <v>13</v>
      </c>
      <c r="AG184" t="str">
        <f>HYPERLINK("https://doi.org/10.1515/9781474436298")</f>
        <v>https://doi.org/10.1515/9781474436298</v>
      </c>
      <c r="AH184" t="str">
        <f>HYPERLINK("http://www.degruyter.com/isbn/9781474436298")</f>
        <v>http://www.degruyter.com/isbn/9781474436298</v>
      </c>
      <c r="AI184" t="s">
        <v>46</v>
      </c>
      <c r="AL184" t="s">
        <v>47</v>
      </c>
      <c r="AM184">
        <v>1</v>
      </c>
      <c r="AN184" s="2">
        <v>9781474436274</v>
      </c>
    </row>
    <row r="185" spans="1:40" x14ac:dyDescent="0.3">
      <c r="A185" t="s">
        <v>1063</v>
      </c>
      <c r="B185" t="s">
        <v>1</v>
      </c>
      <c r="C185" t="s">
        <v>1064</v>
      </c>
      <c r="D185" t="s">
        <v>1065</v>
      </c>
      <c r="E185" t="s">
        <v>1066</v>
      </c>
      <c r="F185" t="s">
        <v>5</v>
      </c>
      <c r="G185" t="s">
        <v>6</v>
      </c>
      <c r="L185" t="s">
        <v>7</v>
      </c>
      <c r="M185">
        <v>2017</v>
      </c>
      <c r="N185" s="1">
        <v>43039</v>
      </c>
      <c r="O185" t="s">
        <v>1067</v>
      </c>
      <c r="P185">
        <v>1</v>
      </c>
      <c r="S185">
        <v>261.95</v>
      </c>
      <c r="T185">
        <v>300</v>
      </c>
      <c r="U185">
        <v>230</v>
      </c>
      <c r="V185" t="s">
        <v>847</v>
      </c>
      <c r="W185" t="s">
        <v>848</v>
      </c>
      <c r="X185" t="s">
        <v>1068</v>
      </c>
      <c r="Y185" t="s">
        <v>1069</v>
      </c>
      <c r="AF185" t="s">
        <v>13</v>
      </c>
      <c r="AG185" t="str">
        <f>HYPERLINK("https://doi.org/10.1515/9781474412797")</f>
        <v>https://doi.org/10.1515/9781474412797</v>
      </c>
      <c r="AH185" t="str">
        <f>HYPERLINK("http://www.degruyter.com/isbn/9781474412797")</f>
        <v>http://www.degruyter.com/isbn/9781474412797</v>
      </c>
      <c r="AI185" t="s">
        <v>222</v>
      </c>
      <c r="AL185" t="s">
        <v>1070</v>
      </c>
      <c r="AM185">
        <v>1</v>
      </c>
      <c r="AN185" s="2">
        <v>9781474412780</v>
      </c>
    </row>
    <row r="186" spans="1:40" x14ac:dyDescent="0.3">
      <c r="A186" t="s">
        <v>1071</v>
      </c>
      <c r="B186" t="s">
        <v>1</v>
      </c>
      <c r="C186" t="s">
        <v>1072</v>
      </c>
      <c r="D186" t="s">
        <v>1073</v>
      </c>
      <c r="E186" t="s">
        <v>1074</v>
      </c>
      <c r="F186" t="s">
        <v>5</v>
      </c>
      <c r="G186" t="s">
        <v>6</v>
      </c>
      <c r="L186" t="s">
        <v>7</v>
      </c>
      <c r="M186">
        <v>2016</v>
      </c>
      <c r="N186" s="1">
        <v>42690</v>
      </c>
      <c r="O186" t="s">
        <v>1075</v>
      </c>
      <c r="P186">
        <v>1</v>
      </c>
      <c r="S186">
        <v>217.95</v>
      </c>
      <c r="T186">
        <v>250</v>
      </c>
      <c r="U186">
        <v>190</v>
      </c>
      <c r="V186" t="s">
        <v>42</v>
      </c>
      <c r="W186" t="s">
        <v>116</v>
      </c>
      <c r="X186" t="s">
        <v>116</v>
      </c>
      <c r="Y186" t="s">
        <v>971</v>
      </c>
      <c r="AF186" t="s">
        <v>13</v>
      </c>
      <c r="AG186" t="str">
        <f>HYPERLINK("https://doi.org/10.1515/9781474414418")</f>
        <v>https://doi.org/10.1515/9781474414418</v>
      </c>
      <c r="AH186" t="str">
        <f>HYPERLINK("http://www.degruyter.com/isbn/9781474414418")</f>
        <v>http://www.degruyter.com/isbn/9781474414418</v>
      </c>
      <c r="AI186" t="s">
        <v>180</v>
      </c>
      <c r="AL186" t="s">
        <v>47</v>
      </c>
      <c r="AM186">
        <v>1</v>
      </c>
      <c r="AN186" s="2">
        <v>9781474414401</v>
      </c>
    </row>
    <row r="187" spans="1:40" x14ac:dyDescent="0.3">
      <c r="A187" t="s">
        <v>1076</v>
      </c>
      <c r="B187" t="s">
        <v>1</v>
      </c>
      <c r="C187" t="s">
        <v>1077</v>
      </c>
      <c r="E187" t="s">
        <v>1078</v>
      </c>
      <c r="F187" t="s">
        <v>5</v>
      </c>
      <c r="G187" t="s">
        <v>6</v>
      </c>
      <c r="L187" t="s">
        <v>7</v>
      </c>
      <c r="M187">
        <v>2008</v>
      </c>
      <c r="N187" s="1">
        <v>39563</v>
      </c>
      <c r="O187" t="s">
        <v>1079</v>
      </c>
      <c r="P187">
        <v>1</v>
      </c>
      <c r="S187">
        <v>217.95</v>
      </c>
      <c r="T187">
        <v>250</v>
      </c>
      <c r="U187">
        <v>190</v>
      </c>
      <c r="V187" t="s">
        <v>58</v>
      </c>
      <c r="W187" t="s">
        <v>59</v>
      </c>
      <c r="X187" t="s">
        <v>60</v>
      </c>
      <c r="Y187" t="s">
        <v>169</v>
      </c>
      <c r="AF187" t="s">
        <v>13</v>
      </c>
      <c r="AG187" t="str">
        <f>HYPERLINK("https://doi.org/10.1515/9780748631483?locatt=mode:legacy")</f>
        <v>https://doi.org/10.1515/9780748631483?locatt=mode:legacy</v>
      </c>
      <c r="AH187" t="str">
        <f>HYPERLINK("http://www.degruyter.com/isbn/9780748631483")</f>
        <v>http://www.degruyter.com/isbn/9780748631483</v>
      </c>
      <c r="AI187" t="s">
        <v>68</v>
      </c>
      <c r="AL187" t="s">
        <v>62</v>
      </c>
      <c r="AM187">
        <v>1</v>
      </c>
      <c r="AN187" s="2">
        <v>9780748627394</v>
      </c>
    </row>
    <row r="188" spans="1:40" x14ac:dyDescent="0.3">
      <c r="A188" t="s">
        <v>1080</v>
      </c>
      <c r="B188" t="s">
        <v>1</v>
      </c>
      <c r="C188" t="s">
        <v>1081</v>
      </c>
      <c r="D188" t="s">
        <v>1082</v>
      </c>
      <c r="E188" t="s">
        <v>1083</v>
      </c>
      <c r="F188" t="s">
        <v>5</v>
      </c>
      <c r="G188" t="s">
        <v>6</v>
      </c>
      <c r="L188" t="s">
        <v>7</v>
      </c>
      <c r="M188">
        <v>2006</v>
      </c>
      <c r="N188" s="1">
        <v>38862</v>
      </c>
      <c r="O188" t="s">
        <v>1084</v>
      </c>
      <c r="P188">
        <v>1</v>
      </c>
      <c r="S188">
        <v>305.95</v>
      </c>
      <c r="T188">
        <v>350</v>
      </c>
      <c r="U188">
        <v>270</v>
      </c>
      <c r="V188" t="s">
        <v>20</v>
      </c>
      <c r="W188" t="s">
        <v>21</v>
      </c>
      <c r="X188" t="s">
        <v>22</v>
      </c>
      <c r="Y188" t="s">
        <v>23</v>
      </c>
      <c r="AF188" t="s">
        <v>13</v>
      </c>
      <c r="AG188" t="str">
        <f>HYPERLINK("https://doi.org/10.1515/9780748628193")</f>
        <v>https://doi.org/10.1515/9780748628193</v>
      </c>
      <c r="AH188" t="str">
        <f>HYPERLINK("http://www.degruyter.com/isbn/9780748628193")</f>
        <v>http://www.degruyter.com/isbn/9780748628193</v>
      </c>
      <c r="AI188" t="s">
        <v>68</v>
      </c>
      <c r="AL188" t="s">
        <v>15</v>
      </c>
      <c r="AM188">
        <v>1</v>
      </c>
      <c r="AN188" s="2">
        <v>9780748611850</v>
      </c>
    </row>
    <row r="189" spans="1:40" x14ac:dyDescent="0.3">
      <c r="A189" t="s">
        <v>1085</v>
      </c>
      <c r="B189" t="s">
        <v>1</v>
      </c>
      <c r="C189" t="s">
        <v>1086</v>
      </c>
      <c r="D189" t="s">
        <v>1087</v>
      </c>
      <c r="E189" t="s">
        <v>1088</v>
      </c>
      <c r="F189" t="s">
        <v>5</v>
      </c>
      <c r="G189" t="s">
        <v>6</v>
      </c>
      <c r="L189" t="s">
        <v>7</v>
      </c>
      <c r="M189">
        <v>2020</v>
      </c>
      <c r="N189" s="1">
        <v>44644</v>
      </c>
      <c r="O189" t="s">
        <v>1089</v>
      </c>
      <c r="P189">
        <v>1</v>
      </c>
      <c r="S189">
        <v>217.95</v>
      </c>
      <c r="T189">
        <v>250</v>
      </c>
      <c r="U189">
        <v>190</v>
      </c>
      <c r="V189" t="s">
        <v>9</v>
      </c>
      <c r="W189" t="s">
        <v>10</v>
      </c>
      <c r="X189" t="s">
        <v>11</v>
      </c>
      <c r="Y189" t="s">
        <v>52</v>
      </c>
      <c r="AF189" t="s">
        <v>13</v>
      </c>
      <c r="AG189" t="str">
        <f>HYPERLINK("https://doi.org/10.1515/9781474477956")</f>
        <v>https://doi.org/10.1515/9781474477956</v>
      </c>
      <c r="AH189" t="str">
        <f>HYPERLINK("http://www.degruyter.com/isbn/9781474477956")</f>
        <v>http://www.degruyter.com/isbn/9781474477956</v>
      </c>
      <c r="AI189" t="s">
        <v>14</v>
      </c>
      <c r="AL189" t="s">
        <v>15</v>
      </c>
      <c r="AM189">
        <v>1</v>
      </c>
      <c r="AN189" s="2">
        <v>9781474477932</v>
      </c>
    </row>
    <row r="190" spans="1:40" x14ac:dyDescent="0.3">
      <c r="A190" t="s">
        <v>1090</v>
      </c>
      <c r="B190" t="s">
        <v>1</v>
      </c>
      <c r="C190" t="s">
        <v>1091</v>
      </c>
      <c r="D190" t="s">
        <v>1092</v>
      </c>
      <c r="E190" t="s">
        <v>1093</v>
      </c>
      <c r="F190" t="s">
        <v>5</v>
      </c>
      <c r="G190" t="s">
        <v>6</v>
      </c>
      <c r="L190" t="s">
        <v>7</v>
      </c>
      <c r="M190">
        <v>2012</v>
      </c>
      <c r="N190" s="1">
        <v>41131</v>
      </c>
      <c r="O190" t="s">
        <v>1094</v>
      </c>
      <c r="P190">
        <v>1</v>
      </c>
      <c r="S190">
        <v>217.95</v>
      </c>
      <c r="T190">
        <v>250</v>
      </c>
      <c r="U190">
        <v>190</v>
      </c>
      <c r="V190" t="s">
        <v>268</v>
      </c>
      <c r="W190" t="s">
        <v>269</v>
      </c>
      <c r="X190" t="s">
        <v>269</v>
      </c>
      <c r="Y190" t="s">
        <v>1095</v>
      </c>
      <c r="AF190" t="s">
        <v>13</v>
      </c>
      <c r="AG190" t="str">
        <f>HYPERLINK("https://doi.org/10.1515/9780748645787?locatt=mode:legacy")</f>
        <v>https://doi.org/10.1515/9780748645787?locatt=mode:legacy</v>
      </c>
      <c r="AH190" t="str">
        <f>HYPERLINK("http://www.degruyter.com/isbn/9780748645787")</f>
        <v>http://www.degruyter.com/isbn/9780748645787</v>
      </c>
      <c r="AI190" t="s">
        <v>444</v>
      </c>
      <c r="AL190" t="s">
        <v>272</v>
      </c>
      <c r="AM190">
        <v>1</v>
      </c>
      <c r="AN190" s="2">
        <v>9780748645770</v>
      </c>
    </row>
    <row r="191" spans="1:40" x14ac:dyDescent="0.3">
      <c r="A191" t="s">
        <v>1096</v>
      </c>
      <c r="B191" t="s">
        <v>1</v>
      </c>
      <c r="C191" t="s">
        <v>1097</v>
      </c>
      <c r="D191" t="s">
        <v>1098</v>
      </c>
      <c r="E191" t="s">
        <v>1099</v>
      </c>
      <c r="F191" t="s">
        <v>5</v>
      </c>
      <c r="G191" t="s">
        <v>6</v>
      </c>
      <c r="L191" t="s">
        <v>7</v>
      </c>
      <c r="M191">
        <v>2018</v>
      </c>
      <c r="N191" s="1">
        <v>44656</v>
      </c>
      <c r="O191" t="s">
        <v>1100</v>
      </c>
      <c r="P191">
        <v>1</v>
      </c>
      <c r="S191">
        <v>227.95</v>
      </c>
      <c r="T191">
        <v>260</v>
      </c>
      <c r="U191">
        <v>200</v>
      </c>
      <c r="V191" t="s">
        <v>42</v>
      </c>
      <c r="W191" t="s">
        <v>116</v>
      </c>
      <c r="X191" t="s">
        <v>116</v>
      </c>
      <c r="Y191" t="s">
        <v>117</v>
      </c>
      <c r="AF191" t="s">
        <v>13</v>
      </c>
      <c r="AG191" t="str">
        <f>HYPERLINK("https://doi.org/10.1515/9781474414616?locatt=mode:legacy")</f>
        <v>https://doi.org/10.1515/9781474414616?locatt=mode:legacy</v>
      </c>
      <c r="AH191" t="str">
        <f>HYPERLINK("http://www.degruyter.com/isbn/9781474414616")</f>
        <v>http://www.degruyter.com/isbn/9781474414616</v>
      </c>
      <c r="AI191" t="s">
        <v>46</v>
      </c>
      <c r="AL191" t="s">
        <v>47</v>
      </c>
      <c r="AM191">
        <v>1</v>
      </c>
      <c r="AN191" s="2">
        <v>9781474414609</v>
      </c>
    </row>
    <row r="192" spans="1:40" x14ac:dyDescent="0.3">
      <c r="A192" t="s">
        <v>1101</v>
      </c>
      <c r="B192" t="s">
        <v>1</v>
      </c>
      <c r="C192" t="s">
        <v>1102</v>
      </c>
      <c r="D192" t="s">
        <v>1103</v>
      </c>
      <c r="E192" t="s">
        <v>1104</v>
      </c>
      <c r="F192" t="s">
        <v>5</v>
      </c>
      <c r="G192" t="s">
        <v>6</v>
      </c>
      <c r="L192" t="s">
        <v>7</v>
      </c>
      <c r="M192">
        <v>2008</v>
      </c>
      <c r="N192" s="1">
        <v>39633</v>
      </c>
      <c r="O192" t="s">
        <v>1105</v>
      </c>
      <c r="P192">
        <v>1</v>
      </c>
      <c r="S192">
        <v>217.95</v>
      </c>
      <c r="T192">
        <v>250</v>
      </c>
      <c r="U192">
        <v>190</v>
      </c>
      <c r="V192" t="s">
        <v>42</v>
      </c>
      <c r="W192" t="s">
        <v>116</v>
      </c>
      <c r="X192" t="s">
        <v>116</v>
      </c>
      <c r="Y192" t="s">
        <v>117</v>
      </c>
      <c r="AF192" t="s">
        <v>13</v>
      </c>
      <c r="AG192" t="str">
        <f>HYPERLINK("https://doi.org/10.1515/9780748628520?locatt=mode:legacy")</f>
        <v>https://doi.org/10.1515/9780748628520?locatt=mode:legacy</v>
      </c>
      <c r="AH192" t="str">
        <f>HYPERLINK("http://www.degruyter.com/isbn/9780748628520")</f>
        <v>http://www.degruyter.com/isbn/9780748628520</v>
      </c>
      <c r="AI192" t="s">
        <v>68</v>
      </c>
      <c r="AL192" t="s">
        <v>47</v>
      </c>
      <c r="AM192">
        <v>1</v>
      </c>
      <c r="AN192" s="2">
        <v>9780748615636</v>
      </c>
    </row>
    <row r="193" spans="1:40" x14ac:dyDescent="0.3">
      <c r="A193" t="s">
        <v>1106</v>
      </c>
      <c r="B193" t="s">
        <v>1</v>
      </c>
      <c r="C193" t="s">
        <v>1107</v>
      </c>
      <c r="D193" t="s">
        <v>1108</v>
      </c>
      <c r="E193" t="s">
        <v>1109</v>
      </c>
      <c r="F193" t="s">
        <v>5</v>
      </c>
      <c r="G193" t="s">
        <v>6</v>
      </c>
      <c r="L193" t="s">
        <v>7</v>
      </c>
      <c r="M193">
        <v>2018</v>
      </c>
      <c r="N193" s="1">
        <v>44656</v>
      </c>
      <c r="O193" t="s">
        <v>1110</v>
      </c>
      <c r="P193">
        <v>1</v>
      </c>
      <c r="S193">
        <v>227.95</v>
      </c>
      <c r="T193">
        <v>260</v>
      </c>
      <c r="U193">
        <v>200</v>
      </c>
      <c r="V193" t="s">
        <v>98</v>
      </c>
      <c r="W193" t="s">
        <v>256</v>
      </c>
      <c r="X193" t="s">
        <v>257</v>
      </c>
      <c r="Y193" t="s">
        <v>258</v>
      </c>
      <c r="AF193" t="s">
        <v>13</v>
      </c>
      <c r="AG193" t="str">
        <f>HYPERLINK("https://doi.org/10.1515/9781474430128?locatt=mode:legacy")</f>
        <v>https://doi.org/10.1515/9781474430128?locatt=mode:legacy</v>
      </c>
      <c r="AH193" t="str">
        <f>HYPERLINK("http://www.degruyter.com/isbn/9781474430128")</f>
        <v>http://www.degruyter.com/isbn/9781474430128</v>
      </c>
      <c r="AI193" t="s">
        <v>46</v>
      </c>
      <c r="AL193" t="s">
        <v>102</v>
      </c>
      <c r="AM193">
        <v>1</v>
      </c>
      <c r="AN193" s="2">
        <v>9781474430104</v>
      </c>
    </row>
    <row r="194" spans="1:40" x14ac:dyDescent="0.3">
      <c r="A194" t="s">
        <v>1111</v>
      </c>
      <c r="B194" t="s">
        <v>1</v>
      </c>
      <c r="C194" t="s">
        <v>1112</v>
      </c>
      <c r="D194" t="s">
        <v>1113</v>
      </c>
      <c r="E194" t="s">
        <v>1114</v>
      </c>
      <c r="F194" t="s">
        <v>5</v>
      </c>
      <c r="G194" t="s">
        <v>6</v>
      </c>
      <c r="L194" t="s">
        <v>7</v>
      </c>
      <c r="M194">
        <v>2019</v>
      </c>
      <c r="N194" s="1">
        <v>44656</v>
      </c>
      <c r="O194" t="s">
        <v>1115</v>
      </c>
      <c r="P194">
        <v>1</v>
      </c>
      <c r="S194">
        <v>253.95</v>
      </c>
      <c r="T194">
        <v>290</v>
      </c>
      <c r="U194">
        <v>220</v>
      </c>
      <c r="V194" t="s">
        <v>79</v>
      </c>
      <c r="W194" t="s">
        <v>123</v>
      </c>
      <c r="X194" t="s">
        <v>123</v>
      </c>
      <c r="Y194" t="s">
        <v>124</v>
      </c>
      <c r="AF194" t="s">
        <v>13</v>
      </c>
      <c r="AG194" t="str">
        <f>HYPERLINK("https://doi.org/10.1515/9781474449366")</f>
        <v>https://doi.org/10.1515/9781474449366</v>
      </c>
      <c r="AH194" t="str">
        <f>HYPERLINK("http://www.degruyter.com/isbn/9781474449366")</f>
        <v>http://www.degruyter.com/isbn/9781474449366</v>
      </c>
      <c r="AI194" t="s">
        <v>280</v>
      </c>
      <c r="AL194" t="s">
        <v>83</v>
      </c>
      <c r="AM194">
        <v>1</v>
      </c>
      <c r="AN194" s="2">
        <v>9781474449342</v>
      </c>
    </row>
    <row r="195" spans="1:40" x14ac:dyDescent="0.3">
      <c r="A195" t="s">
        <v>1116</v>
      </c>
      <c r="B195" t="s">
        <v>1</v>
      </c>
      <c r="C195" t="s">
        <v>1117</v>
      </c>
      <c r="E195" t="s">
        <v>1118</v>
      </c>
      <c r="F195" t="s">
        <v>5</v>
      </c>
      <c r="G195" t="s">
        <v>6</v>
      </c>
      <c r="L195" t="s">
        <v>7</v>
      </c>
      <c r="M195">
        <v>2000</v>
      </c>
      <c r="N195" s="1">
        <v>44607</v>
      </c>
      <c r="O195" t="s">
        <v>1119</v>
      </c>
      <c r="P195">
        <v>1</v>
      </c>
      <c r="S195">
        <v>217.95</v>
      </c>
      <c r="T195">
        <v>250</v>
      </c>
      <c r="U195">
        <v>190</v>
      </c>
      <c r="V195" t="s">
        <v>20</v>
      </c>
      <c r="W195" t="s">
        <v>21</v>
      </c>
      <c r="X195" t="s">
        <v>22</v>
      </c>
      <c r="Y195" t="s">
        <v>23</v>
      </c>
      <c r="AF195" t="s">
        <v>13</v>
      </c>
      <c r="AG195" t="str">
        <f>HYPERLINK("https://doi.org/10.1515/9781474470797")</f>
        <v>https://doi.org/10.1515/9781474470797</v>
      </c>
      <c r="AH195" t="str">
        <f>HYPERLINK("http://www.degruyter.com/isbn/9781474470797")</f>
        <v>http://www.degruyter.com/isbn/9781474470797</v>
      </c>
      <c r="AI195" t="s">
        <v>68</v>
      </c>
      <c r="AL195" t="s">
        <v>15</v>
      </c>
      <c r="AM195">
        <v>1</v>
      </c>
      <c r="AN195" s="2">
        <v>9781853312243</v>
      </c>
    </row>
    <row r="196" spans="1:40" x14ac:dyDescent="0.3">
      <c r="A196" t="s">
        <v>1120</v>
      </c>
      <c r="B196" t="s">
        <v>1</v>
      </c>
      <c r="C196" t="s">
        <v>1121</v>
      </c>
      <c r="D196" t="s">
        <v>1122</v>
      </c>
      <c r="E196" t="s">
        <v>1123</v>
      </c>
      <c r="F196" t="s">
        <v>5</v>
      </c>
      <c r="G196" t="s">
        <v>6</v>
      </c>
      <c r="L196" t="s">
        <v>7</v>
      </c>
      <c r="M196">
        <v>2015</v>
      </c>
      <c r="N196" s="1">
        <v>42178</v>
      </c>
      <c r="O196" t="s">
        <v>1124</v>
      </c>
      <c r="P196">
        <v>1</v>
      </c>
      <c r="S196">
        <v>217.95</v>
      </c>
      <c r="T196">
        <v>250</v>
      </c>
      <c r="U196">
        <v>190</v>
      </c>
      <c r="V196" t="s">
        <v>42</v>
      </c>
      <c r="W196" t="s">
        <v>116</v>
      </c>
      <c r="X196" t="s">
        <v>116</v>
      </c>
      <c r="Y196" t="s">
        <v>117</v>
      </c>
      <c r="AF196" t="s">
        <v>13</v>
      </c>
      <c r="AG196" t="str">
        <f>HYPERLINK("https://doi.org/10.1515/9781474400206")</f>
        <v>https://doi.org/10.1515/9781474400206</v>
      </c>
      <c r="AH196" t="str">
        <f>HYPERLINK("http://www.degruyter.com/isbn/9781474400206")</f>
        <v>http://www.degruyter.com/isbn/9781474400206</v>
      </c>
      <c r="AI196" t="s">
        <v>34</v>
      </c>
      <c r="AL196" t="s">
        <v>47</v>
      </c>
      <c r="AM196">
        <v>1</v>
      </c>
      <c r="AN196" s="2">
        <v>9781474400190</v>
      </c>
    </row>
    <row r="197" spans="1:40" x14ac:dyDescent="0.3">
      <c r="A197" t="s">
        <v>1125</v>
      </c>
      <c r="B197" t="s">
        <v>1</v>
      </c>
      <c r="C197" t="s">
        <v>1126</v>
      </c>
      <c r="E197" t="s">
        <v>1127</v>
      </c>
      <c r="F197" t="s">
        <v>5</v>
      </c>
      <c r="G197" t="s">
        <v>6</v>
      </c>
      <c r="L197" t="s">
        <v>7</v>
      </c>
      <c r="M197">
        <v>2015</v>
      </c>
      <c r="N197" s="1">
        <v>42115</v>
      </c>
      <c r="O197" t="s">
        <v>1128</v>
      </c>
      <c r="P197">
        <v>1</v>
      </c>
      <c r="S197">
        <v>102.95</v>
      </c>
      <c r="T197">
        <v>116</v>
      </c>
      <c r="U197">
        <v>86</v>
      </c>
      <c r="V197" t="s">
        <v>42</v>
      </c>
      <c r="W197" t="s">
        <v>116</v>
      </c>
      <c r="X197" t="s">
        <v>116</v>
      </c>
      <c r="Y197" t="s">
        <v>1129</v>
      </c>
      <c r="AF197" t="s">
        <v>13</v>
      </c>
      <c r="AG197" t="str">
        <f>HYPERLINK("https://doi.org/10.1515/9781474400169")</f>
        <v>https://doi.org/10.1515/9781474400169</v>
      </c>
      <c r="AH197" t="str">
        <f>HYPERLINK("http://www.degruyter.com/isbn/9781474400169")</f>
        <v>http://www.degruyter.com/isbn/9781474400169</v>
      </c>
      <c r="AI197" t="s">
        <v>34</v>
      </c>
      <c r="AL197" t="s">
        <v>47</v>
      </c>
      <c r="AM197">
        <v>1</v>
      </c>
      <c r="AN197" s="2">
        <v>9781474400152</v>
      </c>
    </row>
    <row r="198" spans="1:40" x14ac:dyDescent="0.3">
      <c r="A198" t="s">
        <v>1130</v>
      </c>
      <c r="B198" t="s">
        <v>1</v>
      </c>
      <c r="C198" t="s">
        <v>1131</v>
      </c>
      <c r="D198" t="s">
        <v>1132</v>
      </c>
      <c r="E198" t="s">
        <v>1133</v>
      </c>
      <c r="F198" t="s">
        <v>5</v>
      </c>
      <c r="G198" t="s">
        <v>6</v>
      </c>
      <c r="L198" t="s">
        <v>7</v>
      </c>
      <c r="M198">
        <v>2015</v>
      </c>
      <c r="N198" s="1">
        <v>42320</v>
      </c>
      <c r="O198" t="s">
        <v>1134</v>
      </c>
      <c r="P198">
        <v>1</v>
      </c>
      <c r="S198">
        <v>217.95</v>
      </c>
      <c r="T198">
        <v>250</v>
      </c>
      <c r="U198">
        <v>190</v>
      </c>
      <c r="V198" t="s">
        <v>58</v>
      </c>
      <c r="W198" t="s">
        <v>1135</v>
      </c>
      <c r="X198" t="s">
        <v>1136</v>
      </c>
      <c r="Y198" t="s">
        <v>1137</v>
      </c>
      <c r="AF198" t="s">
        <v>13</v>
      </c>
      <c r="AG198" t="str">
        <f>HYPERLINK("https://doi.org/10.1515/9781474404594")</f>
        <v>https://doi.org/10.1515/9781474404594</v>
      </c>
      <c r="AH198" t="str">
        <f>HYPERLINK("http://www.degruyter.com/isbn/9781474404594")</f>
        <v>http://www.degruyter.com/isbn/9781474404594</v>
      </c>
      <c r="AI198" t="s">
        <v>34</v>
      </c>
      <c r="AL198" t="s">
        <v>62</v>
      </c>
      <c r="AM198">
        <v>1</v>
      </c>
      <c r="AN198" s="2">
        <v>9781474404587</v>
      </c>
    </row>
    <row r="199" spans="1:40" x14ac:dyDescent="0.3">
      <c r="A199" t="s">
        <v>1138</v>
      </c>
      <c r="B199" t="s">
        <v>1</v>
      </c>
      <c r="C199" t="s">
        <v>1139</v>
      </c>
      <c r="D199" t="s">
        <v>1140</v>
      </c>
      <c r="E199" t="s">
        <v>1141</v>
      </c>
      <c r="F199" t="s">
        <v>5</v>
      </c>
      <c r="G199" t="s">
        <v>6</v>
      </c>
      <c r="L199" t="s">
        <v>7</v>
      </c>
      <c r="M199">
        <v>2015</v>
      </c>
      <c r="N199" s="1">
        <v>42083</v>
      </c>
      <c r="O199" t="s">
        <v>1142</v>
      </c>
      <c r="P199">
        <v>1</v>
      </c>
      <c r="S199">
        <v>217.95</v>
      </c>
      <c r="T199">
        <v>250</v>
      </c>
      <c r="U199">
        <v>190</v>
      </c>
      <c r="V199" t="s">
        <v>20</v>
      </c>
      <c r="W199" t="s">
        <v>21</v>
      </c>
      <c r="X199" t="s">
        <v>22</v>
      </c>
      <c r="Y199" t="s">
        <v>1143</v>
      </c>
      <c r="AF199" t="s">
        <v>13</v>
      </c>
      <c r="AG199" t="str">
        <f>HYPERLINK("https://doi.org/10.1515/9780748696895")</f>
        <v>https://doi.org/10.1515/9780748696895</v>
      </c>
      <c r="AH199" t="str">
        <f>HYPERLINK("http://www.degruyter.com/isbn/9780748696895")</f>
        <v>http://www.degruyter.com/isbn/9780748696895</v>
      </c>
      <c r="AI199" t="s">
        <v>34</v>
      </c>
      <c r="AL199" t="s">
        <v>15</v>
      </c>
      <c r="AM199">
        <v>1</v>
      </c>
      <c r="AN199" s="2">
        <v>9780748696888</v>
      </c>
    </row>
    <row r="200" spans="1:40" x14ac:dyDescent="0.3">
      <c r="A200" t="s">
        <v>1144</v>
      </c>
      <c r="B200" t="s">
        <v>1</v>
      </c>
      <c r="C200" t="s">
        <v>1145</v>
      </c>
      <c r="D200" t="s">
        <v>1146</v>
      </c>
      <c r="E200" t="s">
        <v>1147</v>
      </c>
      <c r="F200" t="s">
        <v>5</v>
      </c>
      <c r="G200" t="s">
        <v>6</v>
      </c>
      <c r="L200" t="s">
        <v>7</v>
      </c>
      <c r="M200">
        <v>2007</v>
      </c>
      <c r="N200" s="1">
        <v>39160</v>
      </c>
      <c r="O200" t="s">
        <v>1148</v>
      </c>
      <c r="P200">
        <v>1</v>
      </c>
      <c r="S200">
        <v>295.95</v>
      </c>
      <c r="T200">
        <v>340</v>
      </c>
      <c r="U200">
        <v>260</v>
      </c>
      <c r="V200" t="s">
        <v>42</v>
      </c>
      <c r="W200" t="s">
        <v>107</v>
      </c>
      <c r="X200" t="s">
        <v>108</v>
      </c>
      <c r="Y200" t="s">
        <v>221</v>
      </c>
      <c r="AF200" t="s">
        <v>13</v>
      </c>
      <c r="AG200" t="str">
        <f>HYPERLINK("https://doi.org/10.1515/9781474470674")</f>
        <v>https://doi.org/10.1515/9781474470674</v>
      </c>
      <c r="AH200" t="str">
        <f>HYPERLINK("http://www.degruyter.com/isbn/9781474470674")</f>
        <v>http://www.degruyter.com/isbn/9781474470674</v>
      </c>
      <c r="AI200" t="s">
        <v>1149</v>
      </c>
      <c r="AL200" t="s">
        <v>47</v>
      </c>
      <c r="AM200">
        <v>1</v>
      </c>
      <c r="AN200" s="2">
        <v>9780748622863</v>
      </c>
    </row>
    <row r="201" spans="1:40" x14ac:dyDescent="0.3">
      <c r="A201" t="s">
        <v>1150</v>
      </c>
      <c r="B201" t="s">
        <v>1</v>
      </c>
      <c r="C201" t="s">
        <v>1151</v>
      </c>
      <c r="D201" t="s">
        <v>1152</v>
      </c>
      <c r="E201" t="s">
        <v>1153</v>
      </c>
      <c r="F201" t="s">
        <v>5</v>
      </c>
      <c r="G201" t="s">
        <v>6</v>
      </c>
      <c r="L201" t="s">
        <v>7</v>
      </c>
      <c r="M201">
        <v>2018</v>
      </c>
      <c r="N201" s="1">
        <v>44656</v>
      </c>
      <c r="O201" t="s">
        <v>1154</v>
      </c>
      <c r="P201">
        <v>1</v>
      </c>
      <c r="S201">
        <v>217.95</v>
      </c>
      <c r="T201">
        <v>250</v>
      </c>
      <c r="U201">
        <v>190</v>
      </c>
      <c r="V201" t="s">
        <v>1155</v>
      </c>
      <c r="W201" t="s">
        <v>1156</v>
      </c>
      <c r="X201" t="s">
        <v>1156</v>
      </c>
      <c r="Y201" t="s">
        <v>1157</v>
      </c>
      <c r="AF201" t="s">
        <v>13</v>
      </c>
      <c r="AG201" t="str">
        <f>HYPERLINK("https://doi.org/10.1515/9781474427906?locatt=mode:legacy")</f>
        <v>https://doi.org/10.1515/9781474427906?locatt=mode:legacy</v>
      </c>
      <c r="AH201" t="str">
        <f>HYPERLINK("http://www.degruyter.com/isbn/9781474427906")</f>
        <v>http://www.degruyter.com/isbn/9781474427906</v>
      </c>
      <c r="AI201" t="s">
        <v>46</v>
      </c>
      <c r="AL201" t="s">
        <v>498</v>
      </c>
      <c r="AM201">
        <v>1</v>
      </c>
      <c r="AN201" s="2">
        <v>9781474427883</v>
      </c>
    </row>
    <row r="202" spans="1:40" x14ac:dyDescent="0.3">
      <c r="A202" t="s">
        <v>1158</v>
      </c>
      <c r="B202" t="s">
        <v>1</v>
      </c>
      <c r="C202" t="s">
        <v>1159</v>
      </c>
      <c r="E202" t="s">
        <v>1160</v>
      </c>
      <c r="F202" t="s">
        <v>5</v>
      </c>
      <c r="G202" t="s">
        <v>6</v>
      </c>
      <c r="L202" t="s">
        <v>7</v>
      </c>
      <c r="M202">
        <v>2005</v>
      </c>
      <c r="N202" s="1">
        <v>38551</v>
      </c>
      <c r="O202" t="s">
        <v>1161</v>
      </c>
      <c r="P202">
        <v>1</v>
      </c>
      <c r="S202">
        <v>261.95</v>
      </c>
      <c r="T202">
        <v>300</v>
      </c>
      <c r="U202">
        <v>230</v>
      </c>
      <c r="V202" t="s">
        <v>20</v>
      </c>
      <c r="W202" t="s">
        <v>470</v>
      </c>
      <c r="X202" t="s">
        <v>471</v>
      </c>
      <c r="Y202" t="s">
        <v>472</v>
      </c>
      <c r="AF202" t="s">
        <v>13</v>
      </c>
      <c r="AG202" t="str">
        <f>HYPERLINK("https://doi.org/10.1515/9781474470155")</f>
        <v>https://doi.org/10.1515/9781474470155</v>
      </c>
      <c r="AH202" t="str">
        <f>HYPERLINK("http://www.degruyter.com/isbn/9781474470155")</f>
        <v>http://www.degruyter.com/isbn/9781474470155</v>
      </c>
      <c r="AI202" t="s">
        <v>68</v>
      </c>
      <c r="AL202" t="s">
        <v>15</v>
      </c>
      <c r="AM202">
        <v>1</v>
      </c>
      <c r="AN202" s="2">
        <v>9780748620838</v>
      </c>
    </row>
    <row r="203" spans="1:40" x14ac:dyDescent="0.3">
      <c r="A203" t="s">
        <v>1162</v>
      </c>
      <c r="B203" t="s">
        <v>1</v>
      </c>
      <c r="C203" t="s">
        <v>1163</v>
      </c>
      <c r="E203" t="s">
        <v>1164</v>
      </c>
      <c r="F203" t="s">
        <v>5</v>
      </c>
      <c r="G203" t="s">
        <v>6</v>
      </c>
      <c r="L203" t="s">
        <v>7</v>
      </c>
      <c r="M203">
        <v>2006</v>
      </c>
      <c r="N203" s="1">
        <v>38880</v>
      </c>
      <c r="O203" t="s">
        <v>1165</v>
      </c>
      <c r="P203">
        <v>1</v>
      </c>
      <c r="S203">
        <v>227.95</v>
      </c>
      <c r="T203">
        <v>260</v>
      </c>
      <c r="U203">
        <v>200</v>
      </c>
      <c r="V203" t="s">
        <v>79</v>
      </c>
      <c r="W203" t="s">
        <v>209</v>
      </c>
      <c r="X203" t="s">
        <v>209</v>
      </c>
      <c r="Y203" t="s">
        <v>510</v>
      </c>
      <c r="AF203" t="s">
        <v>13</v>
      </c>
      <c r="AG203" t="str">
        <f>HYPERLINK("https://doi.org/10.1515/9780748627097")</f>
        <v>https://doi.org/10.1515/9780748627097</v>
      </c>
      <c r="AH203" t="str">
        <f>HYPERLINK("http://www.degruyter.com/isbn/9780748627097")</f>
        <v>http://www.degruyter.com/isbn/9780748627097</v>
      </c>
      <c r="AI203" t="s">
        <v>68</v>
      </c>
      <c r="AL203" t="s">
        <v>83</v>
      </c>
      <c r="AM203">
        <v>1</v>
      </c>
      <c r="AN203" s="2">
        <v>9780748624706</v>
      </c>
    </row>
    <row r="204" spans="1:40" x14ac:dyDescent="0.3">
      <c r="A204" t="s">
        <v>1166</v>
      </c>
      <c r="B204" t="s">
        <v>1</v>
      </c>
      <c r="C204" t="s">
        <v>1167</v>
      </c>
      <c r="D204" t="s">
        <v>1168</v>
      </c>
      <c r="E204" t="s">
        <v>1169</v>
      </c>
      <c r="F204" t="s">
        <v>5</v>
      </c>
      <c r="G204" t="s">
        <v>6</v>
      </c>
      <c r="L204" t="s">
        <v>7</v>
      </c>
      <c r="M204">
        <v>2021</v>
      </c>
      <c r="N204" s="1">
        <v>44644</v>
      </c>
      <c r="O204" t="s">
        <v>1170</v>
      </c>
      <c r="P204">
        <v>1</v>
      </c>
      <c r="S204">
        <v>217.95</v>
      </c>
      <c r="T204">
        <v>250</v>
      </c>
      <c r="U204">
        <v>190</v>
      </c>
      <c r="V204" t="s">
        <v>58</v>
      </c>
      <c r="W204" t="s">
        <v>59</v>
      </c>
      <c r="X204" t="s">
        <v>60</v>
      </c>
      <c r="Y204" t="s">
        <v>1171</v>
      </c>
      <c r="AF204" t="s">
        <v>13</v>
      </c>
      <c r="AG204" t="str">
        <f>HYPERLINK("https://doi.org/10.1515/9781474467148")</f>
        <v>https://doi.org/10.1515/9781474467148</v>
      </c>
      <c r="AH204" t="str">
        <f>HYPERLINK("http://www.degruyter.com/isbn/9781474467148")</f>
        <v>http://www.degruyter.com/isbn/9781474467148</v>
      </c>
      <c r="AI204" t="s">
        <v>478</v>
      </c>
      <c r="AL204" t="s">
        <v>62</v>
      </c>
      <c r="AM204">
        <v>1</v>
      </c>
      <c r="AN204" s="2">
        <v>9781474467117</v>
      </c>
    </row>
    <row r="205" spans="1:40" x14ac:dyDescent="0.3">
      <c r="A205" t="s">
        <v>1172</v>
      </c>
      <c r="B205" t="s">
        <v>1</v>
      </c>
      <c r="C205" t="s">
        <v>1173</v>
      </c>
      <c r="D205" t="s">
        <v>1174</v>
      </c>
      <c r="E205" t="s">
        <v>1175</v>
      </c>
      <c r="F205" t="s">
        <v>5</v>
      </c>
      <c r="G205" t="s">
        <v>6</v>
      </c>
      <c r="L205" t="s">
        <v>7</v>
      </c>
      <c r="M205">
        <v>2005</v>
      </c>
      <c r="N205" s="1">
        <v>44607</v>
      </c>
      <c r="O205" t="s">
        <v>1176</v>
      </c>
      <c r="P205">
        <v>1</v>
      </c>
      <c r="S205">
        <v>217.95</v>
      </c>
      <c r="T205">
        <v>250</v>
      </c>
      <c r="U205">
        <v>190</v>
      </c>
      <c r="V205" t="s">
        <v>42</v>
      </c>
      <c r="W205" t="s">
        <v>107</v>
      </c>
      <c r="X205" t="s">
        <v>108</v>
      </c>
      <c r="Y205" t="s">
        <v>221</v>
      </c>
      <c r="AF205" t="s">
        <v>13</v>
      </c>
      <c r="AG205" t="str">
        <f>HYPERLINK("https://doi.org/10.1515/9781474497121")</f>
        <v>https://doi.org/10.1515/9781474497121</v>
      </c>
      <c r="AH205" t="str">
        <f>HYPERLINK("http://www.degruyter.com/isbn/9781474497121")</f>
        <v>http://www.degruyter.com/isbn/9781474497121</v>
      </c>
      <c r="AI205" t="s">
        <v>68</v>
      </c>
      <c r="AL205" t="s">
        <v>47</v>
      </c>
      <c r="AM205">
        <v>1</v>
      </c>
      <c r="AN205" s="2">
        <v>9780748623938</v>
      </c>
    </row>
    <row r="206" spans="1:40" x14ac:dyDescent="0.3">
      <c r="A206" t="s">
        <v>1177</v>
      </c>
      <c r="B206" t="s">
        <v>1</v>
      </c>
      <c r="C206" t="s">
        <v>1178</v>
      </c>
      <c r="D206" t="s">
        <v>1179</v>
      </c>
      <c r="E206" t="s">
        <v>1180</v>
      </c>
      <c r="F206" t="s">
        <v>5</v>
      </c>
      <c r="G206" t="s">
        <v>6</v>
      </c>
      <c r="L206" t="s">
        <v>7</v>
      </c>
      <c r="M206">
        <v>2003</v>
      </c>
      <c r="N206" s="1">
        <v>44592</v>
      </c>
      <c r="O206" t="s">
        <v>1181</v>
      </c>
      <c r="P206">
        <v>1</v>
      </c>
      <c r="S206">
        <v>217.95</v>
      </c>
      <c r="T206">
        <v>250</v>
      </c>
      <c r="U206">
        <v>190</v>
      </c>
      <c r="V206" t="s">
        <v>495</v>
      </c>
      <c r="W206" t="s">
        <v>496</v>
      </c>
      <c r="X206" t="s">
        <v>496</v>
      </c>
      <c r="Y206" t="s">
        <v>497</v>
      </c>
      <c r="AF206" t="s">
        <v>13</v>
      </c>
      <c r="AG206" t="str">
        <f>HYPERLINK("https://doi.org/10.1515/9781474464192")</f>
        <v>https://doi.org/10.1515/9781474464192</v>
      </c>
      <c r="AH206" t="str">
        <f>HYPERLINK("http://www.degruyter.com/isbn/9781474464192")</f>
        <v>http://www.degruyter.com/isbn/9781474464192</v>
      </c>
      <c r="AI206" t="s">
        <v>68</v>
      </c>
      <c r="AL206" t="s">
        <v>498</v>
      </c>
      <c r="AM206">
        <v>1</v>
      </c>
      <c r="AN206" s="2">
        <v>9780748613991</v>
      </c>
    </row>
    <row r="207" spans="1:40" x14ac:dyDescent="0.3">
      <c r="A207" t="s">
        <v>1182</v>
      </c>
      <c r="B207" t="s">
        <v>1</v>
      </c>
      <c r="C207" t="s">
        <v>1183</v>
      </c>
      <c r="E207" t="s">
        <v>1184</v>
      </c>
      <c r="F207" t="s">
        <v>5</v>
      </c>
      <c r="G207" t="s">
        <v>6</v>
      </c>
      <c r="L207" t="s">
        <v>7</v>
      </c>
      <c r="M207">
        <v>2009</v>
      </c>
      <c r="N207" s="1">
        <v>39892</v>
      </c>
      <c r="O207" t="s">
        <v>1185</v>
      </c>
      <c r="P207">
        <v>1</v>
      </c>
      <c r="S207">
        <v>217.95</v>
      </c>
      <c r="T207">
        <v>250</v>
      </c>
      <c r="U207">
        <v>190</v>
      </c>
      <c r="V207" t="s">
        <v>79</v>
      </c>
      <c r="W207" t="s">
        <v>386</v>
      </c>
      <c r="X207" t="s">
        <v>386</v>
      </c>
      <c r="Y207" t="s">
        <v>724</v>
      </c>
      <c r="AF207" t="s">
        <v>13</v>
      </c>
      <c r="AG207" t="str">
        <f>HYPERLINK("https://doi.org/10.1515/9780748631971")</f>
        <v>https://doi.org/10.1515/9780748631971</v>
      </c>
      <c r="AH207" t="str">
        <f>HYPERLINK("http://www.degruyter.com/isbn/9780748631971")</f>
        <v>http://www.degruyter.com/isbn/9780748631971</v>
      </c>
      <c r="AI207" t="s">
        <v>68</v>
      </c>
      <c r="AL207" t="s">
        <v>83</v>
      </c>
      <c r="AM207">
        <v>1</v>
      </c>
      <c r="AN207" s="2">
        <v>9780748625598</v>
      </c>
    </row>
    <row r="208" spans="1:40" x14ac:dyDescent="0.3">
      <c r="A208" t="s">
        <v>1186</v>
      </c>
      <c r="B208" t="s">
        <v>1</v>
      </c>
      <c r="C208" t="s">
        <v>1187</v>
      </c>
      <c r="D208" t="s">
        <v>1188</v>
      </c>
      <c r="E208" t="s">
        <v>1189</v>
      </c>
      <c r="F208" t="s">
        <v>5</v>
      </c>
      <c r="G208" t="s">
        <v>6</v>
      </c>
      <c r="L208" t="s">
        <v>7</v>
      </c>
      <c r="M208">
        <v>2011</v>
      </c>
      <c r="N208" s="1">
        <v>40723</v>
      </c>
      <c r="O208" t="s">
        <v>1190</v>
      </c>
      <c r="P208">
        <v>1</v>
      </c>
      <c r="S208">
        <v>227.95</v>
      </c>
      <c r="T208">
        <v>260</v>
      </c>
      <c r="U208">
        <v>200</v>
      </c>
      <c r="V208" t="s">
        <v>42</v>
      </c>
      <c r="W208" t="s">
        <v>43</v>
      </c>
      <c r="X208" t="s">
        <v>44</v>
      </c>
      <c r="Y208" t="s">
        <v>45</v>
      </c>
      <c r="AF208" t="s">
        <v>13</v>
      </c>
      <c r="AG208" t="str">
        <f>HYPERLINK("https://doi.org/10.1515/9780748647095")</f>
        <v>https://doi.org/10.1515/9780748647095</v>
      </c>
      <c r="AH208" t="str">
        <f>HYPERLINK("http://www.degruyter.com/isbn/9780748647095")</f>
        <v>http://www.degruyter.com/isbn/9780748647095</v>
      </c>
      <c r="AI208" t="s">
        <v>68</v>
      </c>
      <c r="AL208" t="s">
        <v>47</v>
      </c>
      <c r="AM208">
        <v>1</v>
      </c>
      <c r="AN208" s="2">
        <v>9780748641604</v>
      </c>
    </row>
    <row r="209" spans="1:40" x14ac:dyDescent="0.3">
      <c r="A209" t="s">
        <v>1191</v>
      </c>
      <c r="B209" t="s">
        <v>1</v>
      </c>
      <c r="C209" t="s">
        <v>1192</v>
      </c>
      <c r="D209" t="s">
        <v>1193</v>
      </c>
      <c r="E209" t="s">
        <v>1194</v>
      </c>
      <c r="F209" t="s">
        <v>5</v>
      </c>
      <c r="G209" t="s">
        <v>6</v>
      </c>
      <c r="L209" t="s">
        <v>7</v>
      </c>
      <c r="M209">
        <v>2001</v>
      </c>
      <c r="N209" s="1">
        <v>44719</v>
      </c>
      <c r="O209" t="s">
        <v>1195</v>
      </c>
      <c r="P209">
        <v>1</v>
      </c>
      <c r="S209">
        <v>217.95</v>
      </c>
      <c r="T209">
        <v>250</v>
      </c>
      <c r="U209">
        <v>190</v>
      </c>
      <c r="V209" t="s">
        <v>20</v>
      </c>
      <c r="W209" t="s">
        <v>21</v>
      </c>
      <c r="X209" t="s">
        <v>22</v>
      </c>
      <c r="Y209" t="s">
        <v>23</v>
      </c>
      <c r="AF209" t="s">
        <v>13</v>
      </c>
      <c r="AG209" t="str">
        <f>HYPERLINK("https://doi.org/10.1515/9781474470513")</f>
        <v>https://doi.org/10.1515/9781474470513</v>
      </c>
      <c r="AH209" t="str">
        <f>HYPERLINK("http://www.degruyter.com/isbn/9781474470513")</f>
        <v>http://www.degruyter.com/isbn/9781474470513</v>
      </c>
      <c r="AI209" t="s">
        <v>68</v>
      </c>
      <c r="AL209" t="s">
        <v>15</v>
      </c>
      <c r="AM209">
        <v>1</v>
      </c>
      <c r="AN209" s="2">
        <v>9780748662548</v>
      </c>
    </row>
    <row r="210" spans="1:40" x14ac:dyDescent="0.3">
      <c r="A210" t="s">
        <v>1196</v>
      </c>
      <c r="B210" t="s">
        <v>1</v>
      </c>
      <c r="C210" t="s">
        <v>1197</v>
      </c>
      <c r="D210" t="s">
        <v>1198</v>
      </c>
      <c r="E210" t="s">
        <v>1199</v>
      </c>
      <c r="F210" t="s">
        <v>5</v>
      </c>
      <c r="G210" t="s">
        <v>6</v>
      </c>
      <c r="L210" t="s">
        <v>7</v>
      </c>
      <c r="M210">
        <v>2008</v>
      </c>
      <c r="N210" s="1">
        <v>39631</v>
      </c>
      <c r="O210" t="s">
        <v>1200</v>
      </c>
      <c r="P210">
        <v>1</v>
      </c>
      <c r="S210">
        <v>243.95</v>
      </c>
      <c r="T210">
        <v>280</v>
      </c>
      <c r="U210">
        <v>210</v>
      </c>
      <c r="V210" t="s">
        <v>20</v>
      </c>
      <c r="W210" t="s">
        <v>21</v>
      </c>
      <c r="X210" t="s">
        <v>575</v>
      </c>
      <c r="Y210" t="s">
        <v>576</v>
      </c>
      <c r="AF210" t="s">
        <v>13</v>
      </c>
      <c r="AG210" t="str">
        <f>HYPERLINK("https://doi.org/10.1515/9780748633340?locatt=mode:legacy")</f>
        <v>https://doi.org/10.1515/9780748633340?locatt=mode:legacy</v>
      </c>
      <c r="AH210" t="str">
        <f>HYPERLINK("http://www.degruyter.com/isbn/9780748633340")</f>
        <v>http://www.degruyter.com/isbn/9780748633340</v>
      </c>
      <c r="AI210" t="s">
        <v>68</v>
      </c>
      <c r="AL210" t="s">
        <v>15</v>
      </c>
      <c r="AM210">
        <v>1</v>
      </c>
      <c r="AN210" s="2">
        <v>9780748633326</v>
      </c>
    </row>
    <row r="211" spans="1:40" x14ac:dyDescent="0.3">
      <c r="A211" t="s">
        <v>1201</v>
      </c>
      <c r="B211" t="s">
        <v>1</v>
      </c>
      <c r="C211" t="s">
        <v>1202</v>
      </c>
      <c r="D211" t="s">
        <v>1203</v>
      </c>
      <c r="E211" t="s">
        <v>1204</v>
      </c>
      <c r="F211" t="s">
        <v>5</v>
      </c>
      <c r="G211" t="s">
        <v>6</v>
      </c>
      <c r="L211" t="s">
        <v>7</v>
      </c>
      <c r="M211">
        <v>2018</v>
      </c>
      <c r="N211" s="1">
        <v>44656</v>
      </c>
      <c r="O211" t="s">
        <v>1205</v>
      </c>
      <c r="P211">
        <v>1</v>
      </c>
      <c r="S211">
        <v>253.95</v>
      </c>
      <c r="T211">
        <v>290</v>
      </c>
      <c r="U211">
        <v>220</v>
      </c>
      <c r="V211" t="s">
        <v>329</v>
      </c>
      <c r="W211" t="s">
        <v>330</v>
      </c>
      <c r="X211" t="s">
        <v>331</v>
      </c>
      <c r="Y211" t="s">
        <v>1035</v>
      </c>
      <c r="AF211" t="s">
        <v>13</v>
      </c>
      <c r="AG211" t="str">
        <f>HYPERLINK("https://doi.org/10.1515/9781474434683")</f>
        <v>https://doi.org/10.1515/9781474434683</v>
      </c>
      <c r="AH211" t="str">
        <f>HYPERLINK("http://www.degruyter.com/isbn/9781474434683")</f>
        <v>http://www.degruyter.com/isbn/9781474434683</v>
      </c>
      <c r="AI211" t="s">
        <v>46</v>
      </c>
      <c r="AL211" t="s">
        <v>333</v>
      </c>
      <c r="AM211">
        <v>1</v>
      </c>
      <c r="AN211" s="2">
        <v>9781474434669</v>
      </c>
    </row>
    <row r="212" spans="1:40" x14ac:dyDescent="0.3">
      <c r="A212" t="s">
        <v>1206</v>
      </c>
      <c r="B212" t="s">
        <v>1</v>
      </c>
      <c r="C212" t="s">
        <v>1207</v>
      </c>
      <c r="E212" t="s">
        <v>1208</v>
      </c>
      <c r="F212" t="s">
        <v>5</v>
      </c>
      <c r="G212" t="s">
        <v>6</v>
      </c>
      <c r="L212" t="s">
        <v>7</v>
      </c>
      <c r="M212">
        <v>2009</v>
      </c>
      <c r="N212" s="1">
        <v>40168</v>
      </c>
      <c r="O212" t="s">
        <v>1209</v>
      </c>
      <c r="P212">
        <v>1</v>
      </c>
      <c r="S212">
        <v>521.95000000000005</v>
      </c>
      <c r="T212">
        <v>598</v>
      </c>
      <c r="U212">
        <v>460</v>
      </c>
      <c r="V212" t="s">
        <v>89</v>
      </c>
      <c r="W212" t="s">
        <v>90</v>
      </c>
      <c r="X212" t="s">
        <v>1210</v>
      </c>
      <c r="Y212" t="s">
        <v>1211</v>
      </c>
      <c r="AF212" t="s">
        <v>13</v>
      </c>
      <c r="AG212" t="str">
        <f>HYPERLINK("https://doi.org/10.1515/9780748632169")</f>
        <v>https://doi.org/10.1515/9780748632169</v>
      </c>
      <c r="AH212" t="str">
        <f>HYPERLINK("http://www.degruyter.com/isbn/9780748632169")</f>
        <v>http://www.degruyter.com/isbn/9780748632169</v>
      </c>
      <c r="AI212" t="s">
        <v>68</v>
      </c>
      <c r="AJ212" t="s">
        <v>35</v>
      </c>
      <c r="AL212" t="s">
        <v>718</v>
      </c>
      <c r="AM212">
        <v>1</v>
      </c>
      <c r="AN212" s="2">
        <v>9780748632671</v>
      </c>
    </row>
    <row r="213" spans="1:40" x14ac:dyDescent="0.3">
      <c r="A213" t="s">
        <v>1212</v>
      </c>
      <c r="B213" t="s">
        <v>1</v>
      </c>
      <c r="C213" t="s">
        <v>1213</v>
      </c>
      <c r="D213" t="s">
        <v>1214</v>
      </c>
      <c r="E213" t="s">
        <v>1215</v>
      </c>
      <c r="F213" t="s">
        <v>5</v>
      </c>
      <c r="G213" t="s">
        <v>6</v>
      </c>
      <c r="L213" t="s">
        <v>7</v>
      </c>
      <c r="M213">
        <v>2007</v>
      </c>
      <c r="N213" s="1">
        <v>39239</v>
      </c>
      <c r="O213" t="s">
        <v>1216</v>
      </c>
      <c r="P213">
        <v>1</v>
      </c>
      <c r="S213">
        <v>209.95</v>
      </c>
      <c r="T213">
        <v>240</v>
      </c>
      <c r="U213">
        <v>180</v>
      </c>
      <c r="V213" t="s">
        <v>42</v>
      </c>
      <c r="W213" t="s">
        <v>43</v>
      </c>
      <c r="X213" t="s">
        <v>44</v>
      </c>
      <c r="Y213" t="s">
        <v>45</v>
      </c>
      <c r="AF213" t="s">
        <v>13</v>
      </c>
      <c r="AG213" t="str">
        <f>HYPERLINK("https://doi.org/10.1515/9780748628704?locatt=mode:legacy")</f>
        <v>https://doi.org/10.1515/9780748628704?locatt=mode:legacy</v>
      </c>
      <c r="AH213" t="str">
        <f>HYPERLINK("http://www.degruyter.com/isbn/9780748628704")</f>
        <v>http://www.degruyter.com/isbn/9780748628704</v>
      </c>
      <c r="AI213" t="s">
        <v>68</v>
      </c>
      <c r="AL213" t="s">
        <v>47</v>
      </c>
      <c r="AM213">
        <v>1</v>
      </c>
      <c r="AN213" s="2">
        <v>9780748624652</v>
      </c>
    </row>
    <row r="214" spans="1:40" x14ac:dyDescent="0.3">
      <c r="A214" t="s">
        <v>1217</v>
      </c>
      <c r="B214" t="s">
        <v>1</v>
      </c>
      <c r="C214" t="s">
        <v>1218</v>
      </c>
      <c r="D214" t="s">
        <v>1219</v>
      </c>
      <c r="E214" t="s">
        <v>1220</v>
      </c>
      <c r="F214" t="s">
        <v>5</v>
      </c>
      <c r="G214" t="s">
        <v>6</v>
      </c>
      <c r="L214" t="s">
        <v>7</v>
      </c>
      <c r="M214">
        <v>2020</v>
      </c>
      <c r="N214" s="1">
        <v>44644</v>
      </c>
      <c r="O214" t="s">
        <v>1221</v>
      </c>
      <c r="P214">
        <v>1</v>
      </c>
      <c r="S214">
        <v>217.95</v>
      </c>
      <c r="T214">
        <v>250</v>
      </c>
      <c r="U214">
        <v>190</v>
      </c>
      <c r="V214" t="s">
        <v>42</v>
      </c>
      <c r="W214" t="s">
        <v>107</v>
      </c>
      <c r="X214" t="s">
        <v>108</v>
      </c>
      <c r="Y214" t="s">
        <v>109</v>
      </c>
      <c r="AF214" t="s">
        <v>13</v>
      </c>
      <c r="AG214" t="str">
        <f>HYPERLINK("https://doi.org/10.1515/9781474480475")</f>
        <v>https://doi.org/10.1515/9781474480475</v>
      </c>
      <c r="AH214" t="str">
        <f>HYPERLINK("http://www.degruyter.com/isbn/9781474480475")</f>
        <v>http://www.degruyter.com/isbn/9781474480475</v>
      </c>
      <c r="AI214" t="s">
        <v>1222</v>
      </c>
      <c r="AL214" t="s">
        <v>47</v>
      </c>
      <c r="AM214">
        <v>1</v>
      </c>
      <c r="AN214" s="2">
        <v>9781474480451</v>
      </c>
    </row>
    <row r="215" spans="1:40" x14ac:dyDescent="0.3">
      <c r="A215" t="s">
        <v>1223</v>
      </c>
      <c r="B215" t="s">
        <v>1</v>
      </c>
      <c r="C215" t="s">
        <v>1224</v>
      </c>
      <c r="E215" t="s">
        <v>1225</v>
      </c>
      <c r="F215" t="s">
        <v>5</v>
      </c>
      <c r="G215" t="s">
        <v>6</v>
      </c>
      <c r="L215" t="s">
        <v>7</v>
      </c>
      <c r="M215">
        <v>2020</v>
      </c>
      <c r="N215" s="1">
        <v>44644</v>
      </c>
      <c r="O215" t="s">
        <v>1226</v>
      </c>
      <c r="P215">
        <v>1</v>
      </c>
      <c r="S215">
        <v>217.95</v>
      </c>
      <c r="T215">
        <v>250</v>
      </c>
      <c r="U215">
        <v>190</v>
      </c>
      <c r="V215" t="s">
        <v>9</v>
      </c>
      <c r="W215" t="s">
        <v>10</v>
      </c>
      <c r="X215" t="s">
        <v>11</v>
      </c>
      <c r="Y215" t="s">
        <v>52</v>
      </c>
      <c r="AF215" t="s">
        <v>13</v>
      </c>
      <c r="AG215" t="str">
        <f>HYPERLINK("https://doi.org/10.1515/9781474458139?locatt=mode:legacy")</f>
        <v>https://doi.org/10.1515/9781474458139?locatt=mode:legacy</v>
      </c>
      <c r="AH215" t="str">
        <f>HYPERLINK("http://www.degruyter.com/isbn/9781474458139")</f>
        <v>http://www.degruyter.com/isbn/9781474458139</v>
      </c>
      <c r="AI215" t="s">
        <v>14</v>
      </c>
      <c r="AL215" t="s">
        <v>15</v>
      </c>
      <c r="AM215">
        <v>1</v>
      </c>
      <c r="AN215" s="2">
        <v>9781474458115</v>
      </c>
    </row>
    <row r="216" spans="1:40" x14ac:dyDescent="0.3">
      <c r="A216" t="s">
        <v>1227</v>
      </c>
      <c r="B216" t="s">
        <v>1</v>
      </c>
      <c r="C216" t="s">
        <v>1228</v>
      </c>
      <c r="D216" t="s">
        <v>1229</v>
      </c>
      <c r="E216" t="s">
        <v>1230</v>
      </c>
      <c r="F216" t="s">
        <v>5</v>
      </c>
      <c r="G216" t="s">
        <v>6</v>
      </c>
      <c r="L216" t="s">
        <v>7</v>
      </c>
      <c r="M216">
        <v>2019</v>
      </c>
      <c r="N216" s="1">
        <v>44656</v>
      </c>
      <c r="O216" t="s">
        <v>1231</v>
      </c>
      <c r="P216">
        <v>1</v>
      </c>
      <c r="S216">
        <v>217.95</v>
      </c>
      <c r="T216">
        <v>250</v>
      </c>
      <c r="U216">
        <v>190</v>
      </c>
      <c r="V216" t="s">
        <v>20</v>
      </c>
      <c r="W216" t="s">
        <v>21</v>
      </c>
      <c r="X216" t="s">
        <v>418</v>
      </c>
      <c r="Y216" t="s">
        <v>1232</v>
      </c>
      <c r="AF216" t="s">
        <v>13</v>
      </c>
      <c r="AG216" t="str">
        <f>HYPERLINK("https://doi.org/10.1515/9781474411738")</f>
        <v>https://doi.org/10.1515/9781474411738</v>
      </c>
      <c r="AH216" t="str">
        <f>HYPERLINK("http://www.degruyter.com/isbn/9781474411738")</f>
        <v>http://www.degruyter.com/isbn/9781474411738</v>
      </c>
      <c r="AI216" t="s">
        <v>280</v>
      </c>
      <c r="AL216" t="s">
        <v>15</v>
      </c>
      <c r="AM216">
        <v>1</v>
      </c>
      <c r="AN216" s="2">
        <v>9781474411721</v>
      </c>
    </row>
    <row r="217" spans="1:40" x14ac:dyDescent="0.3">
      <c r="A217" t="s">
        <v>1233</v>
      </c>
      <c r="B217" t="s">
        <v>1</v>
      </c>
      <c r="C217" t="s">
        <v>1234</v>
      </c>
      <c r="D217" t="s">
        <v>1235</v>
      </c>
      <c r="E217" t="s">
        <v>1236</v>
      </c>
      <c r="F217" t="s">
        <v>5</v>
      </c>
      <c r="G217" t="s">
        <v>6</v>
      </c>
      <c r="L217" t="s">
        <v>7</v>
      </c>
      <c r="M217">
        <v>2015</v>
      </c>
      <c r="N217" s="1">
        <v>42062</v>
      </c>
      <c r="O217" t="s">
        <v>1237</v>
      </c>
      <c r="P217">
        <v>1</v>
      </c>
      <c r="S217">
        <v>217.95</v>
      </c>
      <c r="T217">
        <v>250</v>
      </c>
      <c r="U217">
        <v>190</v>
      </c>
      <c r="V217" t="s">
        <v>20</v>
      </c>
      <c r="W217" t="s">
        <v>21</v>
      </c>
      <c r="X217" t="s">
        <v>458</v>
      </c>
      <c r="Y217" t="s">
        <v>459</v>
      </c>
      <c r="AF217" t="s">
        <v>13</v>
      </c>
      <c r="AG217" t="str">
        <f>HYPERLINK("https://doi.org/10.1515/9780748686032?locatt=mode:legacy")</f>
        <v>https://doi.org/10.1515/9780748686032?locatt=mode:legacy</v>
      </c>
      <c r="AH217" t="str">
        <f>HYPERLINK("http://www.degruyter.com/isbn/9780748686032")</f>
        <v>http://www.degruyter.com/isbn/9780748686032</v>
      </c>
      <c r="AI217" t="s">
        <v>34</v>
      </c>
      <c r="AL217" t="s">
        <v>15</v>
      </c>
      <c r="AM217">
        <v>1</v>
      </c>
      <c r="AN217" s="2">
        <v>9780748686025</v>
      </c>
    </row>
    <row r="218" spans="1:40" x14ac:dyDescent="0.3">
      <c r="A218" t="s">
        <v>1238</v>
      </c>
      <c r="B218" t="s">
        <v>1</v>
      </c>
      <c r="C218" t="s">
        <v>1239</v>
      </c>
      <c r="D218" t="s">
        <v>1240</v>
      </c>
      <c r="E218" t="s">
        <v>1241</v>
      </c>
      <c r="F218" t="s">
        <v>5</v>
      </c>
      <c r="G218" t="s">
        <v>6</v>
      </c>
      <c r="L218" t="s">
        <v>7</v>
      </c>
      <c r="M218">
        <v>2005</v>
      </c>
      <c r="N218" s="1">
        <v>38548</v>
      </c>
      <c r="O218" t="s">
        <v>1242</v>
      </c>
      <c r="P218">
        <v>1</v>
      </c>
      <c r="S218">
        <v>339.95</v>
      </c>
      <c r="T218">
        <v>390</v>
      </c>
      <c r="U218">
        <v>300</v>
      </c>
      <c r="V218" t="s">
        <v>58</v>
      </c>
      <c r="W218" t="s">
        <v>59</v>
      </c>
      <c r="X218" t="s">
        <v>60</v>
      </c>
      <c r="Y218" t="s">
        <v>169</v>
      </c>
      <c r="AF218" t="s">
        <v>13</v>
      </c>
      <c r="AG218" t="str">
        <f>HYPERLINK("https://doi.org/10.1515/9781474470520")</f>
        <v>https://doi.org/10.1515/9781474470520</v>
      </c>
      <c r="AH218" t="str">
        <f>HYPERLINK("http://www.degruyter.com/isbn/9781474470520")</f>
        <v>http://www.degruyter.com/isbn/9781474470520</v>
      </c>
      <c r="AI218" t="s">
        <v>68</v>
      </c>
      <c r="AL218" t="s">
        <v>62</v>
      </c>
      <c r="AM218">
        <v>1</v>
      </c>
      <c r="AN218" s="2">
        <v>9780748616770</v>
      </c>
    </row>
    <row r="219" spans="1:40" x14ac:dyDescent="0.3">
      <c r="A219" t="s">
        <v>1243</v>
      </c>
      <c r="B219" t="s">
        <v>1</v>
      </c>
      <c r="C219" t="s">
        <v>1244</v>
      </c>
      <c r="E219" t="s">
        <v>1245</v>
      </c>
      <c r="F219" t="s">
        <v>5</v>
      </c>
      <c r="G219" t="s">
        <v>6</v>
      </c>
      <c r="L219" t="s">
        <v>7</v>
      </c>
      <c r="M219">
        <v>2014</v>
      </c>
      <c r="N219" s="1">
        <v>41792</v>
      </c>
      <c r="O219" t="s">
        <v>1246</v>
      </c>
      <c r="P219">
        <v>1</v>
      </c>
      <c r="S219">
        <v>243.95</v>
      </c>
      <c r="T219">
        <v>280</v>
      </c>
      <c r="U219">
        <v>210</v>
      </c>
      <c r="V219" t="s">
        <v>58</v>
      </c>
      <c r="W219" t="s">
        <v>1135</v>
      </c>
      <c r="X219" t="s">
        <v>1136</v>
      </c>
      <c r="Y219" t="s">
        <v>1137</v>
      </c>
      <c r="AF219" t="s">
        <v>13</v>
      </c>
      <c r="AG219" t="str">
        <f>HYPERLINK("https://doi.org/10.1515/9780748694556")</f>
        <v>https://doi.org/10.1515/9780748694556</v>
      </c>
      <c r="AH219" t="str">
        <f>HYPERLINK("http://www.degruyter.com/isbn/9780748694556")</f>
        <v>http://www.degruyter.com/isbn/9780748694556</v>
      </c>
      <c r="AI219" t="s">
        <v>1247</v>
      </c>
      <c r="AL219" t="s">
        <v>62</v>
      </c>
      <c r="AM219">
        <v>1</v>
      </c>
      <c r="AN219" s="2">
        <v>9780748694549</v>
      </c>
    </row>
    <row r="220" spans="1:40" x14ac:dyDescent="0.3">
      <c r="A220" t="s">
        <v>1248</v>
      </c>
      <c r="B220" t="s">
        <v>1</v>
      </c>
      <c r="C220" t="s">
        <v>1249</v>
      </c>
      <c r="E220" t="s">
        <v>1250</v>
      </c>
      <c r="F220" t="s">
        <v>5</v>
      </c>
      <c r="G220" t="s">
        <v>6</v>
      </c>
      <c r="L220" t="s">
        <v>7</v>
      </c>
      <c r="M220">
        <v>2018</v>
      </c>
      <c r="N220" s="1">
        <v>44656</v>
      </c>
      <c r="O220" t="s">
        <v>1251</v>
      </c>
      <c r="P220">
        <v>1</v>
      </c>
      <c r="S220">
        <v>217.95</v>
      </c>
      <c r="T220">
        <v>250</v>
      </c>
      <c r="U220">
        <v>190</v>
      </c>
      <c r="V220" t="s">
        <v>20</v>
      </c>
      <c r="W220" t="s">
        <v>21</v>
      </c>
      <c r="X220" t="s">
        <v>1252</v>
      </c>
      <c r="Y220" t="s">
        <v>1253</v>
      </c>
      <c r="AF220" t="s">
        <v>13</v>
      </c>
      <c r="AG220" t="str">
        <f>HYPERLINK("https://doi.org/10.1515/9781474427555")</f>
        <v>https://doi.org/10.1515/9781474427555</v>
      </c>
      <c r="AH220" t="str">
        <f>HYPERLINK("http://www.degruyter.com/isbn/9781474427555")</f>
        <v>http://www.degruyter.com/isbn/9781474427555</v>
      </c>
      <c r="AI220" t="s">
        <v>46</v>
      </c>
      <c r="AL220" t="s">
        <v>15</v>
      </c>
      <c r="AM220">
        <v>1</v>
      </c>
      <c r="AN220" s="2">
        <v>9781474427531</v>
      </c>
    </row>
    <row r="221" spans="1:40" x14ac:dyDescent="0.3">
      <c r="A221" t="s">
        <v>1254</v>
      </c>
      <c r="B221" t="s">
        <v>1</v>
      </c>
      <c r="C221" t="s">
        <v>1255</v>
      </c>
      <c r="D221" t="s">
        <v>1256</v>
      </c>
      <c r="E221" t="s">
        <v>1257</v>
      </c>
      <c r="F221" t="s">
        <v>5</v>
      </c>
      <c r="G221" t="s">
        <v>6</v>
      </c>
      <c r="L221" t="s">
        <v>7</v>
      </c>
      <c r="M221">
        <v>2012</v>
      </c>
      <c r="N221" s="1">
        <v>41127</v>
      </c>
      <c r="O221" t="s">
        <v>1258</v>
      </c>
      <c r="P221">
        <v>1</v>
      </c>
      <c r="S221">
        <v>217.95</v>
      </c>
      <c r="T221">
        <v>250</v>
      </c>
      <c r="U221">
        <v>190</v>
      </c>
      <c r="V221" t="s">
        <v>58</v>
      </c>
      <c r="W221" t="s">
        <v>129</v>
      </c>
      <c r="X221" t="s">
        <v>130</v>
      </c>
      <c r="Y221" t="s">
        <v>546</v>
      </c>
      <c r="AF221" t="s">
        <v>13</v>
      </c>
      <c r="AG221" t="str">
        <f>HYPERLINK("https://doi.org/10.1515/9780748664481?locatt=mode:legacy")</f>
        <v>https://doi.org/10.1515/9780748664481?locatt=mode:legacy</v>
      </c>
      <c r="AH221" t="str">
        <f>HYPERLINK("http://www.degruyter.com/isbn/9780748664481")</f>
        <v>http://www.degruyter.com/isbn/9780748664481</v>
      </c>
      <c r="AI221" t="s">
        <v>68</v>
      </c>
      <c r="AL221" t="s">
        <v>62</v>
      </c>
      <c r="AM221">
        <v>1</v>
      </c>
      <c r="AN221" s="2">
        <v>9780748649587</v>
      </c>
    </row>
    <row r="222" spans="1:40" x14ac:dyDescent="0.3">
      <c r="A222" t="s">
        <v>1259</v>
      </c>
      <c r="B222" t="s">
        <v>1</v>
      </c>
      <c r="C222" t="s">
        <v>1260</v>
      </c>
      <c r="E222" t="s">
        <v>1261</v>
      </c>
      <c r="F222" t="s">
        <v>5</v>
      </c>
      <c r="G222" t="s">
        <v>6</v>
      </c>
      <c r="L222" t="s">
        <v>7</v>
      </c>
      <c r="M222">
        <v>1996</v>
      </c>
      <c r="N222" s="1">
        <v>44719</v>
      </c>
      <c r="O222" t="s">
        <v>1262</v>
      </c>
      <c r="P222">
        <v>1</v>
      </c>
      <c r="S222">
        <v>305.95</v>
      </c>
      <c r="T222">
        <v>350</v>
      </c>
      <c r="U222">
        <v>270</v>
      </c>
      <c r="V222" t="s">
        <v>42</v>
      </c>
      <c r="W222" t="s">
        <v>740</v>
      </c>
      <c r="X222" t="s">
        <v>741</v>
      </c>
      <c r="Y222" t="s">
        <v>1263</v>
      </c>
      <c r="AF222" t="s">
        <v>13</v>
      </c>
      <c r="AG222" t="str">
        <f>HYPERLINK("https://doi.org/10.1515/9781474465762")</f>
        <v>https://doi.org/10.1515/9781474465762</v>
      </c>
      <c r="AH222" t="str">
        <f>HYPERLINK("http://www.degruyter.com/isbn/9781474465762")</f>
        <v>http://www.degruyter.com/isbn/9781474465762</v>
      </c>
      <c r="AI222" t="s">
        <v>24</v>
      </c>
      <c r="AL222" t="s">
        <v>47</v>
      </c>
      <c r="AM222">
        <v>1</v>
      </c>
      <c r="AN222" s="2">
        <v>9780748608430</v>
      </c>
    </row>
    <row r="223" spans="1:40" x14ac:dyDescent="0.3">
      <c r="A223" t="s">
        <v>1264</v>
      </c>
      <c r="B223" t="s">
        <v>1</v>
      </c>
      <c r="C223" t="s">
        <v>1265</v>
      </c>
      <c r="D223" t="s">
        <v>1266</v>
      </c>
      <c r="E223" t="s">
        <v>1267</v>
      </c>
      <c r="F223" t="s">
        <v>5</v>
      </c>
      <c r="G223" t="s">
        <v>6</v>
      </c>
      <c r="L223" t="s">
        <v>7</v>
      </c>
      <c r="M223">
        <v>2018</v>
      </c>
      <c r="N223" s="1">
        <v>44656</v>
      </c>
      <c r="O223" t="s">
        <v>1268</v>
      </c>
      <c r="P223">
        <v>1</v>
      </c>
      <c r="S223">
        <v>253.95</v>
      </c>
      <c r="T223">
        <v>290</v>
      </c>
      <c r="U223">
        <v>220</v>
      </c>
      <c r="V223" t="s">
        <v>20</v>
      </c>
      <c r="W223" t="s">
        <v>470</v>
      </c>
      <c r="X223" t="s">
        <v>1269</v>
      </c>
      <c r="Y223" t="s">
        <v>1270</v>
      </c>
      <c r="AF223" t="s">
        <v>13</v>
      </c>
      <c r="AG223" t="str">
        <f>HYPERLINK("https://doi.org/10.1515/9781474439732")</f>
        <v>https://doi.org/10.1515/9781474439732</v>
      </c>
      <c r="AH223" t="str">
        <f>HYPERLINK("http://www.degruyter.com/isbn/9781474439732")</f>
        <v>http://www.degruyter.com/isbn/9781474439732</v>
      </c>
      <c r="AI223" t="s">
        <v>46</v>
      </c>
      <c r="AL223" t="s">
        <v>15</v>
      </c>
      <c r="AM223">
        <v>1</v>
      </c>
      <c r="AN223" s="2">
        <v>9781474439725</v>
      </c>
    </row>
    <row r="224" spans="1:40" x14ac:dyDescent="0.3">
      <c r="A224" t="s">
        <v>1271</v>
      </c>
      <c r="B224" t="s">
        <v>1</v>
      </c>
      <c r="C224" t="s">
        <v>1272</v>
      </c>
      <c r="D224" t="s">
        <v>1273</v>
      </c>
      <c r="E224" t="s">
        <v>1274</v>
      </c>
      <c r="F224" t="s">
        <v>5</v>
      </c>
      <c r="G224" t="s">
        <v>6</v>
      </c>
      <c r="L224" t="s">
        <v>7</v>
      </c>
      <c r="M224">
        <v>2016</v>
      </c>
      <c r="N224" s="1">
        <v>42661</v>
      </c>
      <c r="O224" t="s">
        <v>1275</v>
      </c>
      <c r="P224">
        <v>1</v>
      </c>
      <c r="S224">
        <v>217.95</v>
      </c>
      <c r="T224">
        <v>250</v>
      </c>
      <c r="U224">
        <v>190</v>
      </c>
      <c r="V224" t="s">
        <v>9</v>
      </c>
      <c r="W224" t="s">
        <v>10</v>
      </c>
      <c r="X224" t="s">
        <v>11</v>
      </c>
      <c r="Y224" t="s">
        <v>52</v>
      </c>
      <c r="AF224" t="s">
        <v>13</v>
      </c>
      <c r="AG224" t="str">
        <f>HYPERLINK("https://doi.org/10.1515/9780748699933")</f>
        <v>https://doi.org/10.1515/9780748699933</v>
      </c>
      <c r="AH224" t="str">
        <f>HYPERLINK("http://www.degruyter.com/isbn/9780748699933")</f>
        <v>http://www.degruyter.com/isbn/9780748699933</v>
      </c>
      <c r="AI224" t="s">
        <v>180</v>
      </c>
      <c r="AL224" t="s">
        <v>15</v>
      </c>
      <c r="AM224">
        <v>1</v>
      </c>
      <c r="AN224" s="2">
        <v>9780748699926</v>
      </c>
    </row>
    <row r="225" spans="1:40" x14ac:dyDescent="0.3">
      <c r="A225" t="s">
        <v>1276</v>
      </c>
      <c r="B225" t="s">
        <v>1</v>
      </c>
      <c r="C225" t="s">
        <v>1277</v>
      </c>
      <c r="D225" t="s">
        <v>1278</v>
      </c>
      <c r="E225" t="s">
        <v>1279</v>
      </c>
      <c r="F225" t="s">
        <v>5</v>
      </c>
      <c r="G225" t="s">
        <v>6</v>
      </c>
      <c r="L225" t="s">
        <v>7</v>
      </c>
      <c r="M225">
        <v>2018</v>
      </c>
      <c r="N225" s="1">
        <v>44656</v>
      </c>
      <c r="O225" t="s">
        <v>1280</v>
      </c>
      <c r="P225">
        <v>1</v>
      </c>
      <c r="S225">
        <v>217.95</v>
      </c>
      <c r="T225">
        <v>250</v>
      </c>
      <c r="U225">
        <v>190</v>
      </c>
      <c r="V225" t="s">
        <v>329</v>
      </c>
      <c r="W225" t="s">
        <v>330</v>
      </c>
      <c r="X225" t="s">
        <v>331</v>
      </c>
      <c r="Y225" t="s">
        <v>1035</v>
      </c>
      <c r="AF225" t="s">
        <v>13</v>
      </c>
      <c r="AG225" t="str">
        <f>HYPERLINK("https://doi.org/10.1515/9781474434478")</f>
        <v>https://doi.org/10.1515/9781474434478</v>
      </c>
      <c r="AH225" t="str">
        <f>HYPERLINK("http://www.degruyter.com/isbn/9781474434478")</f>
        <v>http://www.degruyter.com/isbn/9781474434478</v>
      </c>
      <c r="AI225" t="s">
        <v>46</v>
      </c>
      <c r="AL225" t="s">
        <v>333</v>
      </c>
      <c r="AM225">
        <v>1</v>
      </c>
      <c r="AN225" s="2">
        <v>9781474434461</v>
      </c>
    </row>
    <row r="226" spans="1:40" x14ac:dyDescent="0.3">
      <c r="A226" t="s">
        <v>1281</v>
      </c>
      <c r="B226" t="s">
        <v>1</v>
      </c>
      <c r="C226" t="s">
        <v>1282</v>
      </c>
      <c r="E226" t="s">
        <v>1283</v>
      </c>
      <c r="F226" t="s">
        <v>5</v>
      </c>
      <c r="G226" t="s">
        <v>6</v>
      </c>
      <c r="L226" t="s">
        <v>7</v>
      </c>
      <c r="M226">
        <v>2004</v>
      </c>
      <c r="N226" s="1">
        <v>38105</v>
      </c>
      <c r="O226" t="s">
        <v>1284</v>
      </c>
      <c r="P226">
        <v>1</v>
      </c>
      <c r="S226">
        <v>261.95</v>
      </c>
      <c r="T226">
        <v>300</v>
      </c>
      <c r="U226">
        <v>230</v>
      </c>
      <c r="V226" t="s">
        <v>42</v>
      </c>
      <c r="W226" t="s">
        <v>116</v>
      </c>
      <c r="X226" t="s">
        <v>116</v>
      </c>
      <c r="Y226" t="s">
        <v>117</v>
      </c>
      <c r="AF226" t="s">
        <v>13</v>
      </c>
      <c r="AG226" t="str">
        <f>HYPERLINK("https://doi.org/10.1515/9780748666058")</f>
        <v>https://doi.org/10.1515/9780748666058</v>
      </c>
      <c r="AH226" t="str">
        <f>HYPERLINK("http://www.degruyter.com/isbn/9780748666058")</f>
        <v>http://www.degruyter.com/isbn/9780748666058</v>
      </c>
      <c r="AI226" t="s">
        <v>68</v>
      </c>
      <c r="AL226" t="s">
        <v>47</v>
      </c>
      <c r="AM226">
        <v>1</v>
      </c>
      <c r="AN226" s="2">
        <v>9780748619870</v>
      </c>
    </row>
    <row r="227" spans="1:40" x14ac:dyDescent="0.3">
      <c r="A227" t="s">
        <v>1285</v>
      </c>
      <c r="B227" t="s">
        <v>1</v>
      </c>
      <c r="C227" t="s">
        <v>1286</v>
      </c>
      <c r="D227" t="s">
        <v>1287</v>
      </c>
      <c r="E227" t="s">
        <v>1288</v>
      </c>
      <c r="F227" t="s">
        <v>5</v>
      </c>
      <c r="G227" t="s">
        <v>6</v>
      </c>
      <c r="L227" t="s">
        <v>7</v>
      </c>
      <c r="M227">
        <v>2011</v>
      </c>
      <c r="N227" s="1">
        <v>40723</v>
      </c>
      <c r="O227" t="s">
        <v>1289</v>
      </c>
      <c r="P227">
        <v>1</v>
      </c>
      <c r="S227">
        <v>217.95</v>
      </c>
      <c r="T227">
        <v>250</v>
      </c>
      <c r="U227">
        <v>190</v>
      </c>
      <c r="V227" t="s">
        <v>58</v>
      </c>
      <c r="W227" t="s">
        <v>129</v>
      </c>
      <c r="X227" t="s">
        <v>1290</v>
      </c>
      <c r="Y227" t="s">
        <v>1291</v>
      </c>
      <c r="AF227" t="s">
        <v>13</v>
      </c>
      <c r="AG227" t="str">
        <f>HYPERLINK("https://doi.org/10.1515/9780748643455")</f>
        <v>https://doi.org/10.1515/9780748643455</v>
      </c>
      <c r="AH227" t="str">
        <f>HYPERLINK("http://www.degruyter.com/isbn/9780748643455")</f>
        <v>http://www.degruyter.com/isbn/9780748643455</v>
      </c>
      <c r="AI227" t="s">
        <v>68</v>
      </c>
      <c r="AL227" t="s">
        <v>62</v>
      </c>
      <c r="AM227">
        <v>1</v>
      </c>
      <c r="AN227" s="2">
        <v>9780748643448</v>
      </c>
    </row>
    <row r="228" spans="1:40" x14ac:dyDescent="0.3">
      <c r="A228" t="s">
        <v>1292</v>
      </c>
      <c r="B228" t="s">
        <v>1</v>
      </c>
      <c r="C228" t="s">
        <v>1293</v>
      </c>
      <c r="D228" t="s">
        <v>1294</v>
      </c>
      <c r="E228" t="s">
        <v>1295</v>
      </c>
      <c r="F228" t="s">
        <v>5</v>
      </c>
      <c r="G228" t="s">
        <v>6</v>
      </c>
      <c r="L228" t="s">
        <v>7</v>
      </c>
      <c r="M228">
        <v>2018</v>
      </c>
      <c r="N228" s="1">
        <v>44644</v>
      </c>
      <c r="O228" t="s">
        <v>1296</v>
      </c>
      <c r="P228">
        <v>1</v>
      </c>
      <c r="S228">
        <v>227.95</v>
      </c>
      <c r="T228">
        <v>260</v>
      </c>
      <c r="U228">
        <v>200</v>
      </c>
      <c r="V228" t="s">
        <v>9</v>
      </c>
      <c r="W228" t="s">
        <v>10</v>
      </c>
      <c r="X228" t="s">
        <v>11</v>
      </c>
      <c r="Y228" t="s">
        <v>52</v>
      </c>
      <c r="AF228" t="s">
        <v>13</v>
      </c>
      <c r="AG228" t="str">
        <f>HYPERLINK("https://doi.org/10.1515/9781474414999")</f>
        <v>https://doi.org/10.1515/9781474414999</v>
      </c>
      <c r="AH228" t="str">
        <f>HYPERLINK("http://www.degruyter.com/isbn/9781474414999")</f>
        <v>http://www.degruyter.com/isbn/9781474414999</v>
      </c>
      <c r="AI228" t="s">
        <v>46</v>
      </c>
      <c r="AL228" t="s">
        <v>15</v>
      </c>
      <c r="AM228">
        <v>1</v>
      </c>
      <c r="AN228" s="2">
        <v>9781474414982</v>
      </c>
    </row>
    <row r="229" spans="1:40" x14ac:dyDescent="0.3">
      <c r="A229" t="s">
        <v>1297</v>
      </c>
      <c r="B229" t="s">
        <v>1</v>
      </c>
      <c r="C229" t="s">
        <v>1298</v>
      </c>
      <c r="D229" t="s">
        <v>1299</v>
      </c>
      <c r="E229" t="s">
        <v>1300</v>
      </c>
      <c r="F229" t="s">
        <v>5</v>
      </c>
      <c r="G229" t="s">
        <v>6</v>
      </c>
      <c r="L229" t="s">
        <v>7</v>
      </c>
      <c r="M229">
        <v>2016</v>
      </c>
      <c r="N229" s="1">
        <v>42507</v>
      </c>
      <c r="O229" t="s">
        <v>1301</v>
      </c>
      <c r="P229">
        <v>1</v>
      </c>
      <c r="S229">
        <v>217.95</v>
      </c>
      <c r="T229">
        <v>250</v>
      </c>
      <c r="U229">
        <v>190</v>
      </c>
      <c r="V229" t="s">
        <v>20</v>
      </c>
      <c r="W229" t="s">
        <v>21</v>
      </c>
      <c r="X229" t="s">
        <v>575</v>
      </c>
      <c r="Y229" t="s">
        <v>576</v>
      </c>
      <c r="AF229" t="s">
        <v>13</v>
      </c>
      <c r="AG229" t="str">
        <f>HYPERLINK("https://doi.org/10.1515/9781474410052")</f>
        <v>https://doi.org/10.1515/9781474410052</v>
      </c>
      <c r="AH229" t="str">
        <f>HYPERLINK("http://www.degruyter.com/isbn/9781474410052")</f>
        <v>http://www.degruyter.com/isbn/9781474410052</v>
      </c>
      <c r="AI229" t="s">
        <v>180</v>
      </c>
      <c r="AL229" t="s">
        <v>15</v>
      </c>
      <c r="AM229">
        <v>1</v>
      </c>
      <c r="AN229" s="2">
        <v>9781474410045</v>
      </c>
    </row>
    <row r="230" spans="1:40" x14ac:dyDescent="0.3">
      <c r="A230" t="s">
        <v>1302</v>
      </c>
      <c r="B230" t="s">
        <v>1</v>
      </c>
      <c r="C230" t="s">
        <v>1303</v>
      </c>
      <c r="E230" t="s">
        <v>1304</v>
      </c>
      <c r="F230" t="s">
        <v>5</v>
      </c>
      <c r="G230" t="s">
        <v>6</v>
      </c>
      <c r="L230" t="s">
        <v>7</v>
      </c>
      <c r="M230">
        <v>2012</v>
      </c>
      <c r="N230" s="1">
        <v>40975</v>
      </c>
      <c r="O230" t="s">
        <v>250</v>
      </c>
      <c r="P230">
        <v>1</v>
      </c>
      <c r="S230">
        <v>217.95</v>
      </c>
      <c r="T230">
        <v>250</v>
      </c>
      <c r="U230">
        <v>190</v>
      </c>
      <c r="V230" t="s">
        <v>42</v>
      </c>
      <c r="W230" t="s">
        <v>107</v>
      </c>
      <c r="X230" t="s">
        <v>108</v>
      </c>
      <c r="Y230" t="s">
        <v>221</v>
      </c>
      <c r="AF230" t="s">
        <v>13</v>
      </c>
      <c r="AG230" t="str">
        <f>HYPERLINK("https://doi.org/10.1515/9780748644766")</f>
        <v>https://doi.org/10.1515/9780748644766</v>
      </c>
      <c r="AH230" t="str">
        <f>HYPERLINK("http://www.degruyter.com/isbn/9780748644766")</f>
        <v>http://www.degruyter.com/isbn/9780748644766</v>
      </c>
      <c r="AI230" t="s">
        <v>68</v>
      </c>
      <c r="AL230" t="s">
        <v>47</v>
      </c>
      <c r="AM230">
        <v>1</v>
      </c>
      <c r="AN230" s="2">
        <v>9780748644759</v>
      </c>
    </row>
    <row r="231" spans="1:40" x14ac:dyDescent="0.3">
      <c r="A231" t="s">
        <v>1305</v>
      </c>
      <c r="B231" t="s">
        <v>1</v>
      </c>
      <c r="C231" t="s">
        <v>1306</v>
      </c>
      <c r="E231" t="s">
        <v>1307</v>
      </c>
      <c r="F231" t="s">
        <v>5</v>
      </c>
      <c r="G231" t="s">
        <v>6</v>
      </c>
      <c r="L231" t="s">
        <v>7</v>
      </c>
      <c r="M231">
        <v>2012</v>
      </c>
      <c r="N231" s="1">
        <v>41158</v>
      </c>
      <c r="O231" t="s">
        <v>1308</v>
      </c>
      <c r="P231">
        <v>1</v>
      </c>
      <c r="S231">
        <v>217.95</v>
      </c>
      <c r="T231">
        <v>250</v>
      </c>
      <c r="U231">
        <v>190</v>
      </c>
      <c r="V231" t="s">
        <v>20</v>
      </c>
      <c r="W231" t="s">
        <v>21</v>
      </c>
      <c r="X231" t="s">
        <v>22</v>
      </c>
      <c r="Y231" t="s">
        <v>23</v>
      </c>
      <c r="AF231" t="s">
        <v>13</v>
      </c>
      <c r="AG231" t="str">
        <f>HYPERLINK("https://doi.org/10.1515/9780748654628")</f>
        <v>https://doi.org/10.1515/9780748654628</v>
      </c>
      <c r="AH231" t="str">
        <f>HYPERLINK("http://www.degruyter.com/isbn/9780748654628")</f>
        <v>http://www.degruyter.com/isbn/9780748654628</v>
      </c>
      <c r="AI231" t="s">
        <v>68</v>
      </c>
      <c r="AL231" t="s">
        <v>15</v>
      </c>
      <c r="AM231">
        <v>1</v>
      </c>
      <c r="AN231" s="2">
        <v>9780748654611</v>
      </c>
    </row>
    <row r="232" spans="1:40" x14ac:dyDescent="0.3">
      <c r="A232" t="s">
        <v>1309</v>
      </c>
      <c r="B232" t="s">
        <v>1</v>
      </c>
      <c r="C232" t="s">
        <v>1310</v>
      </c>
      <c r="E232" t="s">
        <v>1311</v>
      </c>
      <c r="F232" t="s">
        <v>5</v>
      </c>
      <c r="G232" t="s">
        <v>6</v>
      </c>
      <c r="L232" t="s">
        <v>7</v>
      </c>
      <c r="M232">
        <v>2015</v>
      </c>
      <c r="N232" s="1">
        <v>42340</v>
      </c>
      <c r="O232" t="s">
        <v>1312</v>
      </c>
      <c r="P232">
        <v>1</v>
      </c>
      <c r="S232">
        <v>217.95</v>
      </c>
      <c r="T232">
        <v>250</v>
      </c>
      <c r="U232">
        <v>190</v>
      </c>
      <c r="V232" t="s">
        <v>305</v>
      </c>
      <c r="W232" t="s">
        <v>306</v>
      </c>
      <c r="X232" t="s">
        <v>306</v>
      </c>
      <c r="Y232" t="s">
        <v>1313</v>
      </c>
      <c r="AF232" t="s">
        <v>13</v>
      </c>
      <c r="AG232" t="str">
        <f>HYPERLINK("https://doi.org/10.1515/9781474410328")</f>
        <v>https://doi.org/10.1515/9781474410328</v>
      </c>
      <c r="AH232" t="str">
        <f>HYPERLINK("http://www.degruyter.com/isbn/9781474410328")</f>
        <v>http://www.degruyter.com/isbn/9781474410328</v>
      </c>
      <c r="AI232" t="s">
        <v>34</v>
      </c>
      <c r="AL232" t="s">
        <v>308</v>
      </c>
      <c r="AM232">
        <v>1</v>
      </c>
      <c r="AN232" s="2">
        <v>9781474410311</v>
      </c>
    </row>
    <row r="233" spans="1:40" x14ac:dyDescent="0.3">
      <c r="A233" t="s">
        <v>1314</v>
      </c>
      <c r="B233" t="s">
        <v>1</v>
      </c>
      <c r="C233" t="s">
        <v>1315</v>
      </c>
      <c r="D233" t="s">
        <v>1316</v>
      </c>
      <c r="E233" t="s">
        <v>1317</v>
      </c>
      <c r="F233" t="s">
        <v>5</v>
      </c>
      <c r="G233" t="s">
        <v>6</v>
      </c>
      <c r="L233" t="s">
        <v>7</v>
      </c>
      <c r="M233">
        <v>2002</v>
      </c>
      <c r="N233" s="1">
        <v>44719</v>
      </c>
      <c r="O233" t="s">
        <v>1318</v>
      </c>
      <c r="P233">
        <v>1</v>
      </c>
      <c r="S233">
        <v>217.95</v>
      </c>
      <c r="T233">
        <v>250</v>
      </c>
      <c r="U233">
        <v>190</v>
      </c>
      <c r="V233" t="s">
        <v>58</v>
      </c>
      <c r="W233" t="s">
        <v>59</v>
      </c>
      <c r="X233" t="s">
        <v>60</v>
      </c>
      <c r="Y233" t="s">
        <v>1319</v>
      </c>
      <c r="AF233" t="s">
        <v>13</v>
      </c>
      <c r="AG233" t="str">
        <f>HYPERLINK("https://doi.org/10.1515/9781474470292")</f>
        <v>https://doi.org/10.1515/9781474470292</v>
      </c>
      <c r="AH233" t="str">
        <f>HYPERLINK("http://www.degruyter.com/isbn/9781474470292")</f>
        <v>http://www.degruyter.com/isbn/9781474470292</v>
      </c>
      <c r="AI233" t="s">
        <v>68</v>
      </c>
      <c r="AL233" t="s">
        <v>62</v>
      </c>
      <c r="AM233">
        <v>1</v>
      </c>
      <c r="AN233" s="2">
        <v>9780748615438</v>
      </c>
    </row>
    <row r="234" spans="1:40" x14ac:dyDescent="0.3">
      <c r="A234" t="s">
        <v>1320</v>
      </c>
      <c r="B234" t="s">
        <v>1</v>
      </c>
      <c r="C234" t="s">
        <v>1321</v>
      </c>
      <c r="D234" t="s">
        <v>1322</v>
      </c>
      <c r="E234" t="s">
        <v>1323</v>
      </c>
      <c r="F234" t="s">
        <v>5</v>
      </c>
      <c r="G234" t="s">
        <v>6</v>
      </c>
      <c r="L234" t="s">
        <v>7</v>
      </c>
      <c r="M234">
        <v>2000</v>
      </c>
      <c r="N234" s="1">
        <v>36831</v>
      </c>
      <c r="O234" t="s">
        <v>1324</v>
      </c>
      <c r="P234">
        <v>1</v>
      </c>
      <c r="S234">
        <v>217.95</v>
      </c>
      <c r="T234">
        <v>250</v>
      </c>
      <c r="U234">
        <v>190</v>
      </c>
      <c r="V234" t="s">
        <v>1325</v>
      </c>
      <c r="W234" t="s">
        <v>1326</v>
      </c>
      <c r="X234" t="s">
        <v>1326</v>
      </c>
      <c r="Y234" t="s">
        <v>1327</v>
      </c>
      <c r="AF234" t="s">
        <v>13</v>
      </c>
      <c r="AG234" t="str">
        <f>HYPERLINK("https://doi.org/10.1515/9781474467711")</f>
        <v>https://doi.org/10.1515/9781474467711</v>
      </c>
      <c r="AH234" t="str">
        <f>HYPERLINK("http://www.degruyter.com/isbn/9781474467711")</f>
        <v>http://www.degruyter.com/isbn/9781474467711</v>
      </c>
      <c r="AI234" t="s">
        <v>68</v>
      </c>
      <c r="AL234" t="s">
        <v>1328</v>
      </c>
      <c r="AM234">
        <v>1</v>
      </c>
      <c r="AN234" s="2">
        <v>9780748613977</v>
      </c>
    </row>
    <row r="235" spans="1:40" x14ac:dyDescent="0.3">
      <c r="A235" t="s">
        <v>1329</v>
      </c>
      <c r="B235" t="s">
        <v>1</v>
      </c>
      <c r="C235" t="s">
        <v>1330</v>
      </c>
      <c r="D235" t="s">
        <v>1331</v>
      </c>
      <c r="E235" t="s">
        <v>1332</v>
      </c>
      <c r="F235" t="s">
        <v>5</v>
      </c>
      <c r="G235" t="s">
        <v>6</v>
      </c>
      <c r="K235" t="s">
        <v>929</v>
      </c>
      <c r="L235" t="s">
        <v>7</v>
      </c>
      <c r="M235">
        <v>2017</v>
      </c>
      <c r="N235" s="1">
        <v>42802</v>
      </c>
      <c r="O235" t="s">
        <v>1333</v>
      </c>
      <c r="P235">
        <v>1</v>
      </c>
      <c r="V235" t="s">
        <v>9</v>
      </c>
      <c r="W235" t="s">
        <v>10</v>
      </c>
      <c r="X235" t="s">
        <v>11</v>
      </c>
      <c r="Y235" t="s">
        <v>52</v>
      </c>
      <c r="AF235" t="s">
        <v>13</v>
      </c>
      <c r="AG235" t="str">
        <f>HYPERLINK("https://doi.org/10.1515/9780748696079?locatt=mode:legacy")</f>
        <v>https://doi.org/10.1515/9780748696079?locatt=mode:legacy</v>
      </c>
      <c r="AH235" t="str">
        <f>HYPERLINK("http://www.degruyter.com/isbn/9780748696079")</f>
        <v>http://www.degruyter.com/isbn/9780748696079</v>
      </c>
      <c r="AI235" t="s">
        <v>222</v>
      </c>
      <c r="AM235">
        <v>1</v>
      </c>
      <c r="AN235" s="2"/>
    </row>
    <row r="236" spans="1:40" x14ac:dyDescent="0.3">
      <c r="A236" t="s">
        <v>1334</v>
      </c>
      <c r="B236" t="s">
        <v>1</v>
      </c>
      <c r="C236" t="s">
        <v>1335</v>
      </c>
      <c r="D236" t="s">
        <v>1336</v>
      </c>
      <c r="E236" t="s">
        <v>1337</v>
      </c>
      <c r="F236" t="s">
        <v>5</v>
      </c>
      <c r="G236" t="s">
        <v>6</v>
      </c>
      <c r="L236" t="s">
        <v>7</v>
      </c>
      <c r="M236">
        <v>2010</v>
      </c>
      <c r="N236" s="1">
        <v>40305</v>
      </c>
      <c r="O236" t="s">
        <v>1338</v>
      </c>
      <c r="P236">
        <v>1</v>
      </c>
      <c r="S236">
        <v>209.95</v>
      </c>
      <c r="T236">
        <v>240</v>
      </c>
      <c r="U236">
        <v>180</v>
      </c>
      <c r="V236" t="s">
        <v>42</v>
      </c>
      <c r="W236" t="s">
        <v>43</v>
      </c>
      <c r="X236" t="s">
        <v>1061</v>
      </c>
      <c r="Y236" t="s">
        <v>1339</v>
      </c>
      <c r="AF236" t="s">
        <v>13</v>
      </c>
      <c r="AG236" t="str">
        <f>HYPERLINK("https://doi.org/10.1515/9780748641857?locatt=mode:legacy")</f>
        <v>https://doi.org/10.1515/9780748641857?locatt=mode:legacy</v>
      </c>
      <c r="AH236" t="str">
        <f>HYPERLINK("http://www.degruyter.com/isbn/9780748641857")</f>
        <v>http://www.degruyter.com/isbn/9780748641857</v>
      </c>
      <c r="AI236" t="s">
        <v>68</v>
      </c>
      <c r="AL236" t="s">
        <v>47</v>
      </c>
      <c r="AM236">
        <v>1</v>
      </c>
      <c r="AN236" s="2">
        <v>9780748640454</v>
      </c>
    </row>
    <row r="237" spans="1:40" x14ac:dyDescent="0.3">
      <c r="A237" t="s">
        <v>1340</v>
      </c>
      <c r="B237" t="s">
        <v>1</v>
      </c>
      <c r="C237" t="s">
        <v>1341</v>
      </c>
      <c r="D237" t="s">
        <v>1342</v>
      </c>
      <c r="E237" t="s">
        <v>1343</v>
      </c>
      <c r="F237" t="s">
        <v>5</v>
      </c>
      <c r="G237" t="s">
        <v>6</v>
      </c>
      <c r="L237" t="s">
        <v>7</v>
      </c>
      <c r="M237">
        <v>2019</v>
      </c>
      <c r="N237" s="1">
        <v>44656</v>
      </c>
      <c r="O237" t="s">
        <v>1344</v>
      </c>
      <c r="P237">
        <v>1</v>
      </c>
      <c r="S237">
        <v>217.95</v>
      </c>
      <c r="T237">
        <v>250</v>
      </c>
      <c r="U237">
        <v>190</v>
      </c>
      <c r="V237" t="s">
        <v>20</v>
      </c>
      <c r="W237" t="s">
        <v>21</v>
      </c>
      <c r="X237" t="s">
        <v>22</v>
      </c>
      <c r="Y237" t="s">
        <v>1345</v>
      </c>
      <c r="AF237" t="s">
        <v>13</v>
      </c>
      <c r="AG237" t="str">
        <f>HYPERLINK("https://doi.org/10.1515/9781474449441")</f>
        <v>https://doi.org/10.1515/9781474449441</v>
      </c>
      <c r="AH237" t="str">
        <f>HYPERLINK("http://www.degruyter.com/isbn/9781474449441")</f>
        <v>http://www.degruyter.com/isbn/9781474449441</v>
      </c>
      <c r="AI237" t="s">
        <v>280</v>
      </c>
      <c r="AJ237" t="s">
        <v>35</v>
      </c>
      <c r="AL237" t="s">
        <v>1346</v>
      </c>
      <c r="AM237">
        <v>1</v>
      </c>
      <c r="AN237" s="2">
        <v>9781474449427</v>
      </c>
    </row>
    <row r="238" spans="1:40" x14ac:dyDescent="0.3">
      <c r="A238" t="s">
        <v>1347</v>
      </c>
      <c r="B238" t="s">
        <v>1</v>
      </c>
      <c r="C238" t="s">
        <v>1348</v>
      </c>
      <c r="E238" t="s">
        <v>1349</v>
      </c>
      <c r="F238" t="s">
        <v>5</v>
      </c>
      <c r="G238" t="s">
        <v>6</v>
      </c>
      <c r="L238" t="s">
        <v>7</v>
      </c>
      <c r="M238">
        <v>2019</v>
      </c>
      <c r="N238" s="1">
        <v>44644</v>
      </c>
      <c r="O238" t="s">
        <v>1350</v>
      </c>
      <c r="P238">
        <v>1</v>
      </c>
      <c r="S238">
        <v>321.95</v>
      </c>
      <c r="T238">
        <v>370</v>
      </c>
      <c r="U238">
        <v>280</v>
      </c>
      <c r="V238" t="s">
        <v>268</v>
      </c>
      <c r="W238" t="s">
        <v>269</v>
      </c>
      <c r="X238" t="s">
        <v>269</v>
      </c>
      <c r="Y238" t="s">
        <v>270</v>
      </c>
      <c r="AF238" t="s">
        <v>13</v>
      </c>
      <c r="AG238" t="str">
        <f>HYPERLINK("https://doi.org/10.1515/9781474447874?locatt=mode:legacy")</f>
        <v>https://doi.org/10.1515/9781474447874?locatt=mode:legacy</v>
      </c>
      <c r="AH238" t="str">
        <f>HYPERLINK("http://www.degruyter.com/isbn/9781474447874")</f>
        <v>http://www.degruyter.com/isbn/9781474447874</v>
      </c>
      <c r="AI238" t="s">
        <v>1351</v>
      </c>
      <c r="AL238" t="s">
        <v>272</v>
      </c>
      <c r="AM238">
        <v>1</v>
      </c>
      <c r="AN238" s="2">
        <v>9781474447850</v>
      </c>
    </row>
    <row r="239" spans="1:40" x14ac:dyDescent="0.3">
      <c r="A239" t="s">
        <v>1352</v>
      </c>
      <c r="B239" t="s">
        <v>1</v>
      </c>
      <c r="C239" t="s">
        <v>1353</v>
      </c>
      <c r="D239" t="s">
        <v>1354</v>
      </c>
      <c r="E239" t="s">
        <v>1355</v>
      </c>
      <c r="F239" t="s">
        <v>5</v>
      </c>
      <c r="G239" t="s">
        <v>6</v>
      </c>
      <c r="L239" t="s">
        <v>7</v>
      </c>
      <c r="M239">
        <v>2013</v>
      </c>
      <c r="N239" s="1">
        <v>41524</v>
      </c>
      <c r="O239" t="s">
        <v>1356</v>
      </c>
      <c r="P239">
        <v>1</v>
      </c>
      <c r="S239">
        <v>331.95</v>
      </c>
      <c r="T239">
        <v>380</v>
      </c>
      <c r="U239">
        <v>290</v>
      </c>
      <c r="V239" t="s">
        <v>42</v>
      </c>
      <c r="W239" t="s">
        <v>116</v>
      </c>
      <c r="X239" t="s">
        <v>116</v>
      </c>
      <c r="Y239" t="s">
        <v>117</v>
      </c>
      <c r="AF239" t="s">
        <v>13</v>
      </c>
      <c r="AG239" t="str">
        <f>HYPERLINK("https://doi.org/10.1515/9780748685554")</f>
        <v>https://doi.org/10.1515/9780748685554</v>
      </c>
      <c r="AH239" t="str">
        <f>HYPERLINK("http://www.degruyter.com/isbn/9780748685554")</f>
        <v>http://www.degruyter.com/isbn/9780748685554</v>
      </c>
      <c r="AI239" t="s">
        <v>68</v>
      </c>
      <c r="AL239" t="s">
        <v>47</v>
      </c>
      <c r="AM239">
        <v>1</v>
      </c>
      <c r="AN239" s="2">
        <v>9780748685530</v>
      </c>
    </row>
    <row r="240" spans="1:40" x14ac:dyDescent="0.3">
      <c r="A240" t="s">
        <v>1357</v>
      </c>
      <c r="B240" t="s">
        <v>1</v>
      </c>
      <c r="C240" t="s">
        <v>1358</v>
      </c>
      <c r="D240" t="s">
        <v>1359</v>
      </c>
      <c r="E240" t="s">
        <v>1360</v>
      </c>
      <c r="F240" t="s">
        <v>5</v>
      </c>
      <c r="G240" t="s">
        <v>6</v>
      </c>
      <c r="L240" t="s">
        <v>7</v>
      </c>
      <c r="M240">
        <v>2017</v>
      </c>
      <c r="N240" s="1">
        <v>43026</v>
      </c>
      <c r="O240" t="s">
        <v>1361</v>
      </c>
      <c r="P240">
        <v>1</v>
      </c>
      <c r="S240">
        <v>217.95</v>
      </c>
      <c r="T240">
        <v>250</v>
      </c>
      <c r="U240">
        <v>190</v>
      </c>
      <c r="V240" t="s">
        <v>9</v>
      </c>
      <c r="W240" t="s">
        <v>10</v>
      </c>
      <c r="X240" t="s">
        <v>11</v>
      </c>
      <c r="Y240" t="s">
        <v>52</v>
      </c>
      <c r="AF240" t="s">
        <v>13</v>
      </c>
      <c r="AG240" t="str">
        <f>HYPERLINK("https://doi.org/10.1515/9781474413107?locatt=mode:legacy")</f>
        <v>https://doi.org/10.1515/9781474413107?locatt=mode:legacy</v>
      </c>
      <c r="AH240" t="str">
        <f>HYPERLINK("http://www.degruyter.com/isbn/9781474413107")</f>
        <v>http://www.degruyter.com/isbn/9781474413107</v>
      </c>
      <c r="AI240" t="s">
        <v>1362</v>
      </c>
      <c r="AL240" t="s">
        <v>15</v>
      </c>
      <c r="AM240">
        <v>1</v>
      </c>
      <c r="AN240" s="2">
        <v>9781474413091</v>
      </c>
    </row>
    <row r="241" spans="1:40" x14ac:dyDescent="0.3">
      <c r="A241" t="s">
        <v>1363</v>
      </c>
      <c r="B241" t="s">
        <v>1</v>
      </c>
      <c r="C241" t="s">
        <v>1364</v>
      </c>
      <c r="D241" t="s">
        <v>1365</v>
      </c>
      <c r="E241" t="s">
        <v>1366</v>
      </c>
      <c r="F241" t="s">
        <v>5</v>
      </c>
      <c r="G241" t="s">
        <v>6</v>
      </c>
      <c r="L241" t="s">
        <v>7</v>
      </c>
      <c r="M241">
        <v>1998</v>
      </c>
      <c r="N241" s="1">
        <v>44719</v>
      </c>
      <c r="O241" t="s">
        <v>1367</v>
      </c>
      <c r="P241">
        <v>1</v>
      </c>
      <c r="S241">
        <v>217.95</v>
      </c>
      <c r="T241">
        <v>250</v>
      </c>
      <c r="U241">
        <v>190</v>
      </c>
      <c r="V241" t="s">
        <v>89</v>
      </c>
      <c r="W241" t="s">
        <v>90</v>
      </c>
      <c r="X241" t="s">
        <v>1368</v>
      </c>
      <c r="Y241" t="s">
        <v>1369</v>
      </c>
      <c r="AF241" t="s">
        <v>13</v>
      </c>
      <c r="AG241" t="str">
        <f>HYPERLINK("https://doi.org/10.1515/9781474471503")</f>
        <v>https://doi.org/10.1515/9781474471503</v>
      </c>
      <c r="AH241" t="str">
        <f>HYPERLINK("http://www.degruyter.com/isbn/9781474471503")</f>
        <v>http://www.degruyter.com/isbn/9781474471503</v>
      </c>
      <c r="AI241" t="s">
        <v>24</v>
      </c>
      <c r="AJ241" t="s">
        <v>35</v>
      </c>
      <c r="AL241" t="s">
        <v>718</v>
      </c>
      <c r="AM241">
        <v>1</v>
      </c>
      <c r="AN241" s="2">
        <v>9780748610570</v>
      </c>
    </row>
    <row r="242" spans="1:40" x14ac:dyDescent="0.3">
      <c r="A242" t="s">
        <v>1370</v>
      </c>
      <c r="B242" t="s">
        <v>1</v>
      </c>
      <c r="C242" t="s">
        <v>1371</v>
      </c>
      <c r="D242" t="s">
        <v>1372</v>
      </c>
      <c r="E242" t="s">
        <v>1373</v>
      </c>
      <c r="F242" t="s">
        <v>5</v>
      </c>
      <c r="G242" t="s">
        <v>6</v>
      </c>
      <c r="L242" t="s">
        <v>7</v>
      </c>
      <c r="M242">
        <v>2018</v>
      </c>
      <c r="N242" s="1">
        <v>44656</v>
      </c>
      <c r="O242" t="s">
        <v>1374</v>
      </c>
      <c r="P242">
        <v>1</v>
      </c>
      <c r="S242">
        <v>253.95</v>
      </c>
      <c r="T242">
        <v>290</v>
      </c>
      <c r="U242">
        <v>220</v>
      </c>
      <c r="V242" t="s">
        <v>79</v>
      </c>
      <c r="W242" t="s">
        <v>209</v>
      </c>
      <c r="X242" t="s">
        <v>209</v>
      </c>
      <c r="Y242" t="s">
        <v>699</v>
      </c>
      <c r="AF242" t="s">
        <v>13</v>
      </c>
      <c r="AG242" t="str">
        <f>HYPERLINK("https://doi.org/10.1515/9780748696239")</f>
        <v>https://doi.org/10.1515/9780748696239</v>
      </c>
      <c r="AH242" t="str">
        <f>HYPERLINK("http://www.degruyter.com/isbn/9780748696239")</f>
        <v>http://www.degruyter.com/isbn/9780748696239</v>
      </c>
      <c r="AI242" t="s">
        <v>46</v>
      </c>
      <c r="AL242" t="s">
        <v>83</v>
      </c>
      <c r="AM242">
        <v>1</v>
      </c>
      <c r="AN242" s="2">
        <v>9780748696222</v>
      </c>
    </row>
    <row r="243" spans="1:40" x14ac:dyDescent="0.3">
      <c r="A243" t="s">
        <v>1375</v>
      </c>
      <c r="B243" t="s">
        <v>1</v>
      </c>
      <c r="C243" t="s">
        <v>1376</v>
      </c>
      <c r="E243" t="s">
        <v>1377</v>
      </c>
      <c r="F243" t="s">
        <v>5</v>
      </c>
      <c r="G243" t="s">
        <v>6</v>
      </c>
      <c r="L243" t="s">
        <v>7</v>
      </c>
      <c r="M243">
        <v>2013</v>
      </c>
      <c r="N243" s="1">
        <v>41332</v>
      </c>
      <c r="O243" t="s">
        <v>1378</v>
      </c>
      <c r="P243">
        <v>1</v>
      </c>
      <c r="S243">
        <v>321.95</v>
      </c>
      <c r="T243">
        <v>370</v>
      </c>
      <c r="U243">
        <v>280</v>
      </c>
      <c r="V243" t="s">
        <v>42</v>
      </c>
      <c r="W243" t="s">
        <v>1379</v>
      </c>
      <c r="X243" t="s">
        <v>1380</v>
      </c>
      <c r="Y243" t="s">
        <v>1381</v>
      </c>
      <c r="AF243" t="s">
        <v>13</v>
      </c>
      <c r="AG243" t="str">
        <f>HYPERLINK("https://doi.org/10.1515/9780748680375")</f>
        <v>https://doi.org/10.1515/9780748680375</v>
      </c>
      <c r="AH243" t="str">
        <f>HYPERLINK("http://www.degruyter.com/isbn/9780748680375")</f>
        <v>http://www.degruyter.com/isbn/9780748680375</v>
      </c>
      <c r="AI243" t="s">
        <v>68</v>
      </c>
      <c r="AL243" t="s">
        <v>47</v>
      </c>
      <c r="AM243">
        <v>1</v>
      </c>
      <c r="AN243" s="2">
        <v>9780748622757</v>
      </c>
    </row>
    <row r="244" spans="1:40" x14ac:dyDescent="0.3">
      <c r="A244" t="s">
        <v>1382</v>
      </c>
      <c r="B244" t="s">
        <v>1</v>
      </c>
      <c r="C244" t="s">
        <v>1383</v>
      </c>
      <c r="E244" t="s">
        <v>1384</v>
      </c>
      <c r="F244" t="s">
        <v>5</v>
      </c>
      <c r="G244" t="s">
        <v>6</v>
      </c>
      <c r="L244" t="s">
        <v>7</v>
      </c>
      <c r="M244">
        <v>2000</v>
      </c>
      <c r="N244" s="1">
        <v>36647</v>
      </c>
      <c r="O244" t="s">
        <v>1385</v>
      </c>
      <c r="P244">
        <v>1</v>
      </c>
      <c r="S244">
        <v>227.95</v>
      </c>
      <c r="T244">
        <v>260</v>
      </c>
      <c r="U244">
        <v>200</v>
      </c>
      <c r="V244" t="s">
        <v>42</v>
      </c>
      <c r="W244" t="s">
        <v>107</v>
      </c>
      <c r="X244" t="s">
        <v>108</v>
      </c>
      <c r="Y244" t="s">
        <v>221</v>
      </c>
      <c r="AF244" t="s">
        <v>13</v>
      </c>
      <c r="AG244" t="str">
        <f>HYPERLINK("https://doi.org/10.1515/9780748699346")</f>
        <v>https://doi.org/10.1515/9780748699346</v>
      </c>
      <c r="AH244" t="str">
        <f>HYPERLINK("http://www.degruyter.com/isbn/9780748699346")</f>
        <v>http://www.degruyter.com/isbn/9780748699346</v>
      </c>
      <c r="AI244" t="s">
        <v>68</v>
      </c>
      <c r="AL244" t="s">
        <v>47</v>
      </c>
      <c r="AM244">
        <v>1</v>
      </c>
      <c r="AN244" s="2">
        <v>9780748611980</v>
      </c>
    </row>
    <row r="245" spans="1:40" x14ac:dyDescent="0.3">
      <c r="A245" t="s">
        <v>1386</v>
      </c>
      <c r="B245" t="s">
        <v>1</v>
      </c>
      <c r="C245" t="s">
        <v>1387</v>
      </c>
      <c r="D245" t="s">
        <v>1388</v>
      </c>
      <c r="E245" t="s">
        <v>1389</v>
      </c>
      <c r="F245" t="s">
        <v>5</v>
      </c>
      <c r="G245" t="s">
        <v>6</v>
      </c>
      <c r="L245" t="s">
        <v>7</v>
      </c>
      <c r="M245">
        <v>2014</v>
      </c>
      <c r="N245" s="1">
        <v>41717</v>
      </c>
      <c r="O245" t="s">
        <v>1390</v>
      </c>
      <c r="P245">
        <v>1</v>
      </c>
      <c r="S245">
        <v>227.95</v>
      </c>
      <c r="T245">
        <v>260</v>
      </c>
      <c r="U245">
        <v>200</v>
      </c>
      <c r="V245" t="s">
        <v>79</v>
      </c>
      <c r="W245" t="s">
        <v>209</v>
      </c>
      <c r="X245" t="s">
        <v>209</v>
      </c>
      <c r="Y245" t="s">
        <v>510</v>
      </c>
      <c r="AF245" t="s">
        <v>13</v>
      </c>
      <c r="AG245" t="str">
        <f>HYPERLINK("https://doi.org/10.1515/9780748689330")</f>
        <v>https://doi.org/10.1515/9780748689330</v>
      </c>
      <c r="AH245" t="str">
        <f>HYPERLINK("http://www.degruyter.com/isbn/9780748689330")</f>
        <v>http://www.degruyter.com/isbn/9780748689330</v>
      </c>
      <c r="AI245" t="s">
        <v>34</v>
      </c>
      <c r="AL245" t="s">
        <v>83</v>
      </c>
      <c r="AM245">
        <v>1</v>
      </c>
      <c r="AN245" s="2">
        <v>9780748689316</v>
      </c>
    </row>
    <row r="246" spans="1:40" x14ac:dyDescent="0.3">
      <c r="A246" t="s">
        <v>1391</v>
      </c>
      <c r="B246" t="s">
        <v>1</v>
      </c>
      <c r="C246" t="s">
        <v>1392</v>
      </c>
      <c r="D246" t="s">
        <v>1393</v>
      </c>
      <c r="E246" t="s">
        <v>1394</v>
      </c>
      <c r="F246" t="s">
        <v>5</v>
      </c>
      <c r="G246" t="s">
        <v>6</v>
      </c>
      <c r="L246" t="s">
        <v>7</v>
      </c>
      <c r="M246">
        <v>2012</v>
      </c>
      <c r="N246" s="1">
        <v>41016</v>
      </c>
      <c r="O246" t="s">
        <v>545</v>
      </c>
      <c r="P246">
        <v>1</v>
      </c>
      <c r="S246">
        <v>87.95</v>
      </c>
      <c r="T246">
        <v>99.95</v>
      </c>
      <c r="U246">
        <v>76</v>
      </c>
      <c r="V246" t="s">
        <v>58</v>
      </c>
      <c r="W246" t="s">
        <v>59</v>
      </c>
      <c r="X246" t="s">
        <v>60</v>
      </c>
      <c r="Y246" t="s">
        <v>61</v>
      </c>
      <c r="AF246" t="s">
        <v>13</v>
      </c>
      <c r="AG246" t="str">
        <f>HYPERLINK("https://doi.org/10.1515/9780748646722")</f>
        <v>https://doi.org/10.1515/9780748646722</v>
      </c>
      <c r="AH246" t="str">
        <f>HYPERLINK("http://www.degruyter.com/isbn/9780748646722")</f>
        <v>http://www.degruyter.com/isbn/9780748646722</v>
      </c>
      <c r="AI246" t="s">
        <v>68</v>
      </c>
      <c r="AL246" t="s">
        <v>62</v>
      </c>
      <c r="AM246">
        <v>1</v>
      </c>
      <c r="AN246" s="2">
        <v>9780748646715</v>
      </c>
    </row>
    <row r="247" spans="1:40" x14ac:dyDescent="0.3">
      <c r="A247" t="s">
        <v>1395</v>
      </c>
      <c r="B247" t="s">
        <v>1</v>
      </c>
      <c r="C247" t="s">
        <v>1396</v>
      </c>
      <c r="E247" t="s">
        <v>1397</v>
      </c>
      <c r="F247" t="s">
        <v>5</v>
      </c>
      <c r="G247" t="s">
        <v>6</v>
      </c>
      <c r="L247" t="s">
        <v>7</v>
      </c>
      <c r="M247">
        <v>2013</v>
      </c>
      <c r="N247" s="1">
        <v>41439</v>
      </c>
      <c r="O247" t="s">
        <v>1398</v>
      </c>
      <c r="P247">
        <v>1</v>
      </c>
      <c r="S247">
        <v>243.95</v>
      </c>
      <c r="T247">
        <v>280</v>
      </c>
      <c r="U247">
        <v>210</v>
      </c>
      <c r="V247" t="s">
        <v>79</v>
      </c>
      <c r="W247" t="s">
        <v>783</v>
      </c>
      <c r="X247" t="s">
        <v>783</v>
      </c>
      <c r="Y247" t="s">
        <v>784</v>
      </c>
      <c r="AF247" t="s">
        <v>13</v>
      </c>
      <c r="AG247" t="str">
        <f>HYPERLINK("https://doi.org/10.1515/9780748681662")</f>
        <v>https://doi.org/10.1515/9780748681662</v>
      </c>
      <c r="AH247" t="str">
        <f>HYPERLINK("http://www.degruyter.com/isbn/9780748681662")</f>
        <v>http://www.degruyter.com/isbn/9780748681662</v>
      </c>
      <c r="AI247" t="s">
        <v>68</v>
      </c>
      <c r="AL247" t="s">
        <v>83</v>
      </c>
      <c r="AM247">
        <v>1</v>
      </c>
      <c r="AN247" s="2">
        <v>9780748640096</v>
      </c>
    </row>
    <row r="248" spans="1:40" x14ac:dyDescent="0.3">
      <c r="A248" t="s">
        <v>1399</v>
      </c>
      <c r="B248" t="s">
        <v>1</v>
      </c>
      <c r="C248" t="s">
        <v>1400</v>
      </c>
      <c r="E248" t="s">
        <v>1401</v>
      </c>
      <c r="F248" t="s">
        <v>5</v>
      </c>
      <c r="G248" t="s">
        <v>6</v>
      </c>
      <c r="K248" t="s">
        <v>929</v>
      </c>
      <c r="L248" t="s">
        <v>7</v>
      </c>
      <c r="M248">
        <v>2017</v>
      </c>
      <c r="N248" s="1">
        <v>43040</v>
      </c>
      <c r="O248" t="s">
        <v>1402</v>
      </c>
      <c r="P248">
        <v>1</v>
      </c>
      <c r="V248" t="s">
        <v>42</v>
      </c>
      <c r="W248" t="s">
        <v>290</v>
      </c>
      <c r="X248" t="s">
        <v>290</v>
      </c>
      <c r="Y248" t="s">
        <v>291</v>
      </c>
      <c r="AF248" t="s">
        <v>13</v>
      </c>
      <c r="AG248" t="str">
        <f>HYPERLINK("https://doi.org/10.1515/9781474423533")</f>
        <v>https://doi.org/10.1515/9781474423533</v>
      </c>
      <c r="AH248" t="str">
        <f>HYPERLINK("http://www.degruyter.com/isbn/9781474423533")</f>
        <v>http://www.degruyter.com/isbn/9781474423533</v>
      </c>
      <c r="AI248" t="s">
        <v>222</v>
      </c>
      <c r="AM248">
        <v>1</v>
      </c>
      <c r="AN248" s="2"/>
    </row>
    <row r="249" spans="1:40" x14ac:dyDescent="0.3">
      <c r="A249" t="s">
        <v>1403</v>
      </c>
      <c r="B249" t="s">
        <v>1</v>
      </c>
      <c r="C249" t="s">
        <v>1404</v>
      </c>
      <c r="D249" t="s">
        <v>1405</v>
      </c>
      <c r="E249" t="s">
        <v>1406</v>
      </c>
      <c r="F249" t="s">
        <v>5</v>
      </c>
      <c r="G249" t="s">
        <v>6</v>
      </c>
      <c r="L249" t="s">
        <v>7</v>
      </c>
      <c r="M249">
        <v>2016</v>
      </c>
      <c r="N249" s="1">
        <v>42569</v>
      </c>
      <c r="O249" t="s">
        <v>1407</v>
      </c>
      <c r="P249">
        <v>1</v>
      </c>
      <c r="S249">
        <v>217.95</v>
      </c>
      <c r="T249">
        <v>250</v>
      </c>
      <c r="U249">
        <v>190</v>
      </c>
      <c r="V249" t="s">
        <v>268</v>
      </c>
      <c r="W249" t="s">
        <v>1408</v>
      </c>
      <c r="X249" t="s">
        <v>1409</v>
      </c>
      <c r="Y249" t="s">
        <v>1410</v>
      </c>
      <c r="AF249" t="s">
        <v>13</v>
      </c>
      <c r="AG249" t="str">
        <f>HYPERLINK("https://doi.org/10.1515/9780748697601")</f>
        <v>https://doi.org/10.1515/9780748697601</v>
      </c>
      <c r="AH249" t="str">
        <f>HYPERLINK("http://www.degruyter.com/isbn/9780748697601")</f>
        <v>http://www.degruyter.com/isbn/9780748697601</v>
      </c>
      <c r="AI249" t="s">
        <v>1411</v>
      </c>
      <c r="AL249" t="s">
        <v>272</v>
      </c>
      <c r="AM249">
        <v>1</v>
      </c>
      <c r="AN249" s="2">
        <v>9780748697595</v>
      </c>
    </row>
    <row r="250" spans="1:40" x14ac:dyDescent="0.3">
      <c r="A250" t="s">
        <v>1412</v>
      </c>
      <c r="B250" t="s">
        <v>1</v>
      </c>
      <c r="C250" t="s">
        <v>1413</v>
      </c>
      <c r="D250" t="s">
        <v>1414</v>
      </c>
      <c r="E250" t="s">
        <v>1415</v>
      </c>
      <c r="F250" t="s">
        <v>5</v>
      </c>
      <c r="G250" t="s">
        <v>6</v>
      </c>
      <c r="L250" t="s">
        <v>7</v>
      </c>
      <c r="M250">
        <v>2005</v>
      </c>
      <c r="N250" s="1">
        <v>44607</v>
      </c>
      <c r="O250" t="s">
        <v>1416</v>
      </c>
      <c r="P250">
        <v>1</v>
      </c>
      <c r="S250">
        <v>217.95</v>
      </c>
      <c r="T250">
        <v>250</v>
      </c>
      <c r="U250">
        <v>190</v>
      </c>
      <c r="V250" t="s">
        <v>42</v>
      </c>
      <c r="W250" t="s">
        <v>740</v>
      </c>
      <c r="X250" t="s">
        <v>741</v>
      </c>
      <c r="Y250" t="s">
        <v>742</v>
      </c>
      <c r="AF250" t="s">
        <v>13</v>
      </c>
      <c r="AG250" t="str">
        <f>HYPERLINK("https://doi.org/10.1515/9781474472210")</f>
        <v>https://doi.org/10.1515/9781474472210</v>
      </c>
      <c r="AH250" t="str">
        <f>HYPERLINK("http://www.degruyter.com/isbn/9781474472210")</f>
        <v>http://www.degruyter.com/isbn/9781474472210</v>
      </c>
      <c r="AI250" t="s">
        <v>68</v>
      </c>
      <c r="AL250" t="s">
        <v>47</v>
      </c>
      <c r="AM250">
        <v>1</v>
      </c>
      <c r="AN250" s="2">
        <v>9780748615537</v>
      </c>
    </row>
    <row r="251" spans="1:40" x14ac:dyDescent="0.3">
      <c r="A251" t="s">
        <v>1417</v>
      </c>
      <c r="B251" t="s">
        <v>1</v>
      </c>
      <c r="C251" t="s">
        <v>1418</v>
      </c>
      <c r="E251" t="s">
        <v>1419</v>
      </c>
      <c r="F251" t="s">
        <v>5</v>
      </c>
      <c r="G251" t="s">
        <v>6</v>
      </c>
      <c r="L251" t="s">
        <v>7</v>
      </c>
      <c r="M251">
        <v>1999</v>
      </c>
      <c r="N251" s="1">
        <v>44719</v>
      </c>
      <c r="O251" t="s">
        <v>1420</v>
      </c>
      <c r="P251">
        <v>1</v>
      </c>
      <c r="S251">
        <v>217.95</v>
      </c>
      <c r="T251">
        <v>250</v>
      </c>
      <c r="U251">
        <v>190</v>
      </c>
      <c r="V251" t="s">
        <v>58</v>
      </c>
      <c r="W251" t="s">
        <v>129</v>
      </c>
      <c r="X251" t="s">
        <v>130</v>
      </c>
      <c r="Y251" t="s">
        <v>131</v>
      </c>
      <c r="AF251" t="s">
        <v>13</v>
      </c>
      <c r="AG251" t="str">
        <f>HYPERLINK("https://doi.org/10.1515/9781474464437")</f>
        <v>https://doi.org/10.1515/9781474464437</v>
      </c>
      <c r="AH251" t="str">
        <f>HYPERLINK("http://www.degruyter.com/isbn/9781474464437")</f>
        <v>http://www.degruyter.com/isbn/9781474464437</v>
      </c>
      <c r="AI251" t="s">
        <v>24</v>
      </c>
      <c r="AL251" t="s">
        <v>62</v>
      </c>
      <c r="AM251">
        <v>1</v>
      </c>
      <c r="AN251" s="2">
        <v>9780748610525</v>
      </c>
    </row>
    <row r="252" spans="1:40" x14ac:dyDescent="0.3">
      <c r="A252" t="s">
        <v>1421</v>
      </c>
      <c r="B252" t="s">
        <v>1</v>
      </c>
      <c r="C252" t="s">
        <v>1422</v>
      </c>
      <c r="D252" t="s">
        <v>1423</v>
      </c>
      <c r="E252" t="s">
        <v>1424</v>
      </c>
      <c r="F252" t="s">
        <v>5</v>
      </c>
      <c r="G252" t="s">
        <v>6</v>
      </c>
      <c r="L252" t="s">
        <v>7</v>
      </c>
      <c r="M252">
        <v>2010</v>
      </c>
      <c r="N252" s="1">
        <v>40477</v>
      </c>
      <c r="O252" t="s">
        <v>1425</v>
      </c>
      <c r="P252">
        <v>1</v>
      </c>
      <c r="S252">
        <v>227.95</v>
      </c>
      <c r="T252">
        <v>260</v>
      </c>
      <c r="U252">
        <v>200</v>
      </c>
      <c r="V252" t="s">
        <v>89</v>
      </c>
      <c r="W252" t="s">
        <v>90</v>
      </c>
      <c r="X252" t="s">
        <v>91</v>
      </c>
      <c r="Y252" t="s">
        <v>717</v>
      </c>
      <c r="AF252" t="s">
        <v>13</v>
      </c>
      <c r="AG252" t="str">
        <f>HYPERLINK("https://doi.org/10.1515/9780748643738")</f>
        <v>https://doi.org/10.1515/9780748643738</v>
      </c>
      <c r="AH252" t="str">
        <f>HYPERLINK("http://www.degruyter.com/isbn/9780748643738")</f>
        <v>http://www.degruyter.com/isbn/9780748643738</v>
      </c>
      <c r="AI252" t="s">
        <v>68</v>
      </c>
      <c r="AL252" t="s">
        <v>83</v>
      </c>
      <c r="AM252">
        <v>1</v>
      </c>
      <c r="AN252" s="2">
        <v>9780748641338</v>
      </c>
    </row>
    <row r="253" spans="1:40" x14ac:dyDescent="0.3">
      <c r="A253" t="s">
        <v>1426</v>
      </c>
      <c r="B253" t="s">
        <v>1</v>
      </c>
      <c r="C253" t="s">
        <v>1427</v>
      </c>
      <c r="E253" t="s">
        <v>1428</v>
      </c>
      <c r="F253" t="s">
        <v>5</v>
      </c>
      <c r="G253" t="s">
        <v>6</v>
      </c>
      <c r="L253" t="s">
        <v>7</v>
      </c>
      <c r="M253">
        <v>2003</v>
      </c>
      <c r="N253" s="1">
        <v>44634</v>
      </c>
      <c r="O253" t="s">
        <v>1429</v>
      </c>
      <c r="P253">
        <v>1</v>
      </c>
      <c r="S253">
        <v>217.95</v>
      </c>
      <c r="T253">
        <v>250</v>
      </c>
      <c r="U253">
        <v>190</v>
      </c>
      <c r="V253" t="s">
        <v>98</v>
      </c>
      <c r="W253" t="s">
        <v>99</v>
      </c>
      <c r="X253" t="s">
        <v>386</v>
      </c>
      <c r="Y253" t="s">
        <v>387</v>
      </c>
      <c r="AF253" t="s">
        <v>13</v>
      </c>
      <c r="AG253" t="str">
        <f>HYPERLINK("https://doi.org/10.1515/9781474468848")</f>
        <v>https://doi.org/10.1515/9781474468848</v>
      </c>
      <c r="AH253" t="str">
        <f>HYPERLINK("http://www.degruyter.com/isbn/9781474468848")</f>
        <v>http://www.degruyter.com/isbn/9781474468848</v>
      </c>
      <c r="AI253" t="s">
        <v>68</v>
      </c>
      <c r="AL253" t="s">
        <v>102</v>
      </c>
      <c r="AM253">
        <v>1</v>
      </c>
      <c r="AN253" s="2">
        <v>9780748617838</v>
      </c>
    </row>
    <row r="254" spans="1:40" x14ac:dyDescent="0.3">
      <c r="A254" t="s">
        <v>1430</v>
      </c>
      <c r="B254" t="s">
        <v>1</v>
      </c>
      <c r="C254" t="s">
        <v>1431</v>
      </c>
      <c r="D254" t="s">
        <v>1432</v>
      </c>
      <c r="E254" t="s">
        <v>1433</v>
      </c>
      <c r="F254" t="s">
        <v>5</v>
      </c>
      <c r="G254" t="s">
        <v>6</v>
      </c>
      <c r="L254" t="s">
        <v>7</v>
      </c>
      <c r="M254">
        <v>2014</v>
      </c>
      <c r="N254" s="1">
        <v>41808</v>
      </c>
      <c r="O254" t="s">
        <v>1434</v>
      </c>
      <c r="P254">
        <v>1</v>
      </c>
      <c r="S254">
        <v>243.95</v>
      </c>
      <c r="T254">
        <v>280</v>
      </c>
      <c r="U254">
        <v>210</v>
      </c>
      <c r="V254" t="s">
        <v>79</v>
      </c>
      <c r="W254" t="s">
        <v>123</v>
      </c>
      <c r="X254" t="s">
        <v>123</v>
      </c>
      <c r="Y254" t="s">
        <v>124</v>
      </c>
      <c r="AF254" t="s">
        <v>13</v>
      </c>
      <c r="AG254" t="str">
        <f>HYPERLINK("https://doi.org/10.1515/9780748681891")</f>
        <v>https://doi.org/10.1515/9780748681891</v>
      </c>
      <c r="AH254" t="str">
        <f>HYPERLINK("http://www.degruyter.com/isbn/9780748681891")</f>
        <v>http://www.degruyter.com/isbn/9780748681891</v>
      </c>
      <c r="AI254" t="s">
        <v>34</v>
      </c>
      <c r="AJ254" t="s">
        <v>35</v>
      </c>
      <c r="AL254" t="s">
        <v>718</v>
      </c>
      <c r="AM254">
        <v>1</v>
      </c>
      <c r="AN254" s="2">
        <v>9780748681884</v>
      </c>
    </row>
    <row r="255" spans="1:40" x14ac:dyDescent="0.3">
      <c r="A255" t="s">
        <v>1435</v>
      </c>
      <c r="B255" t="s">
        <v>1</v>
      </c>
      <c r="C255" t="s">
        <v>1436</v>
      </c>
      <c r="E255" t="s">
        <v>1437</v>
      </c>
      <c r="F255" t="s">
        <v>5</v>
      </c>
      <c r="G255" t="s">
        <v>6</v>
      </c>
      <c r="L255" t="s">
        <v>7</v>
      </c>
      <c r="M255">
        <v>2005</v>
      </c>
      <c r="N255" s="1">
        <v>38406</v>
      </c>
      <c r="O255" t="s">
        <v>1438</v>
      </c>
      <c r="P255">
        <v>1</v>
      </c>
      <c r="S255">
        <v>227.95</v>
      </c>
      <c r="T255">
        <v>260</v>
      </c>
      <c r="U255">
        <v>200</v>
      </c>
      <c r="V255" t="s">
        <v>42</v>
      </c>
      <c r="W255" t="s">
        <v>43</v>
      </c>
      <c r="X255" t="s">
        <v>44</v>
      </c>
      <c r="Y255" t="s">
        <v>45</v>
      </c>
      <c r="AF255" t="s">
        <v>13</v>
      </c>
      <c r="AG255" t="str">
        <f>HYPERLINK("https://doi.org/10.1515/9781474470841")</f>
        <v>https://doi.org/10.1515/9781474470841</v>
      </c>
      <c r="AH255" t="str">
        <f>HYPERLINK("http://www.degruyter.com/isbn/9781474470841")</f>
        <v>http://www.degruyter.com/isbn/9781474470841</v>
      </c>
      <c r="AI255" t="s">
        <v>68</v>
      </c>
      <c r="AL255" t="s">
        <v>47</v>
      </c>
      <c r="AM255">
        <v>1</v>
      </c>
      <c r="AN255" s="2">
        <v>9780748614899</v>
      </c>
    </row>
    <row r="256" spans="1:40" x14ac:dyDescent="0.3">
      <c r="A256" t="s">
        <v>1439</v>
      </c>
      <c r="B256" t="s">
        <v>1</v>
      </c>
      <c r="C256" t="s">
        <v>1440</v>
      </c>
      <c r="D256" t="s">
        <v>1441</v>
      </c>
      <c r="E256" t="s">
        <v>1442</v>
      </c>
      <c r="F256" t="s">
        <v>5</v>
      </c>
      <c r="G256" t="s">
        <v>6</v>
      </c>
      <c r="L256" t="s">
        <v>7</v>
      </c>
      <c r="M256">
        <v>2015</v>
      </c>
      <c r="N256" s="1">
        <v>42195</v>
      </c>
      <c r="O256" t="s">
        <v>1443</v>
      </c>
      <c r="P256">
        <v>1</v>
      </c>
      <c r="S256">
        <v>243.95</v>
      </c>
      <c r="T256">
        <v>280</v>
      </c>
      <c r="U256">
        <v>210</v>
      </c>
      <c r="V256" t="s">
        <v>79</v>
      </c>
      <c r="W256" t="s">
        <v>734</v>
      </c>
      <c r="X256" t="s">
        <v>734</v>
      </c>
      <c r="Y256" t="s">
        <v>735</v>
      </c>
      <c r="AF256" t="s">
        <v>13</v>
      </c>
      <c r="AG256" t="str">
        <f>HYPERLINK("https://doi.org/10.1515/9780748695423")</f>
        <v>https://doi.org/10.1515/9780748695423</v>
      </c>
      <c r="AH256" t="str">
        <f>HYPERLINK("http://www.degruyter.com/isbn/9780748695423")</f>
        <v>http://www.degruyter.com/isbn/9780748695423</v>
      </c>
      <c r="AI256" t="s">
        <v>34</v>
      </c>
      <c r="AL256" t="s">
        <v>83</v>
      </c>
      <c r="AM256">
        <v>1</v>
      </c>
      <c r="AN256" s="2">
        <v>9780748695416</v>
      </c>
    </row>
    <row r="257" spans="1:40" x14ac:dyDescent="0.3">
      <c r="A257" t="s">
        <v>1444</v>
      </c>
      <c r="B257" t="s">
        <v>1</v>
      </c>
      <c r="C257" t="s">
        <v>1445</v>
      </c>
      <c r="E257" t="s">
        <v>1446</v>
      </c>
      <c r="F257" t="s">
        <v>5</v>
      </c>
      <c r="G257" t="s">
        <v>6</v>
      </c>
      <c r="L257" t="s">
        <v>7</v>
      </c>
      <c r="M257">
        <v>2007</v>
      </c>
      <c r="N257" s="1">
        <v>39267</v>
      </c>
      <c r="O257" t="s">
        <v>1447</v>
      </c>
      <c r="P257">
        <v>1</v>
      </c>
      <c r="S257">
        <v>227.95</v>
      </c>
      <c r="T257">
        <v>260</v>
      </c>
      <c r="U257">
        <v>200</v>
      </c>
      <c r="V257" t="s">
        <v>9</v>
      </c>
      <c r="W257" t="s">
        <v>10</v>
      </c>
      <c r="X257" t="s">
        <v>11</v>
      </c>
      <c r="Y257" t="s">
        <v>12</v>
      </c>
      <c r="AF257" t="s">
        <v>13</v>
      </c>
      <c r="AG257" t="str">
        <f>HYPERLINK("https://doi.org/10.1515/9780748632404?locatt=mode:legacy")</f>
        <v>https://doi.org/10.1515/9780748632404?locatt=mode:legacy</v>
      </c>
      <c r="AH257" t="str">
        <f>HYPERLINK("http://www.degruyter.com/isbn/9780748632404")</f>
        <v>http://www.degruyter.com/isbn/9780748632404</v>
      </c>
      <c r="AI257" t="s">
        <v>68</v>
      </c>
      <c r="AL257" t="s">
        <v>15</v>
      </c>
      <c r="AM257">
        <v>1</v>
      </c>
      <c r="AN257" s="2">
        <v>9780748632824</v>
      </c>
    </row>
    <row r="258" spans="1:40" x14ac:dyDescent="0.3">
      <c r="A258" t="s">
        <v>1448</v>
      </c>
      <c r="B258" t="s">
        <v>1</v>
      </c>
      <c r="C258" t="s">
        <v>1449</v>
      </c>
      <c r="D258" t="s">
        <v>1146</v>
      </c>
      <c r="E258" t="s">
        <v>1450</v>
      </c>
      <c r="F258" t="s">
        <v>5</v>
      </c>
      <c r="G258" t="s">
        <v>6</v>
      </c>
      <c r="L258" t="s">
        <v>7</v>
      </c>
      <c r="M258">
        <v>2001</v>
      </c>
      <c r="N258" s="1">
        <v>36900</v>
      </c>
      <c r="O258" t="s">
        <v>895</v>
      </c>
      <c r="P258">
        <v>1</v>
      </c>
      <c r="S258">
        <v>339.95</v>
      </c>
      <c r="T258">
        <v>390</v>
      </c>
      <c r="U258">
        <v>300</v>
      </c>
      <c r="V258" t="s">
        <v>42</v>
      </c>
      <c r="W258" t="s">
        <v>116</v>
      </c>
      <c r="X258" t="s">
        <v>116</v>
      </c>
      <c r="Y258" t="s">
        <v>117</v>
      </c>
      <c r="AF258" t="s">
        <v>13</v>
      </c>
      <c r="AG258" t="str">
        <f>HYPERLINK("https://doi.org/10.1515/9781474470919")</f>
        <v>https://doi.org/10.1515/9781474470919</v>
      </c>
      <c r="AH258" t="str">
        <f>HYPERLINK("http://www.degruyter.com/isbn/9781474470919")</f>
        <v>http://www.degruyter.com/isbn/9781474470919</v>
      </c>
      <c r="AI258" t="s">
        <v>1451</v>
      </c>
      <c r="AL258" t="s">
        <v>47</v>
      </c>
      <c r="AM258">
        <v>1</v>
      </c>
      <c r="AN258" s="2">
        <v>9780748612550</v>
      </c>
    </row>
    <row r="259" spans="1:40" x14ac:dyDescent="0.3">
      <c r="A259" t="s">
        <v>1452</v>
      </c>
      <c r="B259" t="s">
        <v>1</v>
      </c>
      <c r="C259" t="s">
        <v>1453</v>
      </c>
      <c r="E259" t="s">
        <v>1454</v>
      </c>
      <c r="F259" t="s">
        <v>5</v>
      </c>
      <c r="G259" t="s">
        <v>6</v>
      </c>
      <c r="L259" t="s">
        <v>7</v>
      </c>
      <c r="M259">
        <v>2010</v>
      </c>
      <c r="N259" s="1">
        <v>40470</v>
      </c>
      <c r="O259" t="s">
        <v>1455</v>
      </c>
      <c r="P259">
        <v>1</v>
      </c>
      <c r="S259">
        <v>243.95</v>
      </c>
      <c r="T259">
        <v>280</v>
      </c>
      <c r="U259">
        <v>210</v>
      </c>
      <c r="V259" t="s">
        <v>42</v>
      </c>
      <c r="W259" t="s">
        <v>107</v>
      </c>
      <c r="X259" t="s">
        <v>108</v>
      </c>
      <c r="Y259" t="s">
        <v>109</v>
      </c>
      <c r="AF259" t="s">
        <v>13</v>
      </c>
      <c r="AG259" t="str">
        <f>HYPERLINK("https://doi.org/10.1515/9780748643684?locatt=mode:legacy")</f>
        <v>https://doi.org/10.1515/9780748643684?locatt=mode:legacy</v>
      </c>
      <c r="AH259" t="str">
        <f>HYPERLINK("http://www.degruyter.com/isbn/9780748643684")</f>
        <v>http://www.degruyter.com/isbn/9780748643684</v>
      </c>
      <c r="AI259" t="s">
        <v>68</v>
      </c>
      <c r="AL259" t="s">
        <v>47</v>
      </c>
      <c r="AM259">
        <v>1</v>
      </c>
      <c r="AN259" s="2">
        <v>9780748642274</v>
      </c>
    </row>
    <row r="260" spans="1:40" x14ac:dyDescent="0.3">
      <c r="A260" t="s">
        <v>1456</v>
      </c>
      <c r="B260" t="s">
        <v>1</v>
      </c>
      <c r="C260" t="s">
        <v>1457</v>
      </c>
      <c r="E260" t="s">
        <v>1458</v>
      </c>
      <c r="F260" t="s">
        <v>5</v>
      </c>
      <c r="G260" t="s">
        <v>6</v>
      </c>
      <c r="L260" t="s">
        <v>7</v>
      </c>
      <c r="M260">
        <v>2009</v>
      </c>
      <c r="N260" s="1">
        <v>39892</v>
      </c>
      <c r="O260" t="s">
        <v>1459</v>
      </c>
      <c r="P260">
        <v>1</v>
      </c>
      <c r="S260">
        <v>209.95</v>
      </c>
      <c r="T260">
        <v>240</v>
      </c>
      <c r="U260">
        <v>180</v>
      </c>
      <c r="V260" t="s">
        <v>42</v>
      </c>
      <c r="W260" t="s">
        <v>116</v>
      </c>
      <c r="X260" t="s">
        <v>116</v>
      </c>
      <c r="Y260" t="s">
        <v>117</v>
      </c>
      <c r="AF260" t="s">
        <v>13</v>
      </c>
      <c r="AG260" t="str">
        <f>HYPERLINK("https://doi.org/10.1515/9780748632282?locatt=mode:legacy")</f>
        <v>https://doi.org/10.1515/9780748632282?locatt=mode:legacy</v>
      </c>
      <c r="AH260" t="str">
        <f>HYPERLINK("http://www.degruyter.com/isbn/9780748632282")</f>
        <v>http://www.degruyter.com/isbn/9780748632282</v>
      </c>
      <c r="AI260" t="s">
        <v>68</v>
      </c>
      <c r="AL260" t="s">
        <v>47</v>
      </c>
      <c r="AM260">
        <v>1</v>
      </c>
      <c r="AN260" s="2">
        <v>9780748632954</v>
      </c>
    </row>
    <row r="261" spans="1:40" x14ac:dyDescent="0.3">
      <c r="A261" t="s">
        <v>1460</v>
      </c>
      <c r="B261" t="s">
        <v>1</v>
      </c>
      <c r="C261" t="s">
        <v>1461</v>
      </c>
      <c r="D261" t="s">
        <v>27</v>
      </c>
      <c r="E261" t="s">
        <v>1462</v>
      </c>
      <c r="F261" t="s">
        <v>5</v>
      </c>
      <c r="G261" t="s">
        <v>6</v>
      </c>
      <c r="L261" t="s">
        <v>7</v>
      </c>
      <c r="M261">
        <v>2009</v>
      </c>
      <c r="N261" s="1">
        <v>39903</v>
      </c>
      <c r="O261" t="s">
        <v>1463</v>
      </c>
      <c r="P261">
        <v>1</v>
      </c>
      <c r="S261">
        <v>227.95</v>
      </c>
      <c r="T261">
        <v>260</v>
      </c>
      <c r="U261">
        <v>200</v>
      </c>
      <c r="V261" t="s">
        <v>42</v>
      </c>
      <c r="W261" t="s">
        <v>116</v>
      </c>
      <c r="X261" t="s">
        <v>116</v>
      </c>
      <c r="Y261" t="s">
        <v>117</v>
      </c>
      <c r="AF261" t="s">
        <v>13</v>
      </c>
      <c r="AG261" t="str">
        <f>HYPERLINK("https://doi.org/10.1515/9780748632145")</f>
        <v>https://doi.org/10.1515/9780748632145</v>
      </c>
      <c r="AH261" t="str">
        <f>HYPERLINK("http://www.degruyter.com/isbn/9780748632145")</f>
        <v>http://www.degruyter.com/isbn/9780748632145</v>
      </c>
      <c r="AI261" t="s">
        <v>1464</v>
      </c>
      <c r="AL261" t="s">
        <v>47</v>
      </c>
      <c r="AM261">
        <v>1</v>
      </c>
      <c r="AN261" s="2">
        <v>9780748627738</v>
      </c>
    </row>
    <row r="262" spans="1:40" x14ac:dyDescent="0.3">
      <c r="A262" t="s">
        <v>1465</v>
      </c>
      <c r="B262" t="s">
        <v>1</v>
      </c>
      <c r="C262" t="s">
        <v>1466</v>
      </c>
      <c r="D262" t="s">
        <v>1467</v>
      </c>
      <c r="E262" t="s">
        <v>1468</v>
      </c>
      <c r="F262" t="s">
        <v>5</v>
      </c>
      <c r="G262" t="s">
        <v>6</v>
      </c>
      <c r="L262" t="s">
        <v>7</v>
      </c>
      <c r="M262">
        <v>2000</v>
      </c>
      <c r="N262" s="1">
        <v>44599</v>
      </c>
      <c r="O262" t="s">
        <v>1469</v>
      </c>
      <c r="P262">
        <v>1</v>
      </c>
      <c r="S262">
        <v>217.95</v>
      </c>
      <c r="T262">
        <v>250</v>
      </c>
      <c r="U262">
        <v>190</v>
      </c>
      <c r="V262" t="s">
        <v>79</v>
      </c>
      <c r="W262" t="s">
        <v>209</v>
      </c>
      <c r="X262" t="s">
        <v>209</v>
      </c>
      <c r="Y262" t="s">
        <v>699</v>
      </c>
      <c r="AF262" t="s">
        <v>13</v>
      </c>
      <c r="AG262" t="str">
        <f>HYPERLINK("https://www.degruyter.com/isbn/9781474465502")</f>
        <v>https://www.degruyter.com/isbn/9781474465502</v>
      </c>
      <c r="AH262" t="str">
        <f>HYPERLINK("http://www.degruyter.com/isbn/9781474465502")</f>
        <v>http://www.degruyter.com/isbn/9781474465502</v>
      </c>
      <c r="AI262" t="s">
        <v>68</v>
      </c>
      <c r="AL262" t="s">
        <v>83</v>
      </c>
      <c r="AM262">
        <v>1</v>
      </c>
      <c r="AN262" s="2">
        <v>9780748610044</v>
      </c>
    </row>
    <row r="263" spans="1:40" x14ac:dyDescent="0.3">
      <c r="A263" t="s">
        <v>1470</v>
      </c>
      <c r="B263" t="s">
        <v>1</v>
      </c>
      <c r="C263" t="s">
        <v>1471</v>
      </c>
      <c r="D263" t="s">
        <v>1472</v>
      </c>
      <c r="E263" t="s">
        <v>1473</v>
      </c>
      <c r="F263" t="s">
        <v>5</v>
      </c>
      <c r="G263" t="s">
        <v>6</v>
      </c>
      <c r="K263" t="s">
        <v>929</v>
      </c>
      <c r="L263" t="s">
        <v>7</v>
      </c>
      <c r="M263">
        <v>2017</v>
      </c>
      <c r="N263" s="1">
        <v>43061</v>
      </c>
      <c r="O263" t="s">
        <v>1474</v>
      </c>
      <c r="P263">
        <v>1</v>
      </c>
      <c r="V263" t="s">
        <v>20</v>
      </c>
      <c r="W263" t="s">
        <v>21</v>
      </c>
      <c r="X263" t="s">
        <v>839</v>
      </c>
      <c r="Y263" t="s">
        <v>1475</v>
      </c>
      <c r="AF263" t="s">
        <v>13</v>
      </c>
      <c r="AG263" t="str">
        <f>HYPERLINK("https://doi.org/10.1515/9780748697663")</f>
        <v>https://doi.org/10.1515/9780748697663</v>
      </c>
      <c r="AH263" t="str">
        <f>HYPERLINK("http://www.degruyter.com/isbn/9780748697663")</f>
        <v>http://www.degruyter.com/isbn/9780748697663</v>
      </c>
      <c r="AI263" t="s">
        <v>222</v>
      </c>
      <c r="AM263">
        <v>1</v>
      </c>
      <c r="AN263" s="2"/>
    </row>
    <row r="264" spans="1:40" x14ac:dyDescent="0.3">
      <c r="A264" t="s">
        <v>1476</v>
      </c>
      <c r="B264" t="s">
        <v>1</v>
      </c>
      <c r="C264" t="s">
        <v>1477</v>
      </c>
      <c r="E264" t="s">
        <v>1478</v>
      </c>
      <c r="F264" t="s">
        <v>5</v>
      </c>
      <c r="G264" t="s">
        <v>6</v>
      </c>
      <c r="L264" t="s">
        <v>7</v>
      </c>
      <c r="M264">
        <v>2018</v>
      </c>
      <c r="N264" s="1">
        <v>44656</v>
      </c>
      <c r="O264" t="s">
        <v>1479</v>
      </c>
      <c r="P264">
        <v>1</v>
      </c>
      <c r="S264">
        <v>243.95</v>
      </c>
      <c r="T264">
        <v>280</v>
      </c>
      <c r="U264">
        <v>210</v>
      </c>
      <c r="V264" t="s">
        <v>329</v>
      </c>
      <c r="W264" t="s">
        <v>330</v>
      </c>
      <c r="X264" t="s">
        <v>331</v>
      </c>
      <c r="Y264" t="s">
        <v>332</v>
      </c>
      <c r="AF264" t="s">
        <v>13</v>
      </c>
      <c r="AG264" t="str">
        <f>HYPERLINK("https://doi.org/10.1515/9781474414104?locatt=mode:legacy")</f>
        <v>https://doi.org/10.1515/9781474414104?locatt=mode:legacy</v>
      </c>
      <c r="AH264" t="str">
        <f>HYPERLINK("http://www.degruyter.com/isbn/9781474414104")</f>
        <v>http://www.degruyter.com/isbn/9781474414104</v>
      </c>
      <c r="AI264" t="s">
        <v>46</v>
      </c>
      <c r="AL264" t="s">
        <v>333</v>
      </c>
      <c r="AM264">
        <v>1</v>
      </c>
      <c r="AN264" s="2">
        <v>9781474414098</v>
      </c>
    </row>
    <row r="265" spans="1:40" x14ac:dyDescent="0.3">
      <c r="A265" t="s">
        <v>1480</v>
      </c>
      <c r="B265" t="s">
        <v>1</v>
      </c>
      <c r="C265" t="s">
        <v>1481</v>
      </c>
      <c r="D265" t="s">
        <v>1482</v>
      </c>
      <c r="E265" t="s">
        <v>1483</v>
      </c>
      <c r="F265" t="s">
        <v>5</v>
      </c>
      <c r="G265" t="s">
        <v>6</v>
      </c>
      <c r="L265" t="s">
        <v>7</v>
      </c>
      <c r="M265">
        <v>2009</v>
      </c>
      <c r="N265" s="1">
        <v>39945</v>
      </c>
      <c r="O265" t="s">
        <v>1484</v>
      </c>
      <c r="P265">
        <v>1</v>
      </c>
      <c r="S265">
        <v>243.95</v>
      </c>
      <c r="T265">
        <v>280</v>
      </c>
      <c r="U265">
        <v>210</v>
      </c>
      <c r="V265" t="s">
        <v>1325</v>
      </c>
      <c r="W265" t="s">
        <v>1485</v>
      </c>
      <c r="X265" t="s">
        <v>1485</v>
      </c>
      <c r="Y265" t="s">
        <v>1486</v>
      </c>
      <c r="AF265" t="s">
        <v>13</v>
      </c>
      <c r="AG265" t="str">
        <f>HYPERLINK("https://doi.org/10.1515/9780748635146")</f>
        <v>https://doi.org/10.1515/9780748635146</v>
      </c>
      <c r="AH265" t="str">
        <f>HYPERLINK("http://www.degruyter.com/isbn/9780748635146")</f>
        <v>http://www.degruyter.com/isbn/9780748635146</v>
      </c>
      <c r="AI265" t="s">
        <v>68</v>
      </c>
      <c r="AL265" t="s">
        <v>1328</v>
      </c>
      <c r="AM265">
        <v>1</v>
      </c>
      <c r="AN265" s="2">
        <v>9780748635139</v>
      </c>
    </row>
    <row r="266" spans="1:40" x14ac:dyDescent="0.3">
      <c r="A266" t="s">
        <v>1487</v>
      </c>
      <c r="B266" t="s">
        <v>1</v>
      </c>
      <c r="C266" t="s">
        <v>1488</v>
      </c>
      <c r="D266" t="s">
        <v>27</v>
      </c>
      <c r="E266" t="s">
        <v>1489</v>
      </c>
      <c r="F266" t="s">
        <v>5</v>
      </c>
      <c r="G266" t="s">
        <v>6</v>
      </c>
      <c r="L266" t="s">
        <v>7</v>
      </c>
      <c r="M266">
        <v>2004</v>
      </c>
      <c r="N266" s="1">
        <v>44599</v>
      </c>
      <c r="O266" t="s">
        <v>1490</v>
      </c>
      <c r="P266">
        <v>1</v>
      </c>
      <c r="S266">
        <v>217.95</v>
      </c>
      <c r="T266">
        <v>250</v>
      </c>
      <c r="U266">
        <v>190</v>
      </c>
      <c r="V266" t="s">
        <v>98</v>
      </c>
      <c r="W266" t="s">
        <v>99</v>
      </c>
      <c r="X266" t="s">
        <v>386</v>
      </c>
      <c r="Y266" t="s">
        <v>387</v>
      </c>
      <c r="AF266" t="s">
        <v>13</v>
      </c>
      <c r="AG266" t="str">
        <f>HYPERLINK("https://doi.org/10.1515/9781474468411")</f>
        <v>https://doi.org/10.1515/9781474468411</v>
      </c>
      <c r="AH266" t="str">
        <f>HYPERLINK("http://www.degruyter.com/isbn/9781474468411")</f>
        <v>http://www.degruyter.com/isbn/9781474468411</v>
      </c>
      <c r="AI266" t="s">
        <v>68</v>
      </c>
      <c r="AL266" t="s">
        <v>102</v>
      </c>
      <c r="AM266">
        <v>1</v>
      </c>
      <c r="AN266" s="2">
        <v>9780748620456</v>
      </c>
    </row>
    <row r="267" spans="1:40" x14ac:dyDescent="0.3">
      <c r="A267" t="s">
        <v>1491</v>
      </c>
      <c r="B267" t="s">
        <v>1</v>
      </c>
      <c r="C267" t="s">
        <v>1492</v>
      </c>
      <c r="E267" t="s">
        <v>1493</v>
      </c>
      <c r="F267" t="s">
        <v>5</v>
      </c>
      <c r="G267" t="s">
        <v>6</v>
      </c>
      <c r="L267" t="s">
        <v>7</v>
      </c>
      <c r="M267">
        <v>2013</v>
      </c>
      <c r="N267" s="1">
        <v>41450</v>
      </c>
      <c r="O267" t="s">
        <v>1494</v>
      </c>
      <c r="P267">
        <v>1</v>
      </c>
      <c r="S267">
        <v>191.95</v>
      </c>
      <c r="T267">
        <v>220</v>
      </c>
      <c r="U267">
        <v>170</v>
      </c>
      <c r="V267" t="s">
        <v>20</v>
      </c>
      <c r="W267" t="s">
        <v>21</v>
      </c>
      <c r="X267" t="s">
        <v>22</v>
      </c>
      <c r="Y267" t="s">
        <v>23</v>
      </c>
      <c r="AF267" t="s">
        <v>13</v>
      </c>
      <c r="AG267" t="str">
        <f>HYPERLINK("https://doi.org/10.1515/9780748670383")</f>
        <v>https://doi.org/10.1515/9780748670383</v>
      </c>
      <c r="AH267" t="str">
        <f>HYPERLINK("http://www.degruyter.com/isbn/9780748670383")</f>
        <v>http://www.degruyter.com/isbn/9780748670383</v>
      </c>
      <c r="AI267" t="s">
        <v>68</v>
      </c>
      <c r="AL267" t="s">
        <v>15</v>
      </c>
      <c r="AM267">
        <v>1</v>
      </c>
      <c r="AN267" s="2">
        <v>9780748670369</v>
      </c>
    </row>
    <row r="268" spans="1:40" x14ac:dyDescent="0.3">
      <c r="A268" t="s">
        <v>1495</v>
      </c>
      <c r="B268" t="s">
        <v>1</v>
      </c>
      <c r="C268" t="s">
        <v>1496</v>
      </c>
      <c r="D268" t="s">
        <v>1497</v>
      </c>
      <c r="E268" t="s">
        <v>1498</v>
      </c>
      <c r="F268" t="s">
        <v>5</v>
      </c>
      <c r="G268" t="s">
        <v>6</v>
      </c>
      <c r="L268" t="s">
        <v>7</v>
      </c>
      <c r="M268">
        <v>2007</v>
      </c>
      <c r="N268" s="1">
        <v>39127</v>
      </c>
      <c r="O268" t="s">
        <v>1499</v>
      </c>
      <c r="P268">
        <v>1</v>
      </c>
      <c r="S268">
        <v>253.95</v>
      </c>
      <c r="T268">
        <v>290</v>
      </c>
      <c r="U268">
        <v>220</v>
      </c>
      <c r="V268" t="s">
        <v>79</v>
      </c>
      <c r="W268" t="s">
        <v>209</v>
      </c>
      <c r="X268" t="s">
        <v>209</v>
      </c>
      <c r="Y268" t="s">
        <v>510</v>
      </c>
      <c r="AF268" t="s">
        <v>13</v>
      </c>
      <c r="AG268" t="str">
        <f>HYPERLINK("https://doi.org/10.1515/9780748629305")</f>
        <v>https://doi.org/10.1515/9780748629305</v>
      </c>
      <c r="AH268" t="str">
        <f>HYPERLINK("http://www.degruyter.com/isbn/9780748629305")</f>
        <v>http://www.degruyter.com/isbn/9780748629305</v>
      </c>
      <c r="AI268" t="s">
        <v>68</v>
      </c>
      <c r="AL268" t="s">
        <v>83</v>
      </c>
      <c r="AM268">
        <v>1</v>
      </c>
      <c r="AN268" s="2">
        <v>9780748620982</v>
      </c>
    </row>
    <row r="269" spans="1:40" x14ac:dyDescent="0.3">
      <c r="A269" t="s">
        <v>1500</v>
      </c>
      <c r="B269" t="s">
        <v>1</v>
      </c>
      <c r="C269" t="s">
        <v>1501</v>
      </c>
      <c r="E269" t="s">
        <v>1502</v>
      </c>
      <c r="F269" t="s">
        <v>5</v>
      </c>
      <c r="G269" t="s">
        <v>6</v>
      </c>
      <c r="L269" t="s">
        <v>7</v>
      </c>
      <c r="M269">
        <v>2002</v>
      </c>
      <c r="N269" s="1">
        <v>37474</v>
      </c>
      <c r="O269" t="s">
        <v>1503</v>
      </c>
      <c r="P269">
        <v>1</v>
      </c>
      <c r="S269">
        <v>253.95</v>
      </c>
      <c r="T269">
        <v>290</v>
      </c>
      <c r="U269">
        <v>220</v>
      </c>
      <c r="V269" t="s">
        <v>79</v>
      </c>
      <c r="W269" t="s">
        <v>209</v>
      </c>
      <c r="X269" t="s">
        <v>209</v>
      </c>
      <c r="Y269" t="s">
        <v>510</v>
      </c>
      <c r="AF269" t="s">
        <v>13</v>
      </c>
      <c r="AG269" t="str">
        <f>HYPERLINK("https://doi.org/10.1515/9780585443652")</f>
        <v>https://doi.org/10.1515/9780585443652</v>
      </c>
      <c r="AH269" t="str">
        <f>HYPERLINK("http://www.degruyter.com/isbn/9780585443652")</f>
        <v>http://www.degruyter.com/isbn/9780585443652</v>
      </c>
      <c r="AI269" t="s">
        <v>68</v>
      </c>
      <c r="AL269" t="s">
        <v>83</v>
      </c>
      <c r="AM269">
        <v>1</v>
      </c>
      <c r="AN269" s="2">
        <v>9780748616671</v>
      </c>
    </row>
    <row r="270" spans="1:40" x14ac:dyDescent="0.3">
      <c r="A270" t="s">
        <v>1504</v>
      </c>
      <c r="B270" t="s">
        <v>1</v>
      </c>
      <c r="C270" t="s">
        <v>1505</v>
      </c>
      <c r="D270" t="s">
        <v>1506</v>
      </c>
      <c r="E270" t="s">
        <v>1507</v>
      </c>
      <c r="F270" t="s">
        <v>5</v>
      </c>
      <c r="G270" t="s">
        <v>6</v>
      </c>
      <c r="L270" t="s">
        <v>7</v>
      </c>
      <c r="M270">
        <v>2018</v>
      </c>
      <c r="N270" s="1">
        <v>44644</v>
      </c>
      <c r="O270" t="s">
        <v>1508</v>
      </c>
      <c r="P270">
        <v>1</v>
      </c>
      <c r="S270">
        <v>217.95</v>
      </c>
      <c r="T270">
        <v>250</v>
      </c>
      <c r="U270">
        <v>190</v>
      </c>
      <c r="V270" t="s">
        <v>42</v>
      </c>
      <c r="W270" t="s">
        <v>107</v>
      </c>
      <c r="X270" t="s">
        <v>108</v>
      </c>
      <c r="Y270" t="s">
        <v>109</v>
      </c>
      <c r="AF270" t="s">
        <v>13</v>
      </c>
      <c r="AG270" t="str">
        <f>HYPERLINK("https://doi.org/10.1515/9781474406703")</f>
        <v>https://doi.org/10.1515/9781474406703</v>
      </c>
      <c r="AH270" t="str">
        <f>HYPERLINK("http://www.degruyter.com/isbn/9781474406703")</f>
        <v>http://www.degruyter.com/isbn/9781474406703</v>
      </c>
      <c r="AI270" t="s">
        <v>46</v>
      </c>
      <c r="AL270" t="s">
        <v>47</v>
      </c>
      <c r="AM270">
        <v>1</v>
      </c>
      <c r="AN270" s="2">
        <v>9781474406697</v>
      </c>
    </row>
    <row r="271" spans="1:40" x14ac:dyDescent="0.3">
      <c r="A271" t="s">
        <v>1509</v>
      </c>
      <c r="B271" t="s">
        <v>1</v>
      </c>
      <c r="C271" t="s">
        <v>1510</v>
      </c>
      <c r="D271" t="s">
        <v>1511</v>
      </c>
      <c r="E271" t="s">
        <v>1512</v>
      </c>
      <c r="F271" t="s">
        <v>5</v>
      </c>
      <c r="G271" t="s">
        <v>6</v>
      </c>
      <c r="L271" t="s">
        <v>7</v>
      </c>
      <c r="M271">
        <v>2000</v>
      </c>
      <c r="N271" s="1">
        <v>44656</v>
      </c>
      <c r="O271" t="s">
        <v>661</v>
      </c>
      <c r="P271">
        <v>1</v>
      </c>
      <c r="S271">
        <v>87.95</v>
      </c>
      <c r="T271">
        <v>99.95</v>
      </c>
      <c r="U271">
        <v>76</v>
      </c>
      <c r="V271" t="s">
        <v>98</v>
      </c>
      <c r="W271" t="s">
        <v>1513</v>
      </c>
      <c r="X271" t="s">
        <v>1514</v>
      </c>
      <c r="Y271" t="s">
        <v>1515</v>
      </c>
      <c r="AF271" t="s">
        <v>13</v>
      </c>
      <c r="AG271" t="str">
        <f>HYPERLINK("https://doi.org/10.1515/9780585442044")</f>
        <v>https://doi.org/10.1515/9780585442044</v>
      </c>
      <c r="AH271" t="str">
        <f>HYPERLINK("http://www.degruyter.com/isbn/9780585442044")</f>
        <v>http://www.degruyter.com/isbn/9780585442044</v>
      </c>
      <c r="AI271" t="s">
        <v>68</v>
      </c>
      <c r="AL271" t="s">
        <v>102</v>
      </c>
      <c r="AM271">
        <v>1</v>
      </c>
      <c r="AN271" s="2">
        <v>9780748613526</v>
      </c>
    </row>
    <row r="272" spans="1:40" x14ac:dyDescent="0.3">
      <c r="A272" t="s">
        <v>1516</v>
      </c>
      <c r="B272" t="s">
        <v>1</v>
      </c>
      <c r="C272" t="s">
        <v>1517</v>
      </c>
      <c r="D272" t="s">
        <v>1518</v>
      </c>
      <c r="E272" t="s">
        <v>1519</v>
      </c>
      <c r="F272" t="s">
        <v>5</v>
      </c>
      <c r="G272" t="s">
        <v>6</v>
      </c>
      <c r="L272" t="s">
        <v>7</v>
      </c>
      <c r="M272">
        <v>2000</v>
      </c>
      <c r="N272" s="1">
        <v>44607</v>
      </c>
      <c r="O272" t="s">
        <v>1520</v>
      </c>
      <c r="P272">
        <v>1</v>
      </c>
      <c r="S272">
        <v>217.95</v>
      </c>
      <c r="T272">
        <v>250</v>
      </c>
      <c r="U272">
        <v>190</v>
      </c>
      <c r="V272" t="s">
        <v>42</v>
      </c>
      <c r="W272" t="s">
        <v>116</v>
      </c>
      <c r="X272" t="s">
        <v>116</v>
      </c>
      <c r="Y272" t="s">
        <v>117</v>
      </c>
      <c r="AF272" t="s">
        <v>13</v>
      </c>
      <c r="AG272" t="str">
        <f>HYPERLINK("https://doi.org/10.1515/9781474471817")</f>
        <v>https://doi.org/10.1515/9781474471817</v>
      </c>
      <c r="AH272" t="str">
        <f>HYPERLINK("http://www.degruyter.com/isbn/9781474471817")</f>
        <v>http://www.degruyter.com/isbn/9781474471817</v>
      </c>
      <c r="AI272" t="s">
        <v>68</v>
      </c>
      <c r="AL272" t="s">
        <v>47</v>
      </c>
      <c r="AM272">
        <v>1</v>
      </c>
      <c r="AN272" s="2">
        <v>9780748608560</v>
      </c>
    </row>
    <row r="273" spans="1:40" x14ac:dyDescent="0.3">
      <c r="A273" t="s">
        <v>1521</v>
      </c>
      <c r="B273" t="s">
        <v>1</v>
      </c>
      <c r="C273" t="s">
        <v>1522</v>
      </c>
      <c r="D273" t="s">
        <v>1523</v>
      </c>
      <c r="E273" t="s">
        <v>1524</v>
      </c>
      <c r="F273" t="s">
        <v>5</v>
      </c>
      <c r="G273" t="s">
        <v>6</v>
      </c>
      <c r="L273" t="s">
        <v>7</v>
      </c>
      <c r="M273">
        <v>2011</v>
      </c>
      <c r="N273" s="1">
        <v>40588</v>
      </c>
      <c r="O273" t="s">
        <v>1525</v>
      </c>
      <c r="P273">
        <v>1</v>
      </c>
      <c r="S273">
        <v>217.95</v>
      </c>
      <c r="T273">
        <v>250</v>
      </c>
      <c r="U273">
        <v>190</v>
      </c>
      <c r="V273" t="s">
        <v>98</v>
      </c>
      <c r="W273" t="s">
        <v>99</v>
      </c>
      <c r="X273" t="s">
        <v>386</v>
      </c>
      <c r="Y273" t="s">
        <v>387</v>
      </c>
      <c r="AF273" t="s">
        <v>13</v>
      </c>
      <c r="AG273" t="str">
        <f>HYPERLINK("https://doi.org/10.1515/9780748671502")</f>
        <v>https://doi.org/10.1515/9780748671502</v>
      </c>
      <c r="AH273" t="str">
        <f>HYPERLINK("http://www.degruyter.com/isbn/9780748671502")</f>
        <v>http://www.degruyter.com/isbn/9780748671502</v>
      </c>
      <c r="AI273" t="s">
        <v>68</v>
      </c>
      <c r="AL273" t="s">
        <v>102</v>
      </c>
      <c r="AM273">
        <v>1</v>
      </c>
      <c r="AN273" s="2">
        <v>9780748640607</v>
      </c>
    </row>
    <row r="274" spans="1:40" x14ac:dyDescent="0.3">
      <c r="A274" t="s">
        <v>1526</v>
      </c>
      <c r="B274" t="s">
        <v>1</v>
      </c>
      <c r="C274" t="s">
        <v>1527</v>
      </c>
      <c r="E274" t="s">
        <v>1528</v>
      </c>
      <c r="F274" t="s">
        <v>5</v>
      </c>
      <c r="G274" t="s">
        <v>6</v>
      </c>
      <c r="L274" t="s">
        <v>7</v>
      </c>
      <c r="M274">
        <v>2016</v>
      </c>
      <c r="N274" s="1">
        <v>42705</v>
      </c>
      <c r="O274" t="s">
        <v>1529</v>
      </c>
      <c r="P274">
        <v>1</v>
      </c>
      <c r="S274">
        <v>217.95</v>
      </c>
      <c r="T274">
        <v>250</v>
      </c>
      <c r="U274">
        <v>190</v>
      </c>
      <c r="V274" t="s">
        <v>9</v>
      </c>
      <c r="W274" t="s">
        <v>10</v>
      </c>
      <c r="X274" t="s">
        <v>11</v>
      </c>
      <c r="Y274" t="s">
        <v>52</v>
      </c>
      <c r="AF274" t="s">
        <v>13</v>
      </c>
      <c r="AG274" t="str">
        <f>HYPERLINK("https://doi.org/10.1515/9781474407212?locatt=mode:legacy")</f>
        <v>https://doi.org/10.1515/9781474407212?locatt=mode:legacy</v>
      </c>
      <c r="AH274" t="str">
        <f>HYPERLINK("http://www.degruyter.com/isbn/9781474407212")</f>
        <v>http://www.degruyter.com/isbn/9781474407212</v>
      </c>
      <c r="AI274" t="s">
        <v>180</v>
      </c>
      <c r="AL274" t="s">
        <v>15</v>
      </c>
      <c r="AM274">
        <v>1</v>
      </c>
      <c r="AN274" s="2">
        <v>9781474407205</v>
      </c>
    </row>
    <row r="275" spans="1:40" x14ac:dyDescent="0.3">
      <c r="A275" t="s">
        <v>1530</v>
      </c>
      <c r="B275" t="s">
        <v>1</v>
      </c>
      <c r="C275" t="s">
        <v>1531</v>
      </c>
      <c r="D275" t="s">
        <v>1532</v>
      </c>
      <c r="E275" t="s">
        <v>1533</v>
      </c>
      <c r="F275" t="s">
        <v>5</v>
      </c>
      <c r="G275" t="s">
        <v>6</v>
      </c>
      <c r="L275" t="s">
        <v>7</v>
      </c>
      <c r="M275">
        <v>2020</v>
      </c>
      <c r="N275" s="1">
        <v>44644</v>
      </c>
      <c r="O275" t="s">
        <v>1534</v>
      </c>
      <c r="P275">
        <v>1</v>
      </c>
      <c r="S275">
        <v>217.95</v>
      </c>
      <c r="T275">
        <v>250</v>
      </c>
      <c r="U275">
        <v>190</v>
      </c>
      <c r="V275" t="s">
        <v>20</v>
      </c>
      <c r="W275" t="s">
        <v>21</v>
      </c>
      <c r="X275" t="s">
        <v>22</v>
      </c>
      <c r="Y275" t="s">
        <v>23</v>
      </c>
      <c r="AF275" t="s">
        <v>13</v>
      </c>
      <c r="AG275" t="str">
        <f>HYPERLINK("https://doi.org/10.1515/9781474445665")</f>
        <v>https://doi.org/10.1515/9781474445665</v>
      </c>
      <c r="AH275" t="str">
        <f>HYPERLINK("http://www.degruyter.com/isbn/9781474445665")</f>
        <v>http://www.degruyter.com/isbn/9781474445665</v>
      </c>
      <c r="AI275" t="s">
        <v>14</v>
      </c>
      <c r="AL275" t="s">
        <v>15</v>
      </c>
      <c r="AM275">
        <v>1</v>
      </c>
      <c r="AN275" s="2">
        <v>9781474445641</v>
      </c>
    </row>
    <row r="276" spans="1:40" x14ac:dyDescent="0.3">
      <c r="A276" t="s">
        <v>1535</v>
      </c>
      <c r="B276" t="s">
        <v>1</v>
      </c>
      <c r="C276" t="s">
        <v>1536</v>
      </c>
      <c r="D276" t="s">
        <v>1537</v>
      </c>
      <c r="E276" t="s">
        <v>1538</v>
      </c>
      <c r="F276" t="s">
        <v>5</v>
      </c>
      <c r="G276" t="s">
        <v>6</v>
      </c>
      <c r="L276" t="s">
        <v>7</v>
      </c>
      <c r="M276">
        <v>1997</v>
      </c>
      <c r="N276" s="1">
        <v>44719</v>
      </c>
      <c r="O276" t="s">
        <v>1539</v>
      </c>
      <c r="P276">
        <v>1</v>
      </c>
      <c r="S276">
        <v>217.95</v>
      </c>
      <c r="T276">
        <v>250</v>
      </c>
      <c r="U276">
        <v>190</v>
      </c>
      <c r="V276" t="s">
        <v>20</v>
      </c>
      <c r="W276" t="s">
        <v>556</v>
      </c>
      <c r="X276" t="s">
        <v>1540</v>
      </c>
      <c r="Y276" t="s">
        <v>1541</v>
      </c>
      <c r="AF276" t="s">
        <v>13</v>
      </c>
      <c r="AG276" t="str">
        <f>HYPERLINK("https://doi.org/10.1515/9781474468657")</f>
        <v>https://doi.org/10.1515/9781474468657</v>
      </c>
      <c r="AH276" t="str">
        <f>HYPERLINK("http://www.degruyter.com/isbn/9781474468657")</f>
        <v>http://www.degruyter.com/isbn/9781474468657</v>
      </c>
      <c r="AI276" t="s">
        <v>24</v>
      </c>
      <c r="AL276" t="s">
        <v>15</v>
      </c>
      <c r="AM276">
        <v>1</v>
      </c>
      <c r="AN276" s="2">
        <v>9781853311994</v>
      </c>
    </row>
    <row r="277" spans="1:40" x14ac:dyDescent="0.3">
      <c r="A277" t="s">
        <v>1542</v>
      </c>
      <c r="B277" t="s">
        <v>1</v>
      </c>
      <c r="C277" t="s">
        <v>1543</v>
      </c>
      <c r="E277" t="s">
        <v>1544</v>
      </c>
      <c r="F277" t="s">
        <v>5</v>
      </c>
      <c r="G277" t="s">
        <v>6</v>
      </c>
      <c r="L277" t="s">
        <v>7</v>
      </c>
      <c r="M277">
        <v>2018</v>
      </c>
      <c r="N277" s="1">
        <v>44644</v>
      </c>
      <c r="O277" t="s">
        <v>1545</v>
      </c>
      <c r="P277">
        <v>1</v>
      </c>
      <c r="S277">
        <v>217.95</v>
      </c>
      <c r="T277">
        <v>250</v>
      </c>
      <c r="U277">
        <v>190</v>
      </c>
      <c r="V277" t="s">
        <v>9</v>
      </c>
      <c r="W277" t="s">
        <v>10</v>
      </c>
      <c r="X277" t="s">
        <v>11</v>
      </c>
      <c r="Y277" t="s">
        <v>52</v>
      </c>
      <c r="AF277" t="s">
        <v>13</v>
      </c>
      <c r="AG277" t="str">
        <f>HYPERLINK("https://doi.org/10.1515/9781474424608?locatt=mode:legacy")</f>
        <v>https://doi.org/10.1515/9781474424608?locatt=mode:legacy</v>
      </c>
      <c r="AH277" t="str">
        <f>HYPERLINK("http://www.degruyter.com/isbn/9781474424608")</f>
        <v>http://www.degruyter.com/isbn/9781474424608</v>
      </c>
      <c r="AI277" t="s">
        <v>46</v>
      </c>
      <c r="AJ277" t="s">
        <v>35</v>
      </c>
      <c r="AL277" t="s">
        <v>53</v>
      </c>
      <c r="AM277">
        <v>1</v>
      </c>
      <c r="AN277" s="2">
        <v>9781474424592</v>
      </c>
    </row>
    <row r="278" spans="1:40" x14ac:dyDescent="0.3">
      <c r="A278" t="s">
        <v>1546</v>
      </c>
      <c r="B278" t="s">
        <v>1</v>
      </c>
      <c r="C278" t="s">
        <v>1547</v>
      </c>
      <c r="D278" t="s">
        <v>1548</v>
      </c>
      <c r="E278" t="s">
        <v>1549</v>
      </c>
      <c r="F278" t="s">
        <v>5</v>
      </c>
      <c r="G278" t="s">
        <v>6</v>
      </c>
      <c r="L278" t="s">
        <v>7</v>
      </c>
      <c r="M278">
        <v>2021</v>
      </c>
      <c r="N278" s="1">
        <v>44644</v>
      </c>
      <c r="O278" t="s">
        <v>1550</v>
      </c>
      <c r="P278">
        <v>1</v>
      </c>
      <c r="S278">
        <v>243.95</v>
      </c>
      <c r="T278">
        <v>280</v>
      </c>
      <c r="U278">
        <v>210</v>
      </c>
      <c r="V278" t="s">
        <v>98</v>
      </c>
      <c r="W278" t="s">
        <v>99</v>
      </c>
      <c r="X278" t="s">
        <v>386</v>
      </c>
      <c r="Y278" t="s">
        <v>387</v>
      </c>
      <c r="AF278" t="s">
        <v>13</v>
      </c>
      <c r="AG278" t="str">
        <f>HYPERLINK("https://doi.org/10.1515/9781474462877")</f>
        <v>https://doi.org/10.1515/9781474462877</v>
      </c>
      <c r="AH278" t="str">
        <f>HYPERLINK("http://www.degruyter.com/isbn/9781474462877")</f>
        <v>http://www.degruyter.com/isbn/9781474462877</v>
      </c>
      <c r="AI278" t="s">
        <v>565</v>
      </c>
      <c r="AL278" t="s">
        <v>102</v>
      </c>
      <c r="AM278">
        <v>1</v>
      </c>
      <c r="AN278" s="2">
        <v>9781474462853</v>
      </c>
    </row>
    <row r="279" spans="1:40" x14ac:dyDescent="0.3">
      <c r="A279" t="s">
        <v>1551</v>
      </c>
      <c r="B279" t="s">
        <v>1</v>
      </c>
      <c r="C279" t="s">
        <v>1552</v>
      </c>
      <c r="D279" t="s">
        <v>1553</v>
      </c>
      <c r="E279" t="s">
        <v>1554</v>
      </c>
      <c r="F279" t="s">
        <v>5</v>
      </c>
      <c r="G279" t="s">
        <v>6</v>
      </c>
      <c r="L279" t="s">
        <v>7</v>
      </c>
      <c r="M279">
        <v>2009</v>
      </c>
      <c r="N279" s="1">
        <v>40086</v>
      </c>
      <c r="O279" t="s">
        <v>1555</v>
      </c>
      <c r="P279">
        <v>1</v>
      </c>
      <c r="S279">
        <v>227.95</v>
      </c>
      <c r="T279">
        <v>260</v>
      </c>
      <c r="U279">
        <v>200</v>
      </c>
      <c r="V279" t="s">
        <v>58</v>
      </c>
      <c r="W279" t="s">
        <v>129</v>
      </c>
      <c r="X279" t="s">
        <v>130</v>
      </c>
      <c r="Y279" t="s">
        <v>1556</v>
      </c>
      <c r="AF279" t="s">
        <v>13</v>
      </c>
      <c r="AG279" t="str">
        <f>HYPERLINK("https://doi.org/10.1515/9780748642083")</f>
        <v>https://doi.org/10.1515/9780748642083</v>
      </c>
      <c r="AH279" t="str">
        <f>HYPERLINK("http://www.degruyter.com/isbn/9780748642083")</f>
        <v>http://www.degruyter.com/isbn/9780748642083</v>
      </c>
      <c r="AI279" t="s">
        <v>68</v>
      </c>
      <c r="AL279" t="s">
        <v>62</v>
      </c>
      <c r="AM279">
        <v>1</v>
      </c>
      <c r="AN279" s="2">
        <v>9780748639472</v>
      </c>
    </row>
    <row r="280" spans="1:40" x14ac:dyDescent="0.3">
      <c r="A280" t="s">
        <v>1557</v>
      </c>
      <c r="B280" t="s">
        <v>1</v>
      </c>
      <c r="C280" t="s">
        <v>1558</v>
      </c>
      <c r="E280" t="s">
        <v>1559</v>
      </c>
      <c r="F280" t="s">
        <v>5</v>
      </c>
      <c r="G280" t="s">
        <v>6</v>
      </c>
      <c r="L280" t="s">
        <v>7</v>
      </c>
      <c r="M280">
        <v>2021</v>
      </c>
      <c r="N280" s="1">
        <v>44644</v>
      </c>
      <c r="O280" t="s">
        <v>1560</v>
      </c>
      <c r="P280">
        <v>1</v>
      </c>
      <c r="S280">
        <v>217.95</v>
      </c>
      <c r="T280">
        <v>250</v>
      </c>
      <c r="U280">
        <v>190</v>
      </c>
      <c r="V280" t="s">
        <v>42</v>
      </c>
      <c r="W280" t="s">
        <v>116</v>
      </c>
      <c r="X280" t="s">
        <v>116</v>
      </c>
      <c r="Y280" t="s">
        <v>117</v>
      </c>
      <c r="AF280" t="s">
        <v>13</v>
      </c>
      <c r="AG280" t="str">
        <f>HYPERLINK("https://doi.org/10.1515/9781474441858")</f>
        <v>https://doi.org/10.1515/9781474441858</v>
      </c>
      <c r="AH280" t="str">
        <f>HYPERLINK("http://www.degruyter.com/isbn/9781474441858")</f>
        <v>http://www.degruyter.com/isbn/9781474441858</v>
      </c>
      <c r="AI280" t="s">
        <v>1561</v>
      </c>
      <c r="AL280" t="s">
        <v>47</v>
      </c>
      <c r="AM280">
        <v>1</v>
      </c>
      <c r="AN280" s="2">
        <v>9781474441834</v>
      </c>
    </row>
    <row r="281" spans="1:40" x14ac:dyDescent="0.3">
      <c r="A281" t="s">
        <v>1562</v>
      </c>
      <c r="B281" t="s">
        <v>1</v>
      </c>
      <c r="C281" t="s">
        <v>1563</v>
      </c>
      <c r="D281" t="s">
        <v>1564</v>
      </c>
      <c r="E281" t="s">
        <v>1565</v>
      </c>
      <c r="F281" t="s">
        <v>5</v>
      </c>
      <c r="G281" t="s">
        <v>6</v>
      </c>
      <c r="L281" t="s">
        <v>7</v>
      </c>
      <c r="M281">
        <v>1998</v>
      </c>
      <c r="N281" s="1">
        <v>44599</v>
      </c>
      <c r="O281" t="s">
        <v>1566</v>
      </c>
      <c r="P281">
        <v>1</v>
      </c>
      <c r="S281">
        <v>74.95</v>
      </c>
      <c r="T281">
        <v>83.95</v>
      </c>
      <c r="U281">
        <v>64</v>
      </c>
      <c r="V281" t="s">
        <v>42</v>
      </c>
      <c r="W281" t="s">
        <v>1379</v>
      </c>
      <c r="X281" t="s">
        <v>1380</v>
      </c>
      <c r="Y281" t="s">
        <v>1381</v>
      </c>
      <c r="AF281" t="s">
        <v>13</v>
      </c>
      <c r="AG281" t="str">
        <f>HYPERLINK("https://doi.org/10.1515/9780585123332")</f>
        <v>https://doi.org/10.1515/9780585123332</v>
      </c>
      <c r="AH281" t="str">
        <f>HYPERLINK("http://www.degruyter.com/isbn/9780585123332")</f>
        <v>http://www.degruyter.com/isbn/9780585123332</v>
      </c>
      <c r="AI281" t="s">
        <v>24</v>
      </c>
      <c r="AL281" t="s">
        <v>47</v>
      </c>
      <c r="AM281">
        <v>1</v>
      </c>
      <c r="AN281" s="2">
        <v>9780748608676</v>
      </c>
    </row>
    <row r="282" spans="1:40" x14ac:dyDescent="0.3">
      <c r="A282" t="s">
        <v>1567</v>
      </c>
      <c r="B282" t="s">
        <v>1</v>
      </c>
      <c r="C282" t="s">
        <v>1568</v>
      </c>
      <c r="E282" t="s">
        <v>1569</v>
      </c>
      <c r="F282" t="s">
        <v>5</v>
      </c>
      <c r="G282" t="s">
        <v>6</v>
      </c>
      <c r="L282" t="s">
        <v>7</v>
      </c>
      <c r="M282">
        <v>2019</v>
      </c>
      <c r="N282" s="1">
        <v>44592</v>
      </c>
      <c r="O282" t="s">
        <v>1570</v>
      </c>
      <c r="P282">
        <v>1</v>
      </c>
      <c r="S282">
        <v>217.95</v>
      </c>
      <c r="T282">
        <v>250</v>
      </c>
      <c r="U282">
        <v>190</v>
      </c>
      <c r="V282" t="s">
        <v>42</v>
      </c>
      <c r="W282" t="s">
        <v>107</v>
      </c>
      <c r="X282" t="s">
        <v>108</v>
      </c>
      <c r="Y282" t="s">
        <v>109</v>
      </c>
      <c r="AF282" t="s">
        <v>13</v>
      </c>
      <c r="AG282" t="str">
        <f>HYPERLINK("https://doi.org/10.1515/9781474452731")</f>
        <v>https://doi.org/10.1515/9781474452731</v>
      </c>
      <c r="AH282" t="str">
        <f>HYPERLINK("http://www.degruyter.com/isbn/9781474452731")</f>
        <v>http://www.degruyter.com/isbn/9781474452731</v>
      </c>
      <c r="AI282" t="s">
        <v>280</v>
      </c>
      <c r="AL282" t="s">
        <v>47</v>
      </c>
      <c r="AM282">
        <v>1</v>
      </c>
      <c r="AN282" s="2">
        <v>9781474452724</v>
      </c>
    </row>
    <row r="283" spans="1:40" x14ac:dyDescent="0.3">
      <c r="A283" t="s">
        <v>1571</v>
      </c>
      <c r="B283" t="s">
        <v>1</v>
      </c>
      <c r="C283" t="s">
        <v>1572</v>
      </c>
      <c r="E283" t="s">
        <v>1573</v>
      </c>
      <c r="F283" t="s">
        <v>5</v>
      </c>
      <c r="G283" t="s">
        <v>6</v>
      </c>
      <c r="L283" t="s">
        <v>7</v>
      </c>
      <c r="M283">
        <v>1990</v>
      </c>
      <c r="N283" s="1">
        <v>44719</v>
      </c>
      <c r="O283" t="s">
        <v>1574</v>
      </c>
      <c r="P283">
        <v>1</v>
      </c>
      <c r="S283">
        <v>217.95</v>
      </c>
      <c r="T283">
        <v>250</v>
      </c>
      <c r="U283">
        <v>190</v>
      </c>
      <c r="V283" t="s">
        <v>58</v>
      </c>
      <c r="W283" t="s">
        <v>59</v>
      </c>
      <c r="X283" t="s">
        <v>60</v>
      </c>
      <c r="Y283" t="s">
        <v>245</v>
      </c>
      <c r="AF283" t="s">
        <v>13</v>
      </c>
      <c r="AG283" t="str">
        <f>HYPERLINK("https://doi.org/10.1515/9780748672615")</f>
        <v>https://doi.org/10.1515/9780748672615</v>
      </c>
      <c r="AH283" t="str">
        <f>HYPERLINK("http://www.degruyter.com/isbn/9780748672615")</f>
        <v>http://www.degruyter.com/isbn/9780748672615</v>
      </c>
      <c r="AI283" t="s">
        <v>24</v>
      </c>
      <c r="AL283" t="s">
        <v>62</v>
      </c>
      <c r="AM283">
        <v>1</v>
      </c>
      <c r="AN283" s="2">
        <v>9780748601059</v>
      </c>
    </row>
    <row r="284" spans="1:40" x14ac:dyDescent="0.3">
      <c r="A284" t="s">
        <v>1575</v>
      </c>
      <c r="B284" t="s">
        <v>1</v>
      </c>
      <c r="C284" t="s">
        <v>1576</v>
      </c>
      <c r="E284" t="s">
        <v>1577</v>
      </c>
      <c r="F284" t="s">
        <v>5</v>
      </c>
      <c r="G284" t="s">
        <v>6</v>
      </c>
      <c r="L284" t="s">
        <v>7</v>
      </c>
      <c r="M284">
        <v>2004</v>
      </c>
      <c r="N284" s="1">
        <v>44592</v>
      </c>
      <c r="O284" t="s">
        <v>1578</v>
      </c>
      <c r="P284">
        <v>1</v>
      </c>
      <c r="S284">
        <v>217.95</v>
      </c>
      <c r="T284">
        <v>250</v>
      </c>
      <c r="U284">
        <v>190</v>
      </c>
      <c r="V284" t="s">
        <v>58</v>
      </c>
      <c r="W284" t="s">
        <v>129</v>
      </c>
      <c r="X284" t="s">
        <v>1290</v>
      </c>
      <c r="Y284" t="s">
        <v>1291</v>
      </c>
      <c r="AF284" t="s">
        <v>13</v>
      </c>
      <c r="AG284" t="str">
        <f>HYPERLINK("https://doi.org/10.1515/9781474465595")</f>
        <v>https://doi.org/10.1515/9781474465595</v>
      </c>
      <c r="AH284" t="str">
        <f>HYPERLINK("http://www.degruyter.com/isbn/9781474465595")</f>
        <v>http://www.degruyter.com/isbn/9781474465595</v>
      </c>
      <c r="AI284" t="s">
        <v>68</v>
      </c>
      <c r="AL284" t="s">
        <v>62</v>
      </c>
      <c r="AM284">
        <v>1</v>
      </c>
      <c r="AN284" s="2">
        <v>9780748619337</v>
      </c>
    </row>
    <row r="285" spans="1:40" x14ac:dyDescent="0.3">
      <c r="A285" t="s">
        <v>1579</v>
      </c>
      <c r="B285" t="s">
        <v>1</v>
      </c>
      <c r="C285" t="s">
        <v>1580</v>
      </c>
      <c r="E285" t="s">
        <v>1581</v>
      </c>
      <c r="F285" t="s">
        <v>5</v>
      </c>
      <c r="G285" t="s">
        <v>6</v>
      </c>
      <c r="L285" t="s">
        <v>7</v>
      </c>
      <c r="M285">
        <v>1996</v>
      </c>
      <c r="N285" s="1">
        <v>44599</v>
      </c>
      <c r="O285" t="s">
        <v>1582</v>
      </c>
      <c r="P285">
        <v>1</v>
      </c>
      <c r="S285">
        <v>87.95</v>
      </c>
      <c r="T285">
        <v>99.95</v>
      </c>
      <c r="U285">
        <v>72</v>
      </c>
      <c r="V285" t="s">
        <v>20</v>
      </c>
      <c r="W285" t="s">
        <v>21</v>
      </c>
      <c r="X285" t="s">
        <v>22</v>
      </c>
      <c r="Y285" t="s">
        <v>23</v>
      </c>
      <c r="AF285" t="s">
        <v>13</v>
      </c>
      <c r="AG285" t="str">
        <f>HYPERLINK("https://doi.org/10.1515/9780585060859")</f>
        <v>https://doi.org/10.1515/9780585060859</v>
      </c>
      <c r="AH285" t="str">
        <f>HYPERLINK("http://www.degruyter.com/isbn/9780585060859")</f>
        <v>http://www.degruyter.com/isbn/9780585060859</v>
      </c>
      <c r="AI285" t="s">
        <v>24</v>
      </c>
      <c r="AL285" t="s">
        <v>15</v>
      </c>
      <c r="AM285">
        <v>1</v>
      </c>
      <c r="AN285" s="2">
        <v>9780748608768</v>
      </c>
    </row>
    <row r="286" spans="1:40" x14ac:dyDescent="0.3">
      <c r="A286" t="s">
        <v>1583</v>
      </c>
      <c r="B286" t="s">
        <v>1</v>
      </c>
      <c r="C286" t="s">
        <v>1584</v>
      </c>
      <c r="D286" t="s">
        <v>1585</v>
      </c>
      <c r="E286" t="s">
        <v>1586</v>
      </c>
      <c r="F286" t="s">
        <v>5</v>
      </c>
      <c r="G286" t="s">
        <v>6</v>
      </c>
      <c r="L286" t="s">
        <v>7</v>
      </c>
      <c r="M286">
        <v>1992</v>
      </c>
      <c r="N286" s="1">
        <v>44607</v>
      </c>
      <c r="O286" t="s">
        <v>1587</v>
      </c>
      <c r="P286">
        <v>1</v>
      </c>
      <c r="S286">
        <v>217.95</v>
      </c>
      <c r="T286">
        <v>250</v>
      </c>
      <c r="U286">
        <v>190</v>
      </c>
      <c r="V286" t="s">
        <v>42</v>
      </c>
      <c r="W286" t="s">
        <v>116</v>
      </c>
      <c r="X286" t="s">
        <v>116</v>
      </c>
      <c r="Y286" t="s">
        <v>117</v>
      </c>
      <c r="AF286" t="s">
        <v>13</v>
      </c>
      <c r="AG286" t="str">
        <f>HYPERLINK("https://doi.org/10.1515/9781474402989")</f>
        <v>https://doi.org/10.1515/9781474402989</v>
      </c>
      <c r="AH286" t="str">
        <f>HYPERLINK("http://www.degruyter.com/isbn/9781474402989")</f>
        <v>http://www.degruyter.com/isbn/9781474402989</v>
      </c>
      <c r="AI286" t="s">
        <v>24</v>
      </c>
      <c r="AL286" t="s">
        <v>47</v>
      </c>
      <c r="AM286">
        <v>1</v>
      </c>
      <c r="AN286" s="2">
        <v>9781853310386</v>
      </c>
    </row>
    <row r="287" spans="1:40" x14ac:dyDescent="0.3">
      <c r="A287" t="s">
        <v>1588</v>
      </c>
      <c r="B287" t="s">
        <v>1</v>
      </c>
      <c r="C287" t="s">
        <v>1589</v>
      </c>
      <c r="D287" t="s">
        <v>27</v>
      </c>
      <c r="E287" t="s">
        <v>1590</v>
      </c>
      <c r="F287" t="s">
        <v>5</v>
      </c>
      <c r="G287" t="s">
        <v>6</v>
      </c>
      <c r="L287" t="s">
        <v>7</v>
      </c>
      <c r="M287">
        <v>2016</v>
      </c>
      <c r="N287" s="1">
        <v>42641</v>
      </c>
      <c r="O287" t="s">
        <v>1591</v>
      </c>
      <c r="P287">
        <v>1</v>
      </c>
      <c r="S287">
        <v>209.95</v>
      </c>
      <c r="T287">
        <v>240</v>
      </c>
      <c r="U287">
        <v>180</v>
      </c>
      <c r="V287" t="s">
        <v>42</v>
      </c>
      <c r="W287" t="s">
        <v>116</v>
      </c>
      <c r="X287" t="s">
        <v>116</v>
      </c>
      <c r="Y287" t="s">
        <v>117</v>
      </c>
      <c r="AF287" t="s">
        <v>13</v>
      </c>
      <c r="AG287" t="str">
        <f>HYPERLINK("https://doi.org/10.1515/9781474401678")</f>
        <v>https://doi.org/10.1515/9781474401678</v>
      </c>
      <c r="AH287" t="str">
        <f>HYPERLINK("http://www.degruyter.com/isbn/9781474401678")</f>
        <v>http://www.degruyter.com/isbn/9781474401678</v>
      </c>
      <c r="AI287" t="s">
        <v>180</v>
      </c>
      <c r="AL287" t="s">
        <v>47</v>
      </c>
      <c r="AM287">
        <v>1</v>
      </c>
      <c r="AN287" s="2">
        <v>9781474401654</v>
      </c>
    </row>
    <row r="288" spans="1:40" x14ac:dyDescent="0.3">
      <c r="A288" t="s">
        <v>1592</v>
      </c>
      <c r="B288" t="s">
        <v>1</v>
      </c>
      <c r="C288" t="s">
        <v>1593</v>
      </c>
      <c r="D288" t="s">
        <v>1594</v>
      </c>
      <c r="E288" t="s">
        <v>1595</v>
      </c>
      <c r="F288" t="s">
        <v>5</v>
      </c>
      <c r="G288" t="s">
        <v>6</v>
      </c>
      <c r="L288" t="s">
        <v>7</v>
      </c>
      <c r="M288">
        <v>2016</v>
      </c>
      <c r="N288" s="1">
        <v>42507</v>
      </c>
      <c r="O288" t="s">
        <v>1596</v>
      </c>
      <c r="P288">
        <v>1</v>
      </c>
      <c r="S288">
        <v>217.95</v>
      </c>
      <c r="T288">
        <v>250</v>
      </c>
      <c r="U288">
        <v>190</v>
      </c>
      <c r="V288" t="s">
        <v>20</v>
      </c>
      <c r="W288" t="s">
        <v>21</v>
      </c>
      <c r="X288" t="s">
        <v>22</v>
      </c>
      <c r="Y288" t="s">
        <v>23</v>
      </c>
      <c r="AF288" t="s">
        <v>13</v>
      </c>
      <c r="AG288" t="str">
        <f>HYPERLINK("https://doi.org/10.1515/9781474400015?locatt=mode:legacy")</f>
        <v>https://doi.org/10.1515/9781474400015?locatt=mode:legacy</v>
      </c>
      <c r="AH288" t="str">
        <f>HYPERLINK("http://www.degruyter.com/isbn/9781474400015")</f>
        <v>http://www.degruyter.com/isbn/9781474400015</v>
      </c>
      <c r="AI288" t="s">
        <v>180</v>
      </c>
      <c r="AL288" t="s">
        <v>15</v>
      </c>
      <c r="AM288">
        <v>1</v>
      </c>
      <c r="AN288" s="2">
        <v>9781474400008</v>
      </c>
    </row>
    <row r="289" spans="1:40" x14ac:dyDescent="0.3">
      <c r="A289" t="s">
        <v>1597</v>
      </c>
      <c r="B289" t="s">
        <v>1</v>
      </c>
      <c r="C289" t="s">
        <v>1598</v>
      </c>
      <c r="D289" t="s">
        <v>1599</v>
      </c>
      <c r="E289" t="s">
        <v>1600</v>
      </c>
      <c r="F289" t="s">
        <v>5</v>
      </c>
      <c r="G289" t="s">
        <v>6</v>
      </c>
      <c r="L289" t="s">
        <v>7</v>
      </c>
      <c r="M289">
        <v>2001</v>
      </c>
      <c r="N289" s="1">
        <v>44644</v>
      </c>
      <c r="O289" t="s">
        <v>1601</v>
      </c>
      <c r="P289">
        <v>1</v>
      </c>
      <c r="S289">
        <v>217.95</v>
      </c>
      <c r="T289">
        <v>250</v>
      </c>
      <c r="U289">
        <v>190</v>
      </c>
      <c r="V289" t="s">
        <v>42</v>
      </c>
      <c r="W289" t="s">
        <v>43</v>
      </c>
      <c r="X289" t="s">
        <v>178</v>
      </c>
      <c r="Y289" t="s">
        <v>1602</v>
      </c>
      <c r="AF289" t="s">
        <v>13</v>
      </c>
      <c r="AG289" t="str">
        <f>HYPERLINK("https://doi.org/10.1515/9781474430005")</f>
        <v>https://doi.org/10.1515/9781474430005</v>
      </c>
      <c r="AH289" t="str">
        <f>HYPERLINK("http://www.degruyter.com/isbn/9781474430005")</f>
        <v>http://www.degruyter.com/isbn/9781474430005</v>
      </c>
      <c r="AI289" t="s">
        <v>68</v>
      </c>
      <c r="AJ289" t="s">
        <v>35</v>
      </c>
      <c r="AL289" t="s">
        <v>520</v>
      </c>
      <c r="AM289">
        <v>1</v>
      </c>
      <c r="AN289" s="2">
        <v>9780748610877</v>
      </c>
    </row>
    <row r="290" spans="1:40" x14ac:dyDescent="0.3">
      <c r="A290" t="s">
        <v>1603</v>
      </c>
      <c r="B290" t="s">
        <v>1</v>
      </c>
      <c r="C290" t="s">
        <v>1604</v>
      </c>
      <c r="D290" t="s">
        <v>1605</v>
      </c>
      <c r="E290" t="s">
        <v>1606</v>
      </c>
      <c r="F290" t="s">
        <v>5</v>
      </c>
      <c r="G290" t="s">
        <v>6</v>
      </c>
      <c r="L290" t="s">
        <v>7</v>
      </c>
      <c r="M290">
        <v>2020</v>
      </c>
      <c r="N290" s="1">
        <v>44644</v>
      </c>
      <c r="O290" t="s">
        <v>1607</v>
      </c>
      <c r="P290">
        <v>1</v>
      </c>
      <c r="S290">
        <v>217.95</v>
      </c>
      <c r="T290">
        <v>250</v>
      </c>
      <c r="U290">
        <v>190</v>
      </c>
      <c r="V290" t="s">
        <v>9</v>
      </c>
      <c r="W290" t="s">
        <v>10</v>
      </c>
      <c r="X290" t="s">
        <v>11</v>
      </c>
      <c r="Y290" t="s">
        <v>52</v>
      </c>
      <c r="AF290" t="s">
        <v>13</v>
      </c>
      <c r="AG290" t="str">
        <f>HYPERLINK("https://doi.org/10.1515/9781474444064")</f>
        <v>https://doi.org/10.1515/9781474444064</v>
      </c>
      <c r="AH290" t="str">
        <f>HYPERLINK("http://www.degruyter.com/isbn/9781474444064")</f>
        <v>http://www.degruyter.com/isbn/9781474444064</v>
      </c>
      <c r="AI290" t="s">
        <v>14</v>
      </c>
      <c r="AL290" t="s">
        <v>15</v>
      </c>
      <c r="AM290">
        <v>1</v>
      </c>
      <c r="AN290" s="2">
        <v>9781474444040</v>
      </c>
    </row>
    <row r="291" spans="1:40" x14ac:dyDescent="0.3">
      <c r="A291" t="s">
        <v>1608</v>
      </c>
      <c r="B291" t="s">
        <v>1</v>
      </c>
      <c r="C291" t="s">
        <v>1609</v>
      </c>
      <c r="E291" t="s">
        <v>1610</v>
      </c>
      <c r="F291" t="s">
        <v>5</v>
      </c>
      <c r="G291" t="s">
        <v>6</v>
      </c>
      <c r="L291" t="s">
        <v>7</v>
      </c>
      <c r="M291">
        <v>2019</v>
      </c>
      <c r="N291" s="1">
        <v>44644</v>
      </c>
      <c r="O291" t="s">
        <v>1611</v>
      </c>
      <c r="P291">
        <v>1</v>
      </c>
      <c r="S291">
        <v>217.95</v>
      </c>
      <c r="T291">
        <v>250</v>
      </c>
      <c r="U291">
        <v>190</v>
      </c>
      <c r="V291" t="s">
        <v>42</v>
      </c>
      <c r="W291" t="s">
        <v>43</v>
      </c>
      <c r="X291" t="s">
        <v>44</v>
      </c>
      <c r="Y291" t="s">
        <v>45</v>
      </c>
      <c r="AF291" t="s">
        <v>13</v>
      </c>
      <c r="AG291" t="str">
        <f>HYPERLINK("https://doi.org/10.1515/9781474416405")</f>
        <v>https://doi.org/10.1515/9781474416405</v>
      </c>
      <c r="AH291" t="str">
        <f>HYPERLINK("http://www.degruyter.com/isbn/9781474416405")</f>
        <v>http://www.degruyter.com/isbn/9781474416405</v>
      </c>
      <c r="AI291" t="s">
        <v>280</v>
      </c>
      <c r="AL291" t="s">
        <v>47</v>
      </c>
      <c r="AM291">
        <v>1</v>
      </c>
      <c r="AN291" s="2">
        <v>9781474416399</v>
      </c>
    </row>
    <row r="292" spans="1:40" x14ac:dyDescent="0.3">
      <c r="A292" t="s">
        <v>1612</v>
      </c>
      <c r="B292" t="s">
        <v>1</v>
      </c>
      <c r="C292" t="s">
        <v>1613</v>
      </c>
      <c r="D292" t="s">
        <v>1614</v>
      </c>
      <c r="E292" t="s">
        <v>1615</v>
      </c>
      <c r="F292" t="s">
        <v>5</v>
      </c>
      <c r="G292" t="s">
        <v>6</v>
      </c>
      <c r="L292" t="s">
        <v>7</v>
      </c>
      <c r="M292">
        <v>2014</v>
      </c>
      <c r="N292" s="1">
        <v>41892</v>
      </c>
      <c r="O292" t="s">
        <v>1616</v>
      </c>
      <c r="P292">
        <v>1</v>
      </c>
      <c r="S292">
        <v>253.95</v>
      </c>
      <c r="T292">
        <v>290</v>
      </c>
      <c r="U292">
        <v>220</v>
      </c>
      <c r="V292" t="s">
        <v>79</v>
      </c>
      <c r="W292" t="s">
        <v>386</v>
      </c>
      <c r="X292" t="s">
        <v>386</v>
      </c>
      <c r="Y292" t="s">
        <v>724</v>
      </c>
      <c r="AF292" t="s">
        <v>13</v>
      </c>
      <c r="AG292" t="str">
        <f>HYPERLINK("https://doi.org/10.1515/9780748693238")</f>
        <v>https://doi.org/10.1515/9780748693238</v>
      </c>
      <c r="AH292" t="str">
        <f>HYPERLINK("http://www.degruyter.com/isbn/9780748693238")</f>
        <v>http://www.degruyter.com/isbn/9780748693238</v>
      </c>
      <c r="AI292" t="s">
        <v>34</v>
      </c>
      <c r="AL292" t="s">
        <v>83</v>
      </c>
      <c r="AM292">
        <v>1</v>
      </c>
      <c r="AN292" s="2">
        <v>9780748693214</v>
      </c>
    </row>
    <row r="293" spans="1:40" x14ac:dyDescent="0.3">
      <c r="A293" t="s">
        <v>1617</v>
      </c>
      <c r="B293" t="s">
        <v>1</v>
      </c>
      <c r="C293" t="s">
        <v>1618</v>
      </c>
      <c r="E293" t="s">
        <v>1619</v>
      </c>
      <c r="F293" t="s">
        <v>5</v>
      </c>
      <c r="G293" t="s">
        <v>6</v>
      </c>
      <c r="L293" t="s">
        <v>7</v>
      </c>
      <c r="M293">
        <v>2019</v>
      </c>
      <c r="N293" s="1">
        <v>44644</v>
      </c>
      <c r="O293" t="s">
        <v>1620</v>
      </c>
      <c r="P293">
        <v>1</v>
      </c>
      <c r="S293">
        <v>227.95</v>
      </c>
      <c r="T293">
        <v>260</v>
      </c>
      <c r="U293">
        <v>200</v>
      </c>
      <c r="V293" t="s">
        <v>42</v>
      </c>
      <c r="W293" t="s">
        <v>107</v>
      </c>
      <c r="X293" t="s">
        <v>108</v>
      </c>
      <c r="Y293" t="s">
        <v>109</v>
      </c>
      <c r="AF293" t="s">
        <v>13</v>
      </c>
      <c r="AG293" t="str">
        <f>HYPERLINK("https://doi.org/10.1515/9781474449885?locatt=mode:legacy")</f>
        <v>https://doi.org/10.1515/9781474449885?locatt=mode:legacy</v>
      </c>
      <c r="AH293" t="str">
        <f>HYPERLINK("http://www.degruyter.com/isbn/9781474449885")</f>
        <v>http://www.degruyter.com/isbn/9781474449885</v>
      </c>
      <c r="AI293" t="s">
        <v>280</v>
      </c>
      <c r="AL293" t="s">
        <v>47</v>
      </c>
      <c r="AM293">
        <v>1</v>
      </c>
      <c r="AN293" s="2">
        <v>9781474449861</v>
      </c>
    </row>
    <row r="294" spans="1:40" x14ac:dyDescent="0.3">
      <c r="A294" t="s">
        <v>1621</v>
      </c>
      <c r="B294" t="s">
        <v>1</v>
      </c>
      <c r="C294" t="s">
        <v>1622</v>
      </c>
      <c r="E294" t="s">
        <v>1623</v>
      </c>
      <c r="F294" t="s">
        <v>5</v>
      </c>
      <c r="G294" t="s">
        <v>6</v>
      </c>
      <c r="L294" t="s">
        <v>7</v>
      </c>
      <c r="M294">
        <v>2007</v>
      </c>
      <c r="N294" s="1">
        <v>39252</v>
      </c>
      <c r="O294" t="s">
        <v>1624</v>
      </c>
      <c r="P294">
        <v>1</v>
      </c>
      <c r="S294">
        <v>295.95</v>
      </c>
      <c r="T294">
        <v>340</v>
      </c>
      <c r="U294">
        <v>260</v>
      </c>
      <c r="V294" t="s">
        <v>79</v>
      </c>
      <c r="W294" t="s">
        <v>209</v>
      </c>
      <c r="X294" t="s">
        <v>209</v>
      </c>
      <c r="Y294" t="s">
        <v>699</v>
      </c>
      <c r="AF294" t="s">
        <v>13</v>
      </c>
      <c r="AG294" t="str">
        <f>HYPERLINK("https://doi.org/10.1515/9780748629299")</f>
        <v>https://doi.org/10.1515/9780748629299</v>
      </c>
      <c r="AH294" t="str">
        <f>HYPERLINK("http://www.degruyter.com/isbn/9780748629299")</f>
        <v>http://www.degruyter.com/isbn/9780748629299</v>
      </c>
      <c r="AI294" t="s">
        <v>68</v>
      </c>
      <c r="AL294" t="s">
        <v>83</v>
      </c>
      <c r="AM294">
        <v>1</v>
      </c>
      <c r="AN294" s="2">
        <v>9780748620975</v>
      </c>
    </row>
    <row r="295" spans="1:40" x14ac:dyDescent="0.3">
      <c r="A295" t="s">
        <v>1625</v>
      </c>
      <c r="B295" t="s">
        <v>1</v>
      </c>
      <c r="C295" t="s">
        <v>1626</v>
      </c>
      <c r="E295" t="s">
        <v>1627</v>
      </c>
      <c r="F295" t="s">
        <v>5</v>
      </c>
      <c r="G295" t="s">
        <v>6</v>
      </c>
      <c r="L295" t="s">
        <v>7</v>
      </c>
      <c r="M295">
        <v>2020</v>
      </c>
      <c r="N295" s="1">
        <v>44656</v>
      </c>
      <c r="O295" t="s">
        <v>1628</v>
      </c>
      <c r="P295">
        <v>1</v>
      </c>
      <c r="S295">
        <v>417.95</v>
      </c>
      <c r="T295">
        <v>480</v>
      </c>
      <c r="U295">
        <v>370</v>
      </c>
      <c r="V295" t="s">
        <v>30</v>
      </c>
      <c r="W295" t="s">
        <v>1629</v>
      </c>
      <c r="X295" t="s">
        <v>1630</v>
      </c>
      <c r="Y295" t="s">
        <v>1631</v>
      </c>
      <c r="AF295" t="s">
        <v>13</v>
      </c>
      <c r="AG295" t="str">
        <f>HYPERLINK("https://doi.org/10.1515/9781474436014")</f>
        <v>https://doi.org/10.1515/9781474436014</v>
      </c>
      <c r="AH295" t="str">
        <f>HYPERLINK("http://www.degruyter.com/isbn/9781474436014")</f>
        <v>http://www.degruyter.com/isbn/9781474436014</v>
      </c>
      <c r="AI295" t="s">
        <v>14</v>
      </c>
      <c r="AL295" t="s">
        <v>272</v>
      </c>
      <c r="AM295">
        <v>1</v>
      </c>
      <c r="AN295" s="2">
        <v>9781474436007</v>
      </c>
    </row>
    <row r="296" spans="1:40" x14ac:dyDescent="0.3">
      <c r="A296" t="s">
        <v>1632</v>
      </c>
      <c r="B296" t="s">
        <v>1</v>
      </c>
      <c r="C296" t="s">
        <v>1633</v>
      </c>
      <c r="D296" t="s">
        <v>1634</v>
      </c>
      <c r="E296" t="s">
        <v>1635</v>
      </c>
      <c r="F296" t="s">
        <v>5</v>
      </c>
      <c r="G296" t="s">
        <v>6</v>
      </c>
      <c r="L296" t="s">
        <v>7</v>
      </c>
      <c r="M296">
        <v>2003</v>
      </c>
      <c r="N296" s="1">
        <v>37897</v>
      </c>
      <c r="O296" t="s">
        <v>1636</v>
      </c>
      <c r="P296">
        <v>1</v>
      </c>
      <c r="S296">
        <v>331.95</v>
      </c>
      <c r="T296">
        <v>380</v>
      </c>
      <c r="U296">
        <v>290</v>
      </c>
      <c r="V296" t="s">
        <v>1325</v>
      </c>
      <c r="W296" t="s">
        <v>1485</v>
      </c>
      <c r="X296" t="s">
        <v>1485</v>
      </c>
      <c r="Y296" t="s">
        <v>1486</v>
      </c>
      <c r="AF296" t="s">
        <v>13</v>
      </c>
      <c r="AG296" t="str">
        <f>HYPERLINK("https://doi.org/10.1515/9781474472616")</f>
        <v>https://doi.org/10.1515/9781474472616</v>
      </c>
      <c r="AH296" t="str">
        <f>HYPERLINK("http://www.degruyter.com/isbn/9781474472616")</f>
        <v>http://www.degruyter.com/isbn/9781474472616</v>
      </c>
      <c r="AI296" t="s">
        <v>68</v>
      </c>
      <c r="AL296" t="s">
        <v>1328</v>
      </c>
      <c r="AM296">
        <v>1</v>
      </c>
      <c r="AN296" s="2">
        <v>9780748617302</v>
      </c>
    </row>
    <row r="297" spans="1:40" x14ac:dyDescent="0.3">
      <c r="A297" t="s">
        <v>1637</v>
      </c>
      <c r="B297" t="s">
        <v>1</v>
      </c>
      <c r="C297" t="s">
        <v>1638</v>
      </c>
      <c r="D297" t="s">
        <v>1639</v>
      </c>
      <c r="E297" t="s">
        <v>1640</v>
      </c>
      <c r="F297" t="s">
        <v>5</v>
      </c>
      <c r="G297" t="s">
        <v>6</v>
      </c>
      <c r="L297" t="s">
        <v>7</v>
      </c>
      <c r="M297">
        <v>1991</v>
      </c>
      <c r="N297" s="1">
        <v>44599</v>
      </c>
      <c r="O297" t="s">
        <v>1641</v>
      </c>
      <c r="P297">
        <v>1</v>
      </c>
      <c r="S297">
        <v>253.95</v>
      </c>
      <c r="T297">
        <v>290</v>
      </c>
      <c r="U297">
        <v>220</v>
      </c>
      <c r="V297" t="s">
        <v>58</v>
      </c>
      <c r="W297" t="s">
        <v>129</v>
      </c>
      <c r="X297" t="s">
        <v>130</v>
      </c>
      <c r="Y297" t="s">
        <v>546</v>
      </c>
      <c r="AF297" t="s">
        <v>13</v>
      </c>
      <c r="AG297" t="str">
        <f>HYPERLINK("https://doi.org/10.1515/9781474470957")</f>
        <v>https://doi.org/10.1515/9781474470957</v>
      </c>
      <c r="AH297" t="str">
        <f>HYPERLINK("http://www.degruyter.com/isbn/9781474470957")</f>
        <v>http://www.degruyter.com/isbn/9781474470957</v>
      </c>
      <c r="AI297" t="s">
        <v>24</v>
      </c>
      <c r="AL297" t="s">
        <v>62</v>
      </c>
      <c r="AM297">
        <v>1</v>
      </c>
      <c r="AN297" s="2">
        <v>9780748601301</v>
      </c>
    </row>
    <row r="298" spans="1:40" x14ac:dyDescent="0.3">
      <c r="A298" t="s">
        <v>1642</v>
      </c>
      <c r="B298" t="s">
        <v>1</v>
      </c>
      <c r="C298" t="s">
        <v>1643</v>
      </c>
      <c r="D298" t="s">
        <v>1644</v>
      </c>
      <c r="E298" t="s">
        <v>1645</v>
      </c>
      <c r="F298" t="s">
        <v>5</v>
      </c>
      <c r="G298" t="s">
        <v>6</v>
      </c>
      <c r="L298" t="s">
        <v>7</v>
      </c>
      <c r="M298">
        <v>2011</v>
      </c>
      <c r="N298" s="1">
        <v>40743</v>
      </c>
      <c r="O298" t="s">
        <v>1646</v>
      </c>
      <c r="P298">
        <v>1</v>
      </c>
      <c r="S298">
        <v>243.95</v>
      </c>
      <c r="T298">
        <v>280</v>
      </c>
      <c r="U298">
        <v>210</v>
      </c>
      <c r="V298" t="s">
        <v>79</v>
      </c>
      <c r="W298" t="s">
        <v>123</v>
      </c>
      <c r="X298" t="s">
        <v>123</v>
      </c>
      <c r="Y298" t="s">
        <v>124</v>
      </c>
      <c r="AF298" t="s">
        <v>13</v>
      </c>
      <c r="AG298" t="str">
        <f>HYPERLINK("https://doi.org/10.1515/9780748647569")</f>
        <v>https://doi.org/10.1515/9780748647569</v>
      </c>
      <c r="AH298" t="str">
        <f>HYPERLINK("http://www.degruyter.com/isbn/9780748647569")</f>
        <v>http://www.degruyter.com/isbn/9780748647569</v>
      </c>
      <c r="AI298" t="s">
        <v>68</v>
      </c>
      <c r="AL298" t="s">
        <v>83</v>
      </c>
      <c r="AM298">
        <v>1</v>
      </c>
      <c r="AN298" s="2">
        <v>9780748639861</v>
      </c>
    </row>
    <row r="299" spans="1:40" x14ac:dyDescent="0.3">
      <c r="A299" t="s">
        <v>1647</v>
      </c>
      <c r="B299" t="s">
        <v>1</v>
      </c>
      <c r="C299" t="s">
        <v>1648</v>
      </c>
      <c r="E299" t="s">
        <v>1649</v>
      </c>
      <c r="F299" t="s">
        <v>5</v>
      </c>
      <c r="G299" t="s">
        <v>6</v>
      </c>
      <c r="L299" t="s">
        <v>7</v>
      </c>
      <c r="M299">
        <v>1997</v>
      </c>
      <c r="N299" s="1">
        <v>44599</v>
      </c>
      <c r="O299" t="s">
        <v>1650</v>
      </c>
      <c r="P299">
        <v>1</v>
      </c>
      <c r="S299">
        <v>339.95</v>
      </c>
      <c r="T299">
        <v>390</v>
      </c>
      <c r="U299">
        <v>300</v>
      </c>
      <c r="V299" t="s">
        <v>9</v>
      </c>
      <c r="W299" t="s">
        <v>10</v>
      </c>
      <c r="X299" t="s">
        <v>11</v>
      </c>
      <c r="Y299" t="s">
        <v>12</v>
      </c>
      <c r="AF299" t="s">
        <v>13</v>
      </c>
      <c r="AG299" t="str">
        <f>HYPERLINK("https://doi.org/10.1515/9781474469388")</f>
        <v>https://doi.org/10.1515/9781474469388</v>
      </c>
      <c r="AH299" t="str">
        <f>HYPERLINK("http://www.degruyter.com/isbn/9781474469388")</f>
        <v>http://www.degruyter.com/isbn/9781474469388</v>
      </c>
      <c r="AI299" t="s">
        <v>24</v>
      </c>
      <c r="AL299" t="s">
        <v>15</v>
      </c>
      <c r="AM299">
        <v>1</v>
      </c>
      <c r="AN299" s="2">
        <v>9780748609086</v>
      </c>
    </row>
    <row r="300" spans="1:40" x14ac:dyDescent="0.3">
      <c r="A300" t="s">
        <v>1651</v>
      </c>
      <c r="B300" t="s">
        <v>1</v>
      </c>
      <c r="C300" t="s">
        <v>1652</v>
      </c>
      <c r="D300" t="s">
        <v>1653</v>
      </c>
      <c r="E300" t="s">
        <v>1654</v>
      </c>
      <c r="F300" t="s">
        <v>5</v>
      </c>
      <c r="G300" t="s">
        <v>6</v>
      </c>
      <c r="L300" t="s">
        <v>7</v>
      </c>
      <c r="M300">
        <v>2016</v>
      </c>
      <c r="N300" s="1">
        <v>42429</v>
      </c>
      <c r="O300" t="s">
        <v>1655</v>
      </c>
      <c r="P300">
        <v>1</v>
      </c>
      <c r="S300">
        <v>243.95</v>
      </c>
      <c r="T300">
        <v>280</v>
      </c>
      <c r="U300">
        <v>210</v>
      </c>
      <c r="V300" t="s">
        <v>42</v>
      </c>
      <c r="W300" t="s">
        <v>116</v>
      </c>
      <c r="X300" t="s">
        <v>116</v>
      </c>
      <c r="Y300" t="s">
        <v>971</v>
      </c>
      <c r="AF300" t="s">
        <v>13</v>
      </c>
      <c r="AG300" t="str">
        <f>HYPERLINK("https://doi.org/10.1515/9781474405331?locatt=mode:legacy")</f>
        <v>https://doi.org/10.1515/9781474405331?locatt=mode:legacy</v>
      </c>
      <c r="AH300" t="str">
        <f>HYPERLINK("http://www.degruyter.com/isbn/9781474405331")</f>
        <v>http://www.degruyter.com/isbn/9781474405331</v>
      </c>
      <c r="AI300" t="s">
        <v>180</v>
      </c>
      <c r="AL300" t="s">
        <v>47</v>
      </c>
      <c r="AM300">
        <v>1</v>
      </c>
      <c r="AN300" s="2">
        <v>9781474405317</v>
      </c>
    </row>
    <row r="301" spans="1:40" x14ac:dyDescent="0.3">
      <c r="A301" t="s">
        <v>1656</v>
      </c>
      <c r="B301" t="s">
        <v>1</v>
      </c>
      <c r="C301" t="s">
        <v>1657</v>
      </c>
      <c r="E301" t="s">
        <v>1658</v>
      </c>
      <c r="F301" t="s">
        <v>5</v>
      </c>
      <c r="G301" t="s">
        <v>6</v>
      </c>
      <c r="L301" t="s">
        <v>7</v>
      </c>
      <c r="M301">
        <v>2009</v>
      </c>
      <c r="N301" s="1">
        <v>40009</v>
      </c>
      <c r="O301" t="s">
        <v>1659</v>
      </c>
      <c r="P301">
        <v>1</v>
      </c>
      <c r="S301">
        <v>339.95</v>
      </c>
      <c r="T301">
        <v>390</v>
      </c>
      <c r="U301">
        <v>300</v>
      </c>
      <c r="V301" t="s">
        <v>1325</v>
      </c>
      <c r="W301" t="s">
        <v>1485</v>
      </c>
      <c r="X301" t="s">
        <v>1485</v>
      </c>
      <c r="Y301" t="s">
        <v>1660</v>
      </c>
      <c r="AF301" t="s">
        <v>13</v>
      </c>
      <c r="AG301" t="str">
        <f>HYPERLINK("https://doi.org/10.1515/9780748630639")</f>
        <v>https://doi.org/10.1515/9780748630639</v>
      </c>
      <c r="AH301" t="str">
        <f>HYPERLINK("http://www.degruyter.com/isbn/9780748630639")</f>
        <v>http://www.degruyter.com/isbn/9780748630639</v>
      </c>
      <c r="AI301" t="s">
        <v>1661</v>
      </c>
      <c r="AL301" t="s">
        <v>1328</v>
      </c>
      <c r="AM301">
        <v>1</v>
      </c>
      <c r="AN301" s="2">
        <v>9780748624904</v>
      </c>
    </row>
    <row r="302" spans="1:40" x14ac:dyDescent="0.3">
      <c r="A302" t="s">
        <v>1662</v>
      </c>
      <c r="B302" t="s">
        <v>1</v>
      </c>
      <c r="C302" t="s">
        <v>623</v>
      </c>
      <c r="D302" t="s">
        <v>1663</v>
      </c>
      <c r="E302" t="s">
        <v>625</v>
      </c>
      <c r="F302" t="s">
        <v>5</v>
      </c>
      <c r="G302" t="s">
        <v>6</v>
      </c>
      <c r="L302" t="s">
        <v>7</v>
      </c>
      <c r="M302">
        <v>2015</v>
      </c>
      <c r="N302" s="1">
        <v>42180</v>
      </c>
      <c r="O302" t="s">
        <v>1664</v>
      </c>
      <c r="P302">
        <v>1</v>
      </c>
      <c r="S302">
        <v>253.95</v>
      </c>
      <c r="T302">
        <v>290</v>
      </c>
      <c r="U302">
        <v>220</v>
      </c>
      <c r="V302" t="s">
        <v>42</v>
      </c>
      <c r="W302" t="s">
        <v>1379</v>
      </c>
      <c r="X302" t="s">
        <v>1380</v>
      </c>
      <c r="Y302" t="s">
        <v>1381</v>
      </c>
      <c r="AF302" t="s">
        <v>13</v>
      </c>
      <c r="AG302" t="str">
        <f>HYPERLINK("https://www.degruyter.com/isbn/9780748694303")</f>
        <v>https://www.degruyter.com/isbn/9780748694303</v>
      </c>
      <c r="AH302" t="str">
        <f>HYPERLINK("http://www.degruyter.com/isbn/9780748694303")</f>
        <v>http://www.degruyter.com/isbn/9780748694303</v>
      </c>
      <c r="AI302" t="s">
        <v>34</v>
      </c>
      <c r="AL302" t="s">
        <v>47</v>
      </c>
      <c r="AM302">
        <v>1</v>
      </c>
      <c r="AN302" s="2">
        <v>9780748694280</v>
      </c>
    </row>
    <row r="303" spans="1:40" x14ac:dyDescent="0.3">
      <c r="A303" t="s">
        <v>1665</v>
      </c>
      <c r="B303" t="s">
        <v>1</v>
      </c>
      <c r="C303" t="s">
        <v>1666</v>
      </c>
      <c r="D303" t="s">
        <v>27</v>
      </c>
      <c r="E303" t="s">
        <v>1667</v>
      </c>
      <c r="F303" t="s">
        <v>5</v>
      </c>
      <c r="G303" t="s">
        <v>6</v>
      </c>
      <c r="L303" t="s">
        <v>7</v>
      </c>
      <c r="M303">
        <v>2011</v>
      </c>
      <c r="N303" s="1">
        <v>40707</v>
      </c>
      <c r="O303" t="s">
        <v>1668</v>
      </c>
      <c r="P303">
        <v>1</v>
      </c>
      <c r="S303">
        <v>253.95</v>
      </c>
      <c r="T303">
        <v>290</v>
      </c>
      <c r="U303">
        <v>220</v>
      </c>
      <c r="V303" t="s">
        <v>58</v>
      </c>
      <c r="W303" t="s">
        <v>59</v>
      </c>
      <c r="X303" t="s">
        <v>60</v>
      </c>
      <c r="Y303" t="s">
        <v>1669</v>
      </c>
      <c r="AF303" t="s">
        <v>13</v>
      </c>
      <c r="AG303" t="str">
        <f>HYPERLINK("https://doi.org/10.1515/9780748647088")</f>
        <v>https://doi.org/10.1515/9780748647088</v>
      </c>
      <c r="AH303" t="str">
        <f>HYPERLINK("http://www.degruyter.com/isbn/9780748647088")</f>
        <v>http://www.degruyter.com/isbn/9780748647088</v>
      </c>
      <c r="AI303" t="s">
        <v>68</v>
      </c>
      <c r="AL303" t="s">
        <v>62</v>
      </c>
      <c r="AM303">
        <v>1</v>
      </c>
      <c r="AN303" s="2">
        <v>9780748638062</v>
      </c>
    </row>
    <row r="304" spans="1:40" x14ac:dyDescent="0.3">
      <c r="A304" t="s">
        <v>1670</v>
      </c>
      <c r="B304" t="s">
        <v>1</v>
      </c>
      <c r="C304" t="s">
        <v>1671</v>
      </c>
      <c r="D304" t="s">
        <v>1672</v>
      </c>
      <c r="E304" t="s">
        <v>1673</v>
      </c>
      <c r="F304" t="s">
        <v>5</v>
      </c>
      <c r="G304" t="s">
        <v>6</v>
      </c>
      <c r="L304" t="s">
        <v>7</v>
      </c>
      <c r="M304">
        <v>1998</v>
      </c>
      <c r="N304" s="1">
        <v>44672</v>
      </c>
      <c r="O304" t="s">
        <v>890</v>
      </c>
      <c r="P304">
        <v>1</v>
      </c>
      <c r="S304">
        <v>217.95</v>
      </c>
      <c r="T304">
        <v>250</v>
      </c>
      <c r="U304">
        <v>190</v>
      </c>
      <c r="V304" t="s">
        <v>42</v>
      </c>
      <c r="W304" t="s">
        <v>43</v>
      </c>
      <c r="X304" t="s">
        <v>44</v>
      </c>
      <c r="Y304" t="s">
        <v>45</v>
      </c>
      <c r="AF304" t="s">
        <v>13</v>
      </c>
      <c r="AG304" t="str">
        <f>HYPERLINK("https://doi.org/10.1515/9780748672974")</f>
        <v>https://doi.org/10.1515/9780748672974</v>
      </c>
      <c r="AH304" t="str">
        <f>HYPERLINK("http://www.degruyter.com/isbn/9780748672974")</f>
        <v>http://www.degruyter.com/isbn/9780748672974</v>
      </c>
      <c r="AI304" t="s">
        <v>24</v>
      </c>
      <c r="AL304" t="s">
        <v>47</v>
      </c>
      <c r="AM304">
        <v>1</v>
      </c>
      <c r="AN304" s="2">
        <v>9780748609482</v>
      </c>
    </row>
    <row r="305" spans="1:40" x14ac:dyDescent="0.3">
      <c r="A305" t="s">
        <v>1674</v>
      </c>
      <c r="B305" t="s">
        <v>1</v>
      </c>
      <c r="C305" t="s">
        <v>1675</v>
      </c>
      <c r="D305" t="s">
        <v>1676</v>
      </c>
      <c r="E305" t="s">
        <v>1677</v>
      </c>
      <c r="F305" t="s">
        <v>5</v>
      </c>
      <c r="G305" t="s">
        <v>6</v>
      </c>
      <c r="L305" t="s">
        <v>7</v>
      </c>
      <c r="M305">
        <v>2014</v>
      </c>
      <c r="N305" s="1">
        <v>41668</v>
      </c>
      <c r="O305" t="s">
        <v>1678</v>
      </c>
      <c r="P305">
        <v>1</v>
      </c>
      <c r="S305">
        <v>253.95</v>
      </c>
      <c r="T305">
        <v>290</v>
      </c>
      <c r="U305">
        <v>220</v>
      </c>
      <c r="V305" t="s">
        <v>58</v>
      </c>
      <c r="W305" t="s">
        <v>59</v>
      </c>
      <c r="X305" t="s">
        <v>60</v>
      </c>
      <c r="Y305" t="s">
        <v>73</v>
      </c>
      <c r="AF305" t="s">
        <v>13</v>
      </c>
      <c r="AG305" t="str">
        <f>HYPERLINK("https://doi.org/10.1515/9780748643509")</f>
        <v>https://doi.org/10.1515/9780748643509</v>
      </c>
      <c r="AH305" t="str">
        <f>HYPERLINK("http://www.degruyter.com/isbn/9780748643509")</f>
        <v>http://www.degruyter.com/isbn/9780748643509</v>
      </c>
      <c r="AI305" t="s">
        <v>34</v>
      </c>
      <c r="AL305" t="s">
        <v>62</v>
      </c>
      <c r="AM305">
        <v>1</v>
      </c>
      <c r="AN305" s="2">
        <v>9780748643493</v>
      </c>
    </row>
    <row r="306" spans="1:40" x14ac:dyDescent="0.3">
      <c r="A306" t="s">
        <v>1679</v>
      </c>
      <c r="B306" t="s">
        <v>1</v>
      </c>
      <c r="C306" t="s">
        <v>1680</v>
      </c>
      <c r="D306" t="s">
        <v>1681</v>
      </c>
      <c r="E306" t="s">
        <v>1682</v>
      </c>
      <c r="F306" t="s">
        <v>5</v>
      </c>
      <c r="G306" t="s">
        <v>6</v>
      </c>
      <c r="L306" t="s">
        <v>7</v>
      </c>
      <c r="M306">
        <v>2016</v>
      </c>
      <c r="N306" s="1">
        <v>42689</v>
      </c>
      <c r="O306" t="s">
        <v>1683</v>
      </c>
      <c r="P306">
        <v>1</v>
      </c>
      <c r="S306">
        <v>217.95</v>
      </c>
      <c r="T306">
        <v>250</v>
      </c>
      <c r="U306">
        <v>190</v>
      </c>
      <c r="V306" t="s">
        <v>42</v>
      </c>
      <c r="W306" t="s">
        <v>43</v>
      </c>
      <c r="X306" t="s">
        <v>44</v>
      </c>
      <c r="Y306" t="s">
        <v>45</v>
      </c>
      <c r="AF306" t="s">
        <v>13</v>
      </c>
      <c r="AG306" t="str">
        <f>HYPERLINK("https://doi.org/10.1515/9780748677474")</f>
        <v>https://doi.org/10.1515/9780748677474</v>
      </c>
      <c r="AH306" t="str">
        <f>HYPERLINK("http://www.degruyter.com/isbn/9780748677474")</f>
        <v>http://www.degruyter.com/isbn/9780748677474</v>
      </c>
      <c r="AI306" t="s">
        <v>180</v>
      </c>
      <c r="AL306" t="s">
        <v>47</v>
      </c>
      <c r="AM306">
        <v>1</v>
      </c>
      <c r="AN306" s="2">
        <v>9780748677467</v>
      </c>
    </row>
    <row r="307" spans="1:40" x14ac:dyDescent="0.3">
      <c r="A307" t="s">
        <v>1684</v>
      </c>
      <c r="B307" t="s">
        <v>1</v>
      </c>
      <c r="C307" t="s">
        <v>1685</v>
      </c>
      <c r="D307" t="s">
        <v>1686</v>
      </c>
      <c r="E307" t="s">
        <v>1687</v>
      </c>
      <c r="F307" t="s">
        <v>5</v>
      </c>
      <c r="G307" t="s">
        <v>6</v>
      </c>
      <c r="L307" t="s">
        <v>7</v>
      </c>
      <c r="M307">
        <v>2018</v>
      </c>
      <c r="N307" s="1">
        <v>44656</v>
      </c>
      <c r="O307" t="s">
        <v>1688</v>
      </c>
      <c r="P307">
        <v>1</v>
      </c>
      <c r="S307">
        <v>227.95</v>
      </c>
      <c r="T307">
        <v>260</v>
      </c>
      <c r="U307">
        <v>200</v>
      </c>
      <c r="V307" t="s">
        <v>305</v>
      </c>
      <c r="W307" t="s">
        <v>306</v>
      </c>
      <c r="X307" t="s">
        <v>306</v>
      </c>
      <c r="Y307" t="s">
        <v>1689</v>
      </c>
      <c r="AF307" t="s">
        <v>13</v>
      </c>
      <c r="AG307" t="str">
        <f>HYPERLINK("https://doi.org/10.1515/9781474424868")</f>
        <v>https://doi.org/10.1515/9781474424868</v>
      </c>
      <c r="AH307" t="str">
        <f>HYPERLINK("http://www.degruyter.com/isbn/9781474424868")</f>
        <v>http://www.degruyter.com/isbn/9781474424868</v>
      </c>
      <c r="AI307" t="s">
        <v>46</v>
      </c>
      <c r="AL307" t="s">
        <v>308</v>
      </c>
      <c r="AM307">
        <v>1</v>
      </c>
      <c r="AN307" s="2">
        <v>9781474424844</v>
      </c>
    </row>
    <row r="308" spans="1:40" x14ac:dyDescent="0.3">
      <c r="A308" t="s">
        <v>1690</v>
      </c>
      <c r="B308" t="s">
        <v>1</v>
      </c>
      <c r="C308" t="s">
        <v>1691</v>
      </c>
      <c r="D308" t="s">
        <v>1692</v>
      </c>
      <c r="E308" t="s">
        <v>1693</v>
      </c>
      <c r="F308" t="s">
        <v>5</v>
      </c>
      <c r="G308" t="s">
        <v>6</v>
      </c>
      <c r="L308" t="s">
        <v>7</v>
      </c>
      <c r="M308">
        <v>2020</v>
      </c>
      <c r="N308" s="1">
        <v>44656</v>
      </c>
      <c r="O308" t="s">
        <v>1694</v>
      </c>
      <c r="P308">
        <v>1</v>
      </c>
      <c r="S308">
        <v>217.95</v>
      </c>
      <c r="T308">
        <v>250</v>
      </c>
      <c r="U308">
        <v>190</v>
      </c>
      <c r="V308" t="s">
        <v>20</v>
      </c>
      <c r="W308" t="s">
        <v>556</v>
      </c>
      <c r="X308" t="s">
        <v>902</v>
      </c>
      <c r="Y308" t="s">
        <v>903</v>
      </c>
      <c r="AF308" t="s">
        <v>13</v>
      </c>
      <c r="AG308" t="str">
        <f>HYPERLINK("https://doi.org/10.1515/9781474451185")</f>
        <v>https://doi.org/10.1515/9781474451185</v>
      </c>
      <c r="AH308" t="str">
        <f>HYPERLINK("http://www.degruyter.com/isbn/9781474451185")</f>
        <v>http://www.degruyter.com/isbn/9781474451185</v>
      </c>
      <c r="AI308" t="s">
        <v>14</v>
      </c>
      <c r="AL308" t="s">
        <v>15</v>
      </c>
      <c r="AM308">
        <v>1</v>
      </c>
      <c r="AN308" s="2">
        <v>9781474451161</v>
      </c>
    </row>
    <row r="309" spans="1:40" x14ac:dyDescent="0.3">
      <c r="A309" t="s">
        <v>1695</v>
      </c>
      <c r="B309" t="s">
        <v>1</v>
      </c>
      <c r="C309" t="s">
        <v>1696</v>
      </c>
      <c r="D309" t="s">
        <v>1697</v>
      </c>
      <c r="E309" t="s">
        <v>1698</v>
      </c>
      <c r="F309" t="s">
        <v>5</v>
      </c>
      <c r="G309" t="s">
        <v>6</v>
      </c>
      <c r="L309" t="s">
        <v>7</v>
      </c>
      <c r="M309">
        <v>1999</v>
      </c>
      <c r="N309" s="1">
        <v>44599</v>
      </c>
      <c r="O309" t="s">
        <v>1699</v>
      </c>
      <c r="P309">
        <v>1</v>
      </c>
      <c r="S309">
        <v>321.95</v>
      </c>
      <c r="T309">
        <v>370</v>
      </c>
      <c r="U309">
        <v>280</v>
      </c>
      <c r="V309" t="s">
        <v>79</v>
      </c>
      <c r="W309" t="s">
        <v>123</v>
      </c>
      <c r="X309" t="s">
        <v>123</v>
      </c>
      <c r="Y309" t="s">
        <v>124</v>
      </c>
      <c r="AF309" t="s">
        <v>13</v>
      </c>
      <c r="AG309" t="str">
        <f>HYPERLINK("https://doi.org/10.1515/9781474471299")</f>
        <v>https://doi.org/10.1515/9781474471299</v>
      </c>
      <c r="AH309" t="str">
        <f>HYPERLINK("http://www.degruyter.com/isbn/9781474471299")</f>
        <v>http://www.degruyter.com/isbn/9781474471299</v>
      </c>
      <c r="AI309" t="s">
        <v>24</v>
      </c>
      <c r="AL309" t="s">
        <v>83</v>
      </c>
      <c r="AM309">
        <v>1</v>
      </c>
      <c r="AN309" s="2">
        <v>9780748612444</v>
      </c>
    </row>
    <row r="310" spans="1:40" x14ac:dyDescent="0.3">
      <c r="A310" t="s">
        <v>1700</v>
      </c>
      <c r="B310" t="s">
        <v>1</v>
      </c>
      <c r="C310" t="s">
        <v>1701</v>
      </c>
      <c r="D310" t="s">
        <v>1702</v>
      </c>
      <c r="E310" t="s">
        <v>1703</v>
      </c>
      <c r="F310" t="s">
        <v>5</v>
      </c>
      <c r="G310" t="s">
        <v>6</v>
      </c>
      <c r="L310" t="s">
        <v>7</v>
      </c>
      <c r="M310">
        <v>2008</v>
      </c>
      <c r="N310" s="1">
        <v>39485</v>
      </c>
      <c r="O310" t="s">
        <v>1704</v>
      </c>
      <c r="P310">
        <v>1</v>
      </c>
      <c r="S310">
        <v>217.95</v>
      </c>
      <c r="T310">
        <v>250</v>
      </c>
      <c r="U310">
        <v>190</v>
      </c>
      <c r="V310" t="s">
        <v>20</v>
      </c>
      <c r="W310" t="s">
        <v>470</v>
      </c>
      <c r="X310" t="s">
        <v>1269</v>
      </c>
      <c r="Y310" t="s">
        <v>1705</v>
      </c>
      <c r="AF310" t="s">
        <v>13</v>
      </c>
      <c r="AG310" t="str">
        <f>HYPERLINK("https://doi.org/10.1515/9780748632350")</f>
        <v>https://doi.org/10.1515/9780748632350</v>
      </c>
      <c r="AH310" t="str">
        <f>HYPERLINK("http://www.degruyter.com/isbn/9780748632350")</f>
        <v>http://www.degruyter.com/isbn/9780748632350</v>
      </c>
      <c r="AI310" t="s">
        <v>68</v>
      </c>
      <c r="AL310" t="s">
        <v>15</v>
      </c>
      <c r="AM310">
        <v>1</v>
      </c>
      <c r="AN310" s="2">
        <v>9780748632688</v>
      </c>
    </row>
    <row r="311" spans="1:40" x14ac:dyDescent="0.3">
      <c r="A311" t="s">
        <v>1706</v>
      </c>
      <c r="B311" t="s">
        <v>1</v>
      </c>
      <c r="C311" t="s">
        <v>1707</v>
      </c>
      <c r="D311" t="s">
        <v>1708</v>
      </c>
      <c r="E311" t="s">
        <v>1709</v>
      </c>
      <c r="F311" t="s">
        <v>5</v>
      </c>
      <c r="G311" t="s">
        <v>6</v>
      </c>
      <c r="L311" t="s">
        <v>7</v>
      </c>
      <c r="M311">
        <v>2016</v>
      </c>
      <c r="N311" s="1">
        <v>42387</v>
      </c>
      <c r="O311" t="s">
        <v>1710</v>
      </c>
      <c r="P311">
        <v>1</v>
      </c>
      <c r="S311">
        <v>253.95</v>
      </c>
      <c r="T311">
        <v>290</v>
      </c>
      <c r="U311">
        <v>220</v>
      </c>
      <c r="V311" t="s">
        <v>79</v>
      </c>
      <c r="W311" t="s">
        <v>123</v>
      </c>
      <c r="X311" t="s">
        <v>123</v>
      </c>
      <c r="Y311" t="s">
        <v>124</v>
      </c>
      <c r="AF311" t="s">
        <v>13</v>
      </c>
      <c r="AG311" t="str">
        <f>HYPERLINK("https://doi.org/10.1515/9781474410410")</f>
        <v>https://doi.org/10.1515/9781474410410</v>
      </c>
      <c r="AH311" t="str">
        <f>HYPERLINK("http://www.degruyter.com/isbn/9781474410410")</f>
        <v>http://www.degruyter.com/isbn/9781474410410</v>
      </c>
      <c r="AI311" t="s">
        <v>180</v>
      </c>
      <c r="AL311" t="s">
        <v>83</v>
      </c>
      <c r="AM311">
        <v>1</v>
      </c>
      <c r="AN311" s="2">
        <v>9780748642298</v>
      </c>
    </row>
    <row r="312" spans="1:40" x14ac:dyDescent="0.3">
      <c r="A312" t="s">
        <v>1711</v>
      </c>
      <c r="B312" t="s">
        <v>1</v>
      </c>
      <c r="C312" t="s">
        <v>1712</v>
      </c>
      <c r="D312" t="s">
        <v>1713</v>
      </c>
      <c r="E312" t="s">
        <v>1714</v>
      </c>
      <c r="F312" t="s">
        <v>5</v>
      </c>
      <c r="G312" t="s">
        <v>6</v>
      </c>
      <c r="L312" t="s">
        <v>7</v>
      </c>
      <c r="M312">
        <v>2007</v>
      </c>
      <c r="N312" s="1">
        <v>39275</v>
      </c>
      <c r="O312" t="s">
        <v>1715</v>
      </c>
      <c r="P312">
        <v>1</v>
      </c>
      <c r="S312">
        <v>243.95</v>
      </c>
      <c r="T312">
        <v>280</v>
      </c>
      <c r="U312">
        <v>210</v>
      </c>
      <c r="V312" t="s">
        <v>58</v>
      </c>
      <c r="W312" t="s">
        <v>59</v>
      </c>
      <c r="X312" t="s">
        <v>60</v>
      </c>
      <c r="Y312" t="s">
        <v>145</v>
      </c>
      <c r="AF312" t="s">
        <v>13</v>
      </c>
      <c r="AG312" t="str">
        <f>HYPERLINK("https://doi.org/10.1515/9780748629077?locatt=mode:legacy")</f>
        <v>https://doi.org/10.1515/9780748629077?locatt=mode:legacy</v>
      </c>
      <c r="AH312" t="str">
        <f>HYPERLINK("http://www.degruyter.com/isbn/9780748629077")</f>
        <v>http://www.degruyter.com/isbn/9780748629077</v>
      </c>
      <c r="AI312" t="s">
        <v>68</v>
      </c>
      <c r="AL312" t="s">
        <v>62</v>
      </c>
      <c r="AM312">
        <v>1</v>
      </c>
      <c r="AN312" s="2">
        <v>9780748619801</v>
      </c>
    </row>
    <row r="313" spans="1:40" x14ac:dyDescent="0.3">
      <c r="A313" t="s">
        <v>1716</v>
      </c>
      <c r="B313" t="s">
        <v>1</v>
      </c>
      <c r="C313" t="s">
        <v>1717</v>
      </c>
      <c r="D313" t="s">
        <v>1718</v>
      </c>
      <c r="E313" t="s">
        <v>1719</v>
      </c>
      <c r="F313" t="s">
        <v>5</v>
      </c>
      <c r="G313" t="s">
        <v>6</v>
      </c>
      <c r="L313" t="s">
        <v>7</v>
      </c>
      <c r="M313">
        <v>2017</v>
      </c>
      <c r="N313" s="1">
        <v>42920</v>
      </c>
      <c r="O313" t="s">
        <v>1720</v>
      </c>
      <c r="P313">
        <v>1</v>
      </c>
      <c r="S313">
        <v>217.95</v>
      </c>
      <c r="T313">
        <v>250</v>
      </c>
      <c r="U313">
        <v>190</v>
      </c>
      <c r="V313" t="s">
        <v>42</v>
      </c>
      <c r="W313" t="s">
        <v>43</v>
      </c>
      <c r="X313" t="s">
        <v>44</v>
      </c>
      <c r="Y313" t="s">
        <v>45</v>
      </c>
      <c r="AF313" t="s">
        <v>13</v>
      </c>
      <c r="AG313" t="str">
        <f>HYPERLINK("https://doi.org/10.1515/9780748698202?locatt=mode:legacy")</f>
        <v>https://doi.org/10.1515/9780748698202?locatt=mode:legacy</v>
      </c>
      <c r="AH313" t="str">
        <f>HYPERLINK("http://www.degruyter.com/isbn/9780748698202")</f>
        <v>http://www.degruyter.com/isbn/9780748698202</v>
      </c>
      <c r="AI313" t="s">
        <v>222</v>
      </c>
      <c r="AL313" t="s">
        <v>47</v>
      </c>
      <c r="AM313">
        <v>1</v>
      </c>
      <c r="AN313" s="2">
        <v>9780748698196</v>
      </c>
    </row>
    <row r="314" spans="1:40" x14ac:dyDescent="0.3">
      <c r="A314" t="s">
        <v>1721</v>
      </c>
      <c r="B314" t="s">
        <v>1</v>
      </c>
      <c r="C314" t="s">
        <v>1722</v>
      </c>
      <c r="D314" t="s">
        <v>1723</v>
      </c>
      <c r="E314" t="s">
        <v>1724</v>
      </c>
      <c r="F314" t="s">
        <v>5</v>
      </c>
      <c r="G314" t="s">
        <v>6</v>
      </c>
      <c r="L314" t="s">
        <v>7</v>
      </c>
      <c r="M314">
        <v>2020</v>
      </c>
      <c r="N314" s="1">
        <v>44656</v>
      </c>
      <c r="O314" t="s">
        <v>1725</v>
      </c>
      <c r="P314">
        <v>1</v>
      </c>
      <c r="S314">
        <v>217.95</v>
      </c>
      <c r="T314">
        <v>250</v>
      </c>
      <c r="U314">
        <v>190</v>
      </c>
      <c r="V314" t="s">
        <v>79</v>
      </c>
      <c r="W314" t="s">
        <v>734</v>
      </c>
      <c r="X314" t="s">
        <v>734</v>
      </c>
      <c r="Y314" t="s">
        <v>735</v>
      </c>
      <c r="AF314" t="s">
        <v>13</v>
      </c>
      <c r="AG314" t="str">
        <f>HYPERLINK("https://doi.org/10.1515/9781474459389")</f>
        <v>https://doi.org/10.1515/9781474459389</v>
      </c>
      <c r="AH314" t="str">
        <f>HYPERLINK("http://www.degruyter.com/isbn/9781474459389")</f>
        <v>http://www.degruyter.com/isbn/9781474459389</v>
      </c>
      <c r="AI314" t="s">
        <v>14</v>
      </c>
      <c r="AL314" t="s">
        <v>83</v>
      </c>
      <c r="AM314">
        <v>1</v>
      </c>
      <c r="AN314" s="2">
        <v>9781474459358</v>
      </c>
    </row>
    <row r="315" spans="1:40" x14ac:dyDescent="0.3">
      <c r="A315" t="s">
        <v>1726</v>
      </c>
      <c r="B315" t="s">
        <v>1</v>
      </c>
      <c r="C315" t="s">
        <v>1727</v>
      </c>
      <c r="D315" t="s">
        <v>1728</v>
      </c>
      <c r="E315" t="s">
        <v>1729</v>
      </c>
      <c r="F315" t="s">
        <v>5</v>
      </c>
      <c r="G315" t="s">
        <v>6</v>
      </c>
      <c r="L315" t="s">
        <v>7</v>
      </c>
      <c r="M315">
        <v>1999</v>
      </c>
      <c r="N315" s="1">
        <v>44634</v>
      </c>
      <c r="O315" t="s">
        <v>1730</v>
      </c>
      <c r="P315">
        <v>1</v>
      </c>
      <c r="S315">
        <v>295.95</v>
      </c>
      <c r="T315">
        <v>340</v>
      </c>
      <c r="U315">
        <v>260</v>
      </c>
      <c r="V315" t="s">
        <v>20</v>
      </c>
      <c r="W315" t="s">
        <v>556</v>
      </c>
      <c r="X315" t="s">
        <v>1731</v>
      </c>
      <c r="Y315" t="s">
        <v>1732</v>
      </c>
      <c r="AF315" t="s">
        <v>13</v>
      </c>
      <c r="AG315" t="str">
        <f>HYPERLINK("https://doi.org/10.1515/9781474469166")</f>
        <v>https://doi.org/10.1515/9781474469166</v>
      </c>
      <c r="AH315" t="str">
        <f>HYPERLINK("http://www.degruyter.com/isbn/9781474469166")</f>
        <v>http://www.degruyter.com/isbn/9781474469166</v>
      </c>
      <c r="AI315" t="s">
        <v>1733</v>
      </c>
      <c r="AL315" t="s">
        <v>15</v>
      </c>
      <c r="AM315">
        <v>1</v>
      </c>
      <c r="AN315" s="2">
        <v>9780748609055</v>
      </c>
    </row>
    <row r="316" spans="1:40" x14ac:dyDescent="0.3">
      <c r="A316" t="s">
        <v>1734</v>
      </c>
      <c r="B316" t="s">
        <v>1</v>
      </c>
      <c r="C316" t="s">
        <v>1735</v>
      </c>
      <c r="D316" t="s">
        <v>1736</v>
      </c>
      <c r="E316" t="s">
        <v>1737</v>
      </c>
      <c r="F316" t="s">
        <v>5</v>
      </c>
      <c r="G316" t="s">
        <v>6</v>
      </c>
      <c r="L316" t="s">
        <v>7</v>
      </c>
      <c r="M316">
        <v>2013</v>
      </c>
      <c r="N316" s="1">
        <v>41351</v>
      </c>
      <c r="O316" t="s">
        <v>1738</v>
      </c>
      <c r="P316">
        <v>1</v>
      </c>
      <c r="S316">
        <v>243.95</v>
      </c>
      <c r="T316">
        <v>280</v>
      </c>
      <c r="U316">
        <v>210</v>
      </c>
      <c r="V316" t="s">
        <v>20</v>
      </c>
      <c r="W316" t="s">
        <v>556</v>
      </c>
      <c r="X316" t="s">
        <v>1739</v>
      </c>
      <c r="Y316" t="s">
        <v>1740</v>
      </c>
      <c r="AF316" t="s">
        <v>13</v>
      </c>
      <c r="AG316" t="str">
        <f>HYPERLINK("https://doi.org/10.1515/9780748677566?locatt=mode:legacy")</f>
        <v>https://doi.org/10.1515/9780748677566?locatt=mode:legacy</v>
      </c>
      <c r="AH316" t="str">
        <f>HYPERLINK("http://www.degruyter.com/isbn/9780748677566")</f>
        <v>http://www.degruyter.com/isbn/9780748677566</v>
      </c>
      <c r="AI316" t="s">
        <v>68</v>
      </c>
      <c r="AL316" t="s">
        <v>15</v>
      </c>
      <c r="AM316">
        <v>1</v>
      </c>
      <c r="AN316" s="2">
        <v>9780748646272</v>
      </c>
    </row>
    <row r="317" spans="1:40" x14ac:dyDescent="0.3">
      <c r="A317" t="s">
        <v>1741</v>
      </c>
      <c r="B317" t="s">
        <v>1</v>
      </c>
      <c r="C317" t="s">
        <v>1742</v>
      </c>
      <c r="E317" t="s">
        <v>1743</v>
      </c>
      <c r="F317" t="s">
        <v>5</v>
      </c>
      <c r="G317" t="s">
        <v>6</v>
      </c>
      <c r="L317" t="s">
        <v>7</v>
      </c>
      <c r="M317">
        <v>2021</v>
      </c>
      <c r="N317" s="1">
        <v>44656</v>
      </c>
      <c r="O317" t="s">
        <v>1744</v>
      </c>
      <c r="P317">
        <v>1</v>
      </c>
      <c r="S317">
        <v>217.95</v>
      </c>
      <c r="T317">
        <v>250</v>
      </c>
      <c r="U317">
        <v>190</v>
      </c>
      <c r="V317" t="s">
        <v>42</v>
      </c>
      <c r="W317" t="s">
        <v>43</v>
      </c>
      <c r="X317" t="s">
        <v>178</v>
      </c>
      <c r="Y317" t="s">
        <v>1745</v>
      </c>
      <c r="AF317" t="s">
        <v>13</v>
      </c>
      <c r="AG317" t="str">
        <f>HYPERLINK("https://doi.org/10.1515/9781474488501")</f>
        <v>https://doi.org/10.1515/9781474488501</v>
      </c>
      <c r="AH317" t="str">
        <f>HYPERLINK("http://www.degruyter.com/isbn/9781474488501")</f>
        <v>http://www.degruyter.com/isbn/9781474488501</v>
      </c>
      <c r="AI317" t="s">
        <v>110</v>
      </c>
      <c r="AL317" t="s">
        <v>47</v>
      </c>
      <c r="AM317">
        <v>1</v>
      </c>
      <c r="AN317" s="2">
        <v>9781474488488</v>
      </c>
    </row>
    <row r="318" spans="1:40" x14ac:dyDescent="0.3">
      <c r="A318" t="s">
        <v>1746</v>
      </c>
      <c r="B318" t="s">
        <v>1</v>
      </c>
      <c r="C318" t="s">
        <v>1747</v>
      </c>
      <c r="D318" t="s">
        <v>1748</v>
      </c>
      <c r="E318" t="s">
        <v>1749</v>
      </c>
      <c r="F318" t="s">
        <v>5</v>
      </c>
      <c r="G318" t="s">
        <v>6</v>
      </c>
      <c r="L318" t="s">
        <v>7</v>
      </c>
      <c r="M318">
        <v>2016</v>
      </c>
      <c r="N318" s="1">
        <v>42716</v>
      </c>
      <c r="O318" t="s">
        <v>1750</v>
      </c>
      <c r="P318">
        <v>1</v>
      </c>
      <c r="S318">
        <v>217.95</v>
      </c>
      <c r="T318">
        <v>250</v>
      </c>
      <c r="U318">
        <v>190</v>
      </c>
      <c r="V318" t="s">
        <v>42</v>
      </c>
      <c r="W318" t="s">
        <v>107</v>
      </c>
      <c r="X318" t="s">
        <v>108</v>
      </c>
      <c r="Y318" t="s">
        <v>109</v>
      </c>
      <c r="AF318" t="s">
        <v>13</v>
      </c>
      <c r="AG318" t="str">
        <f>HYPERLINK("https://doi.org/10.1515/9781474418980?locatt=mode:legacy")</f>
        <v>https://doi.org/10.1515/9781474418980?locatt=mode:legacy</v>
      </c>
      <c r="AH318" t="str">
        <f>HYPERLINK("http://www.degruyter.com/isbn/9781474418980")</f>
        <v>http://www.degruyter.com/isbn/9781474418980</v>
      </c>
      <c r="AI318" t="s">
        <v>180</v>
      </c>
      <c r="AL318" t="s">
        <v>47</v>
      </c>
      <c r="AM318">
        <v>1</v>
      </c>
      <c r="AN318" s="2">
        <v>9781474418973</v>
      </c>
    </row>
    <row r="319" spans="1:40" x14ac:dyDescent="0.3">
      <c r="A319" t="s">
        <v>1751</v>
      </c>
      <c r="B319" t="s">
        <v>1</v>
      </c>
      <c r="C319" t="s">
        <v>1752</v>
      </c>
      <c r="D319" t="s">
        <v>1753</v>
      </c>
      <c r="E319" t="s">
        <v>1754</v>
      </c>
      <c r="F319" t="s">
        <v>5</v>
      </c>
      <c r="G319" t="s">
        <v>6</v>
      </c>
      <c r="L319" t="s">
        <v>7</v>
      </c>
      <c r="M319">
        <v>2019</v>
      </c>
      <c r="N319" s="1">
        <v>44644</v>
      </c>
      <c r="O319" t="s">
        <v>1755</v>
      </c>
      <c r="P319">
        <v>1</v>
      </c>
      <c r="S319">
        <v>227.95</v>
      </c>
      <c r="T319">
        <v>260</v>
      </c>
      <c r="U319">
        <v>200</v>
      </c>
      <c r="V319" t="s">
        <v>58</v>
      </c>
      <c r="W319" t="s">
        <v>59</v>
      </c>
      <c r="X319" t="s">
        <v>60</v>
      </c>
      <c r="Y319" t="s">
        <v>73</v>
      </c>
      <c r="AF319" t="s">
        <v>13</v>
      </c>
      <c r="AG319" t="str">
        <f>HYPERLINK("https://doi.org/10.1515/9781474450287?locatt=mode:legacy")</f>
        <v>https://doi.org/10.1515/9781474450287?locatt=mode:legacy</v>
      </c>
      <c r="AH319" t="str">
        <f>HYPERLINK("http://www.degruyter.com/isbn/9781474450287")</f>
        <v>http://www.degruyter.com/isbn/9781474450287</v>
      </c>
      <c r="AI319" t="s">
        <v>280</v>
      </c>
      <c r="AL319" t="s">
        <v>62</v>
      </c>
      <c r="AM319">
        <v>1</v>
      </c>
      <c r="AN319" s="2">
        <v>9781474450263</v>
      </c>
    </row>
    <row r="320" spans="1:40" x14ac:dyDescent="0.3">
      <c r="A320" t="s">
        <v>1756</v>
      </c>
      <c r="B320" t="s">
        <v>1</v>
      </c>
      <c r="C320" t="s">
        <v>1757</v>
      </c>
      <c r="D320" t="s">
        <v>1316</v>
      </c>
      <c r="E320" t="s">
        <v>1758</v>
      </c>
      <c r="F320" t="s">
        <v>5</v>
      </c>
      <c r="G320" t="s">
        <v>6</v>
      </c>
      <c r="L320" t="s">
        <v>7</v>
      </c>
      <c r="M320">
        <v>2010</v>
      </c>
      <c r="N320" s="1">
        <v>40508</v>
      </c>
      <c r="O320" t="s">
        <v>1759</v>
      </c>
      <c r="P320">
        <v>1</v>
      </c>
      <c r="S320">
        <v>253.95</v>
      </c>
      <c r="T320">
        <v>290</v>
      </c>
      <c r="U320">
        <v>220</v>
      </c>
      <c r="V320" t="s">
        <v>79</v>
      </c>
      <c r="W320" t="s">
        <v>209</v>
      </c>
      <c r="X320" t="s">
        <v>209</v>
      </c>
      <c r="Y320" t="s">
        <v>510</v>
      </c>
      <c r="AF320" t="s">
        <v>13</v>
      </c>
      <c r="AG320" t="str">
        <f>HYPERLINK("https://doi.org/10.1515/9780748644506")</f>
        <v>https://doi.org/10.1515/9780748644506</v>
      </c>
      <c r="AH320" t="str">
        <f>HYPERLINK("http://www.degruyter.com/isbn/9780748644506")</f>
        <v>http://www.degruyter.com/isbn/9780748644506</v>
      </c>
      <c r="AI320" t="s">
        <v>68</v>
      </c>
      <c r="AL320" t="s">
        <v>83</v>
      </c>
      <c r="AM320">
        <v>1</v>
      </c>
      <c r="AN320" s="2">
        <v>9780748640270</v>
      </c>
    </row>
    <row r="321" spans="1:40" x14ac:dyDescent="0.3">
      <c r="A321" t="s">
        <v>1760</v>
      </c>
      <c r="B321" t="s">
        <v>1</v>
      </c>
      <c r="C321" t="s">
        <v>1761</v>
      </c>
      <c r="D321" t="s">
        <v>1762</v>
      </c>
      <c r="E321" t="s">
        <v>1763</v>
      </c>
      <c r="F321" t="s">
        <v>5</v>
      </c>
      <c r="G321" t="s">
        <v>6</v>
      </c>
      <c r="K321" t="s">
        <v>929</v>
      </c>
      <c r="L321" t="s">
        <v>7</v>
      </c>
      <c r="M321">
        <v>2020</v>
      </c>
      <c r="N321" s="1">
        <v>44095</v>
      </c>
      <c r="O321" t="s">
        <v>1764</v>
      </c>
      <c r="P321">
        <v>1</v>
      </c>
      <c r="V321" t="s">
        <v>58</v>
      </c>
      <c r="W321" t="s">
        <v>129</v>
      </c>
      <c r="X321" t="s">
        <v>130</v>
      </c>
      <c r="Y321" t="s">
        <v>1765</v>
      </c>
      <c r="AF321" t="s">
        <v>13</v>
      </c>
      <c r="AG321" t="str">
        <f>HYPERLINK("https://doi.org/10.1515/9781474473729")</f>
        <v>https://doi.org/10.1515/9781474473729</v>
      </c>
      <c r="AH321" t="str">
        <f>HYPERLINK("http://www.degruyter.com/isbn/9781474473729")</f>
        <v>http://www.degruyter.com/isbn/9781474473729</v>
      </c>
      <c r="AI321" t="s">
        <v>14</v>
      </c>
      <c r="AM321">
        <v>1</v>
      </c>
      <c r="AN321" s="2"/>
    </row>
    <row r="322" spans="1:40" x14ac:dyDescent="0.3">
      <c r="A322" t="s">
        <v>1766</v>
      </c>
      <c r="B322" t="s">
        <v>1</v>
      </c>
      <c r="C322" t="s">
        <v>1767</v>
      </c>
      <c r="D322" t="s">
        <v>1768</v>
      </c>
      <c r="E322" t="s">
        <v>1769</v>
      </c>
      <c r="F322" t="s">
        <v>5</v>
      </c>
      <c r="G322" t="s">
        <v>6</v>
      </c>
      <c r="L322" t="s">
        <v>7</v>
      </c>
      <c r="M322">
        <v>2000</v>
      </c>
      <c r="N322" s="1">
        <v>44607</v>
      </c>
      <c r="O322" t="s">
        <v>1770</v>
      </c>
      <c r="P322">
        <v>1</v>
      </c>
      <c r="S322">
        <v>217.95</v>
      </c>
      <c r="T322">
        <v>250</v>
      </c>
      <c r="U322">
        <v>190</v>
      </c>
      <c r="V322" t="s">
        <v>847</v>
      </c>
      <c r="W322" t="s">
        <v>848</v>
      </c>
      <c r="X322" t="s">
        <v>1771</v>
      </c>
      <c r="Y322" t="s">
        <v>1772</v>
      </c>
      <c r="AF322" t="s">
        <v>13</v>
      </c>
      <c r="AG322" t="str">
        <f>HYPERLINK("https://doi.org/10.1515/9781474469159")</f>
        <v>https://doi.org/10.1515/9781474469159</v>
      </c>
      <c r="AH322" t="str">
        <f>HYPERLINK("http://www.degruyter.com/isbn/9781474469159")</f>
        <v>http://www.degruyter.com/isbn/9781474469159</v>
      </c>
      <c r="AI322" t="s">
        <v>68</v>
      </c>
      <c r="AJ322" t="s">
        <v>35</v>
      </c>
      <c r="AL322" t="s">
        <v>1773</v>
      </c>
      <c r="AM322">
        <v>1</v>
      </c>
      <c r="AN322" s="2">
        <v>9780748613793</v>
      </c>
    </row>
    <row r="323" spans="1:40" x14ac:dyDescent="0.3">
      <c r="A323" t="s">
        <v>1774</v>
      </c>
      <c r="B323" t="s">
        <v>1</v>
      </c>
      <c r="C323" t="s">
        <v>1775</v>
      </c>
      <c r="D323" t="s">
        <v>1776</v>
      </c>
      <c r="E323" t="s">
        <v>1777</v>
      </c>
      <c r="F323" t="s">
        <v>5</v>
      </c>
      <c r="G323" t="s">
        <v>6</v>
      </c>
      <c r="L323" t="s">
        <v>7</v>
      </c>
      <c r="M323">
        <v>2011</v>
      </c>
      <c r="N323" s="1">
        <v>40658</v>
      </c>
      <c r="O323" t="s">
        <v>1778</v>
      </c>
      <c r="P323">
        <v>1</v>
      </c>
      <c r="S323">
        <v>253.95</v>
      </c>
      <c r="T323">
        <v>290</v>
      </c>
      <c r="U323">
        <v>220</v>
      </c>
      <c r="V323" t="s">
        <v>58</v>
      </c>
      <c r="W323" t="s">
        <v>59</v>
      </c>
      <c r="X323" t="s">
        <v>60</v>
      </c>
      <c r="Y323" t="s">
        <v>145</v>
      </c>
      <c r="AF323" t="s">
        <v>13</v>
      </c>
      <c r="AG323" t="str">
        <f>HYPERLINK("https://doi.org/10.1515/9780748646043")</f>
        <v>https://doi.org/10.1515/9780748646043</v>
      </c>
      <c r="AH323" t="str">
        <f>HYPERLINK("http://www.degruyter.com/isbn/9780748646043")</f>
        <v>http://www.degruyter.com/isbn/9780748646043</v>
      </c>
      <c r="AI323" t="s">
        <v>68</v>
      </c>
      <c r="AL323" t="s">
        <v>62</v>
      </c>
      <c r="AM323">
        <v>1</v>
      </c>
      <c r="AN323" s="2">
        <v>9780748641123</v>
      </c>
    </row>
    <row r="324" spans="1:40" x14ac:dyDescent="0.3">
      <c r="A324" t="s">
        <v>1779</v>
      </c>
      <c r="B324" t="s">
        <v>1</v>
      </c>
      <c r="C324" t="s">
        <v>1780</v>
      </c>
      <c r="D324" t="s">
        <v>1781</v>
      </c>
      <c r="E324" t="s">
        <v>1782</v>
      </c>
      <c r="F324" t="s">
        <v>5</v>
      </c>
      <c r="G324" t="s">
        <v>6</v>
      </c>
      <c r="L324" t="s">
        <v>7</v>
      </c>
      <c r="M324">
        <v>2001</v>
      </c>
      <c r="N324" s="1">
        <v>44607</v>
      </c>
      <c r="O324" t="s">
        <v>398</v>
      </c>
      <c r="P324">
        <v>1</v>
      </c>
      <c r="S324">
        <v>217.95</v>
      </c>
      <c r="T324">
        <v>250</v>
      </c>
      <c r="U324">
        <v>190</v>
      </c>
      <c r="V324" t="s">
        <v>58</v>
      </c>
      <c r="W324" t="s">
        <v>59</v>
      </c>
      <c r="X324" t="s">
        <v>60</v>
      </c>
      <c r="Y324" t="s">
        <v>399</v>
      </c>
      <c r="AF324" t="s">
        <v>13</v>
      </c>
      <c r="AG324" t="str">
        <f>HYPERLINK("https://doi.org/10.1515/9781474465991")</f>
        <v>https://doi.org/10.1515/9781474465991</v>
      </c>
      <c r="AH324" t="str">
        <f>HYPERLINK("http://www.degruyter.com/isbn/9781474465991")</f>
        <v>http://www.degruyter.com/isbn/9781474465991</v>
      </c>
      <c r="AI324" t="s">
        <v>68</v>
      </c>
      <c r="AL324" t="s">
        <v>62</v>
      </c>
      <c r="AM324">
        <v>1</v>
      </c>
      <c r="AN324" s="2">
        <v>9781902930350</v>
      </c>
    </row>
    <row r="325" spans="1:40" x14ac:dyDescent="0.3">
      <c r="A325" t="s">
        <v>1783</v>
      </c>
      <c r="B325" t="s">
        <v>1</v>
      </c>
      <c r="C325" t="s">
        <v>1784</v>
      </c>
      <c r="D325" t="s">
        <v>1785</v>
      </c>
      <c r="E325" t="s">
        <v>1786</v>
      </c>
      <c r="F325" t="s">
        <v>5</v>
      </c>
      <c r="G325" t="s">
        <v>6</v>
      </c>
      <c r="L325" t="s">
        <v>7</v>
      </c>
      <c r="M325">
        <v>2013</v>
      </c>
      <c r="N325" s="1">
        <v>41296</v>
      </c>
      <c r="O325" t="s">
        <v>1787</v>
      </c>
      <c r="P325">
        <v>1</v>
      </c>
      <c r="S325">
        <v>217.95</v>
      </c>
      <c r="T325">
        <v>250</v>
      </c>
      <c r="U325">
        <v>190</v>
      </c>
      <c r="V325" t="s">
        <v>42</v>
      </c>
      <c r="W325" t="s">
        <v>116</v>
      </c>
      <c r="X325" t="s">
        <v>116</v>
      </c>
      <c r="Y325" t="s">
        <v>117</v>
      </c>
      <c r="AF325" t="s">
        <v>13</v>
      </c>
      <c r="AG325" t="str">
        <f>HYPERLINK("https://doi.org/10.1515/9780748655700?locatt=mode:legacy")</f>
        <v>https://doi.org/10.1515/9780748655700?locatt=mode:legacy</v>
      </c>
      <c r="AH325" t="str">
        <f>HYPERLINK("http://www.degruyter.com/isbn/9780748655700")</f>
        <v>http://www.degruyter.com/isbn/9780748655700</v>
      </c>
      <c r="AI325" t="s">
        <v>68</v>
      </c>
      <c r="AL325" t="s">
        <v>47</v>
      </c>
      <c r="AM325">
        <v>1</v>
      </c>
      <c r="AN325" s="2">
        <v>9780748655694</v>
      </c>
    </row>
    <row r="326" spans="1:40" x14ac:dyDescent="0.3">
      <c r="A326" t="s">
        <v>1788</v>
      </c>
      <c r="B326" t="s">
        <v>1</v>
      </c>
      <c r="C326" t="s">
        <v>1789</v>
      </c>
      <c r="D326" t="s">
        <v>1790</v>
      </c>
      <c r="E326" t="s">
        <v>1791</v>
      </c>
      <c r="F326" t="s">
        <v>5</v>
      </c>
      <c r="G326" t="s">
        <v>6</v>
      </c>
      <c r="L326" t="s">
        <v>7</v>
      </c>
      <c r="M326">
        <v>2018</v>
      </c>
      <c r="N326" s="1">
        <v>44656</v>
      </c>
      <c r="O326" t="s">
        <v>1792</v>
      </c>
      <c r="P326">
        <v>1</v>
      </c>
      <c r="S326">
        <v>217.95</v>
      </c>
      <c r="T326">
        <v>250</v>
      </c>
      <c r="U326">
        <v>190</v>
      </c>
      <c r="V326" t="s">
        <v>42</v>
      </c>
      <c r="W326" t="s">
        <v>116</v>
      </c>
      <c r="X326" t="s">
        <v>116</v>
      </c>
      <c r="Y326" t="s">
        <v>117</v>
      </c>
      <c r="AF326" t="s">
        <v>13</v>
      </c>
      <c r="AG326" t="str">
        <f>HYPERLINK("https://doi.org/10.1515/9781474401562?locatt=mode:legacy")</f>
        <v>https://doi.org/10.1515/9781474401562?locatt=mode:legacy</v>
      </c>
      <c r="AH326" t="str">
        <f>HYPERLINK("http://www.degruyter.com/isbn/9781474401562")</f>
        <v>http://www.degruyter.com/isbn/9781474401562</v>
      </c>
      <c r="AI326" t="s">
        <v>46</v>
      </c>
      <c r="AL326" t="s">
        <v>47</v>
      </c>
      <c r="AM326">
        <v>1</v>
      </c>
      <c r="AN326" s="2">
        <v>9781474401555</v>
      </c>
    </row>
    <row r="327" spans="1:40" x14ac:dyDescent="0.3">
      <c r="A327" t="s">
        <v>1793</v>
      </c>
      <c r="B327" t="s">
        <v>1</v>
      </c>
      <c r="C327" t="s">
        <v>1794</v>
      </c>
      <c r="D327" t="s">
        <v>1795</v>
      </c>
      <c r="E327" t="s">
        <v>1796</v>
      </c>
      <c r="F327" t="s">
        <v>5</v>
      </c>
      <c r="G327" t="s">
        <v>6</v>
      </c>
      <c r="L327" t="s">
        <v>7</v>
      </c>
      <c r="M327">
        <v>2013</v>
      </c>
      <c r="N327" s="1">
        <v>41323</v>
      </c>
      <c r="O327" t="s">
        <v>1797</v>
      </c>
      <c r="P327">
        <v>1</v>
      </c>
      <c r="S327">
        <v>217.95</v>
      </c>
      <c r="T327">
        <v>250</v>
      </c>
      <c r="U327">
        <v>190</v>
      </c>
      <c r="V327" t="s">
        <v>268</v>
      </c>
      <c r="W327" t="s">
        <v>269</v>
      </c>
      <c r="X327" t="s">
        <v>269</v>
      </c>
      <c r="Y327" t="s">
        <v>1798</v>
      </c>
      <c r="AF327" t="s">
        <v>13</v>
      </c>
      <c r="AG327" t="str">
        <f>HYPERLINK("https://doi.org/10.1515/9780748668618?locatt=mode:legacy")</f>
        <v>https://doi.org/10.1515/9780748668618?locatt=mode:legacy</v>
      </c>
      <c r="AH327" t="str">
        <f>HYPERLINK("http://www.degruyter.com/isbn/9780748668618")</f>
        <v>http://www.degruyter.com/isbn/9780748668618</v>
      </c>
      <c r="AI327" t="s">
        <v>444</v>
      </c>
      <c r="AL327" t="s">
        <v>272</v>
      </c>
      <c r="AM327">
        <v>1</v>
      </c>
      <c r="AN327" s="2">
        <v>9780748668601</v>
      </c>
    </row>
    <row r="328" spans="1:40" x14ac:dyDescent="0.3">
      <c r="A328" t="s">
        <v>1799</v>
      </c>
      <c r="B328" t="s">
        <v>1</v>
      </c>
      <c r="C328" t="s">
        <v>1800</v>
      </c>
      <c r="E328" t="s">
        <v>1801</v>
      </c>
      <c r="F328" t="s">
        <v>5</v>
      </c>
      <c r="G328" t="s">
        <v>6</v>
      </c>
      <c r="L328" t="s">
        <v>7</v>
      </c>
      <c r="M328">
        <v>1996</v>
      </c>
      <c r="N328" s="1">
        <v>44719</v>
      </c>
      <c r="O328" t="s">
        <v>1802</v>
      </c>
      <c r="P328">
        <v>1</v>
      </c>
      <c r="S328">
        <v>217.95</v>
      </c>
      <c r="T328">
        <v>250</v>
      </c>
      <c r="U328">
        <v>190</v>
      </c>
      <c r="V328" t="s">
        <v>58</v>
      </c>
      <c r="W328" t="s">
        <v>129</v>
      </c>
      <c r="X328" t="s">
        <v>1290</v>
      </c>
      <c r="Y328" t="s">
        <v>1291</v>
      </c>
      <c r="AF328" t="s">
        <v>13</v>
      </c>
      <c r="AG328" t="str">
        <f>HYPERLINK("https://doi.org/10.1515/9781474466035")</f>
        <v>https://doi.org/10.1515/9781474466035</v>
      </c>
      <c r="AH328" t="str">
        <f>HYPERLINK("http://www.degruyter.com/isbn/9781474466035")</f>
        <v>http://www.degruyter.com/isbn/9781474466035</v>
      </c>
      <c r="AI328" t="s">
        <v>24</v>
      </c>
      <c r="AL328" t="s">
        <v>62</v>
      </c>
      <c r="AM328">
        <v>1</v>
      </c>
      <c r="AN328" s="2">
        <v>9781853311642</v>
      </c>
    </row>
    <row r="329" spans="1:40" x14ac:dyDescent="0.3">
      <c r="A329" t="s">
        <v>1803</v>
      </c>
      <c r="B329" t="s">
        <v>1</v>
      </c>
      <c r="C329" t="s">
        <v>1804</v>
      </c>
      <c r="E329" t="s">
        <v>1805</v>
      </c>
      <c r="F329" t="s">
        <v>5</v>
      </c>
      <c r="G329" t="s">
        <v>6</v>
      </c>
      <c r="L329" t="s">
        <v>7</v>
      </c>
      <c r="M329">
        <v>2009</v>
      </c>
      <c r="N329" s="1">
        <v>39956</v>
      </c>
      <c r="O329" t="s">
        <v>1806</v>
      </c>
      <c r="P329">
        <v>1</v>
      </c>
      <c r="S329">
        <v>217.95</v>
      </c>
      <c r="T329">
        <v>250</v>
      </c>
      <c r="U329">
        <v>190</v>
      </c>
      <c r="V329" t="s">
        <v>98</v>
      </c>
      <c r="W329" t="s">
        <v>99</v>
      </c>
      <c r="X329" t="s">
        <v>386</v>
      </c>
      <c r="Y329" t="s">
        <v>387</v>
      </c>
      <c r="AF329" t="s">
        <v>13</v>
      </c>
      <c r="AG329" t="str">
        <f>HYPERLINK("https://doi.org/10.1515/9780748640225?locatt=mode:legacy")</f>
        <v>https://doi.org/10.1515/9780748640225?locatt=mode:legacy</v>
      </c>
      <c r="AH329" t="str">
        <f>HYPERLINK("http://www.degruyter.com/isbn/9780748640225")</f>
        <v>http://www.degruyter.com/isbn/9780748640225</v>
      </c>
      <c r="AI329" t="s">
        <v>68</v>
      </c>
      <c r="AL329" t="s">
        <v>102</v>
      </c>
      <c r="AM329">
        <v>1</v>
      </c>
      <c r="AN329" s="2">
        <v>9780748638420</v>
      </c>
    </row>
    <row r="330" spans="1:40" x14ac:dyDescent="0.3">
      <c r="A330" t="s">
        <v>1807</v>
      </c>
      <c r="B330" t="s">
        <v>1</v>
      </c>
      <c r="C330" t="s">
        <v>1808</v>
      </c>
      <c r="E330" t="s">
        <v>1809</v>
      </c>
      <c r="F330" t="s">
        <v>5</v>
      </c>
      <c r="G330" t="s">
        <v>6</v>
      </c>
      <c r="L330" t="s">
        <v>7</v>
      </c>
      <c r="M330">
        <v>2002</v>
      </c>
      <c r="N330" s="1">
        <v>37514</v>
      </c>
      <c r="O330" t="s">
        <v>1810</v>
      </c>
      <c r="P330">
        <v>1</v>
      </c>
      <c r="S330">
        <v>295.95</v>
      </c>
      <c r="T330">
        <v>340</v>
      </c>
      <c r="U330">
        <v>260</v>
      </c>
      <c r="V330" t="s">
        <v>42</v>
      </c>
      <c r="W330" t="s">
        <v>161</v>
      </c>
      <c r="X330" t="s">
        <v>162</v>
      </c>
      <c r="Y330" t="s">
        <v>1811</v>
      </c>
      <c r="AF330" t="s">
        <v>13</v>
      </c>
      <c r="AG330" t="str">
        <f>HYPERLINK("https://doi.org/10.1515/9780748674046")</f>
        <v>https://doi.org/10.1515/9780748674046</v>
      </c>
      <c r="AH330" t="str">
        <f>HYPERLINK("http://www.degruyter.com/isbn/9780748674046")</f>
        <v>http://www.degruyter.com/isbn/9780748674046</v>
      </c>
      <c r="AI330" t="s">
        <v>68</v>
      </c>
      <c r="AL330" t="s">
        <v>47</v>
      </c>
      <c r="AM330">
        <v>1</v>
      </c>
      <c r="AN330" s="2">
        <v>9780748613809</v>
      </c>
    </row>
    <row r="331" spans="1:40" x14ac:dyDescent="0.3">
      <c r="A331" t="s">
        <v>1812</v>
      </c>
      <c r="B331" t="s">
        <v>1</v>
      </c>
      <c r="C331" t="s">
        <v>1813</v>
      </c>
      <c r="D331" t="s">
        <v>1814</v>
      </c>
      <c r="E331" t="s">
        <v>1815</v>
      </c>
      <c r="F331" t="s">
        <v>5</v>
      </c>
      <c r="G331" t="s">
        <v>6</v>
      </c>
      <c r="L331" t="s">
        <v>7</v>
      </c>
      <c r="M331">
        <v>2015</v>
      </c>
      <c r="N331" s="1">
        <v>42320</v>
      </c>
      <c r="O331" t="s">
        <v>525</v>
      </c>
      <c r="P331">
        <v>1</v>
      </c>
      <c r="S331">
        <v>217.95</v>
      </c>
      <c r="T331">
        <v>250</v>
      </c>
      <c r="U331">
        <v>190</v>
      </c>
      <c r="V331" t="s">
        <v>20</v>
      </c>
      <c r="W331" t="s">
        <v>21</v>
      </c>
      <c r="X331" t="s">
        <v>458</v>
      </c>
      <c r="Y331" t="s">
        <v>1816</v>
      </c>
      <c r="AF331" t="s">
        <v>13</v>
      </c>
      <c r="AG331" t="str">
        <f>HYPERLINK("https://doi.org/10.1515/9781474403207?locatt=mode:legacy")</f>
        <v>https://doi.org/10.1515/9781474403207?locatt=mode:legacy</v>
      </c>
      <c r="AH331" t="str">
        <f>HYPERLINK("http://www.degruyter.com/isbn/9781474403207")</f>
        <v>http://www.degruyter.com/isbn/9781474403207</v>
      </c>
      <c r="AI331" t="s">
        <v>34</v>
      </c>
      <c r="AL331" t="s">
        <v>15</v>
      </c>
      <c r="AM331">
        <v>1</v>
      </c>
      <c r="AN331" s="2">
        <v>9781474403191</v>
      </c>
    </row>
    <row r="332" spans="1:40" x14ac:dyDescent="0.3">
      <c r="A332" t="s">
        <v>1817</v>
      </c>
      <c r="B332" t="s">
        <v>1</v>
      </c>
      <c r="C332" t="s">
        <v>1818</v>
      </c>
      <c r="E332" t="s">
        <v>1819</v>
      </c>
      <c r="F332" t="s">
        <v>5</v>
      </c>
      <c r="G332" t="s">
        <v>6</v>
      </c>
      <c r="L332" t="s">
        <v>7</v>
      </c>
      <c r="M332">
        <v>2013</v>
      </c>
      <c r="N332" s="1">
        <v>41277</v>
      </c>
      <c r="O332" t="s">
        <v>1820</v>
      </c>
      <c r="P332">
        <v>1</v>
      </c>
      <c r="S332">
        <v>217.95</v>
      </c>
      <c r="T332">
        <v>250</v>
      </c>
      <c r="U332">
        <v>190</v>
      </c>
      <c r="V332" t="s">
        <v>58</v>
      </c>
      <c r="W332" t="s">
        <v>129</v>
      </c>
      <c r="X332" t="s">
        <v>130</v>
      </c>
      <c r="Y332" t="s">
        <v>1821</v>
      </c>
      <c r="AF332" t="s">
        <v>13</v>
      </c>
      <c r="AG332" t="str">
        <f>HYPERLINK("https://doi.org/10.1515/9780748665877?locatt=mode:legacy")</f>
        <v>https://doi.org/10.1515/9780748665877?locatt=mode:legacy</v>
      </c>
      <c r="AH332" t="str">
        <f>HYPERLINK("http://www.degruyter.com/isbn/9780748665877")</f>
        <v>http://www.degruyter.com/isbn/9780748665877</v>
      </c>
      <c r="AI332" t="s">
        <v>68</v>
      </c>
      <c r="AJ332" t="s">
        <v>35</v>
      </c>
      <c r="AL332" t="s">
        <v>155</v>
      </c>
      <c r="AM332">
        <v>1</v>
      </c>
      <c r="AN332" s="2">
        <v>9780748665860</v>
      </c>
    </row>
    <row r="333" spans="1:40" x14ac:dyDescent="0.3">
      <c r="A333" t="s">
        <v>1822</v>
      </c>
      <c r="B333" t="s">
        <v>1</v>
      </c>
      <c r="C333" t="s">
        <v>1823</v>
      </c>
      <c r="E333" t="s">
        <v>1824</v>
      </c>
      <c r="F333" t="s">
        <v>5</v>
      </c>
      <c r="G333" t="s">
        <v>6</v>
      </c>
      <c r="L333" t="s">
        <v>7</v>
      </c>
      <c r="M333">
        <v>1997</v>
      </c>
      <c r="N333" s="1">
        <v>44607</v>
      </c>
      <c r="O333" t="s">
        <v>1825</v>
      </c>
      <c r="P333">
        <v>1</v>
      </c>
      <c r="S333">
        <v>217.95</v>
      </c>
      <c r="T333">
        <v>250</v>
      </c>
      <c r="U333">
        <v>190</v>
      </c>
      <c r="V333" t="s">
        <v>58</v>
      </c>
      <c r="W333" t="s">
        <v>129</v>
      </c>
      <c r="X333" t="s">
        <v>130</v>
      </c>
      <c r="Y333" t="s">
        <v>1826</v>
      </c>
      <c r="AF333" t="s">
        <v>13</v>
      </c>
      <c r="AG333" t="str">
        <f>HYPERLINK("https://doi.org/10.1515/9781474472555")</f>
        <v>https://doi.org/10.1515/9781474472555</v>
      </c>
      <c r="AH333" t="str">
        <f>HYPERLINK("http://www.degruyter.com/isbn/9781474472555")</f>
        <v>http://www.degruyter.com/isbn/9781474472555</v>
      </c>
      <c r="AI333" t="s">
        <v>24</v>
      </c>
      <c r="AL333" t="s">
        <v>62</v>
      </c>
      <c r="AM333">
        <v>1</v>
      </c>
      <c r="AN333" s="2">
        <v>9780748607914</v>
      </c>
    </row>
    <row r="334" spans="1:40" x14ac:dyDescent="0.3">
      <c r="A334" t="s">
        <v>1827</v>
      </c>
      <c r="B334" t="s">
        <v>1</v>
      </c>
      <c r="C334" t="s">
        <v>1828</v>
      </c>
      <c r="E334" t="s">
        <v>1829</v>
      </c>
      <c r="F334" t="s">
        <v>5</v>
      </c>
      <c r="G334" t="s">
        <v>6</v>
      </c>
      <c r="L334" t="s">
        <v>7</v>
      </c>
      <c r="M334">
        <v>2019</v>
      </c>
      <c r="N334" s="1">
        <v>44644</v>
      </c>
      <c r="O334" t="s">
        <v>1830</v>
      </c>
      <c r="P334">
        <v>1</v>
      </c>
      <c r="S334">
        <v>217.95</v>
      </c>
      <c r="T334">
        <v>250</v>
      </c>
      <c r="U334">
        <v>190</v>
      </c>
      <c r="V334" t="s">
        <v>20</v>
      </c>
      <c r="W334" t="s">
        <v>21</v>
      </c>
      <c r="X334" t="s">
        <v>22</v>
      </c>
      <c r="Y334" t="s">
        <v>489</v>
      </c>
      <c r="AF334" t="s">
        <v>13</v>
      </c>
      <c r="AG334" t="str">
        <f>HYPERLINK("https://doi.org/10.1515/9781474427357?locatt=mode:legacy")</f>
        <v>https://doi.org/10.1515/9781474427357?locatt=mode:legacy</v>
      </c>
      <c r="AH334" t="str">
        <f>HYPERLINK("http://www.degruyter.com/isbn/9781474427357")</f>
        <v>http://www.degruyter.com/isbn/9781474427357</v>
      </c>
      <c r="AI334" t="s">
        <v>280</v>
      </c>
      <c r="AL334" t="s">
        <v>15</v>
      </c>
      <c r="AM334">
        <v>1</v>
      </c>
      <c r="AN334" s="2">
        <v>9781474427340</v>
      </c>
    </row>
    <row r="335" spans="1:40" x14ac:dyDescent="0.3">
      <c r="A335" t="s">
        <v>1831</v>
      </c>
      <c r="B335" t="s">
        <v>1</v>
      </c>
      <c r="C335" t="s">
        <v>1832</v>
      </c>
      <c r="D335" t="s">
        <v>1316</v>
      </c>
      <c r="E335" t="s">
        <v>1833</v>
      </c>
      <c r="F335" t="s">
        <v>5</v>
      </c>
      <c r="G335" t="s">
        <v>6</v>
      </c>
      <c r="L335" t="s">
        <v>7</v>
      </c>
      <c r="M335">
        <v>2019</v>
      </c>
      <c r="N335" s="1">
        <v>44592</v>
      </c>
      <c r="O335" t="s">
        <v>1834</v>
      </c>
      <c r="P335">
        <v>1</v>
      </c>
      <c r="S335">
        <v>253.95</v>
      </c>
      <c r="T335">
        <v>290</v>
      </c>
      <c r="U335">
        <v>220</v>
      </c>
      <c r="V335" t="s">
        <v>98</v>
      </c>
      <c r="W335" t="s">
        <v>99</v>
      </c>
      <c r="X335" t="s">
        <v>100</v>
      </c>
      <c r="Y335" t="s">
        <v>937</v>
      </c>
      <c r="AF335" t="s">
        <v>13</v>
      </c>
      <c r="AG335" t="str">
        <f>HYPERLINK("https://doi.org/10.1515/9781474413220")</f>
        <v>https://doi.org/10.1515/9781474413220</v>
      </c>
      <c r="AH335" t="str">
        <f>HYPERLINK("http://www.degruyter.com/isbn/9781474413220")</f>
        <v>http://www.degruyter.com/isbn/9781474413220</v>
      </c>
      <c r="AI335" t="s">
        <v>280</v>
      </c>
      <c r="AL335" t="s">
        <v>102</v>
      </c>
      <c r="AM335">
        <v>1</v>
      </c>
      <c r="AN335" s="2">
        <v>9781474413206</v>
      </c>
    </row>
    <row r="336" spans="1:40" x14ac:dyDescent="0.3">
      <c r="A336" t="s">
        <v>1835</v>
      </c>
      <c r="B336" t="s">
        <v>1</v>
      </c>
      <c r="C336" t="s">
        <v>1836</v>
      </c>
      <c r="D336" t="s">
        <v>1837</v>
      </c>
      <c r="E336" t="s">
        <v>1838</v>
      </c>
      <c r="F336" t="s">
        <v>5</v>
      </c>
      <c r="G336" t="s">
        <v>6</v>
      </c>
      <c r="L336" t="s">
        <v>7</v>
      </c>
      <c r="M336">
        <v>1997</v>
      </c>
      <c r="N336" s="1">
        <v>44656</v>
      </c>
      <c r="O336" t="s">
        <v>1839</v>
      </c>
      <c r="P336">
        <v>1</v>
      </c>
      <c r="S336">
        <v>217.95</v>
      </c>
      <c r="T336">
        <v>250</v>
      </c>
      <c r="U336">
        <v>190</v>
      </c>
      <c r="V336" t="s">
        <v>20</v>
      </c>
      <c r="W336" t="s">
        <v>21</v>
      </c>
      <c r="X336" t="s">
        <v>22</v>
      </c>
      <c r="Y336" t="s">
        <v>23</v>
      </c>
      <c r="AF336" t="s">
        <v>13</v>
      </c>
      <c r="AG336" t="str">
        <f>HYPERLINK("https://doi.org/10.1515/9780585060828")</f>
        <v>https://doi.org/10.1515/9780585060828</v>
      </c>
      <c r="AH336" t="str">
        <f>HYPERLINK("http://www.degruyter.com/isbn/9780585060828")</f>
        <v>http://www.degruyter.com/isbn/9780585060828</v>
      </c>
      <c r="AI336" t="s">
        <v>24</v>
      </c>
      <c r="AL336" t="s">
        <v>15</v>
      </c>
      <c r="AM336">
        <v>1</v>
      </c>
      <c r="AN336" s="2">
        <v>9780748609109</v>
      </c>
    </row>
    <row r="337" spans="1:40" x14ac:dyDescent="0.3">
      <c r="A337" t="s">
        <v>1840</v>
      </c>
      <c r="B337" t="s">
        <v>1</v>
      </c>
      <c r="C337" t="s">
        <v>1841</v>
      </c>
      <c r="D337" t="s">
        <v>1842</v>
      </c>
      <c r="E337" t="s">
        <v>1843</v>
      </c>
      <c r="F337" t="s">
        <v>5</v>
      </c>
      <c r="G337" t="s">
        <v>6</v>
      </c>
      <c r="L337" t="s">
        <v>7</v>
      </c>
      <c r="M337">
        <v>2021</v>
      </c>
      <c r="N337" s="1">
        <v>44644</v>
      </c>
      <c r="O337" t="s">
        <v>1844</v>
      </c>
      <c r="P337">
        <v>1</v>
      </c>
      <c r="S337">
        <v>217.95</v>
      </c>
      <c r="T337">
        <v>250</v>
      </c>
      <c r="U337">
        <v>190</v>
      </c>
      <c r="V337" t="s">
        <v>20</v>
      </c>
      <c r="W337" t="s">
        <v>21</v>
      </c>
      <c r="X337" t="s">
        <v>839</v>
      </c>
      <c r="Y337" t="s">
        <v>840</v>
      </c>
      <c r="AF337" t="s">
        <v>13</v>
      </c>
      <c r="AG337" t="str">
        <f>HYPERLINK("https://doi.org/10.1515/9781474486408")</f>
        <v>https://doi.org/10.1515/9781474486408</v>
      </c>
      <c r="AH337" t="str">
        <f>HYPERLINK("http://www.degruyter.com/isbn/9781474486408")</f>
        <v>http://www.degruyter.com/isbn/9781474486408</v>
      </c>
      <c r="AI337" t="s">
        <v>559</v>
      </c>
      <c r="AL337" t="s">
        <v>15</v>
      </c>
      <c r="AM337">
        <v>1</v>
      </c>
      <c r="AN337" s="2">
        <v>9781474486378</v>
      </c>
    </row>
    <row r="338" spans="1:40" x14ac:dyDescent="0.3">
      <c r="A338" t="s">
        <v>1845</v>
      </c>
      <c r="B338" t="s">
        <v>1</v>
      </c>
      <c r="C338" t="s">
        <v>1846</v>
      </c>
      <c r="D338" t="s">
        <v>1847</v>
      </c>
      <c r="E338" t="s">
        <v>1848</v>
      </c>
      <c r="F338" t="s">
        <v>5</v>
      </c>
      <c r="G338" t="s">
        <v>6</v>
      </c>
      <c r="L338" t="s">
        <v>7</v>
      </c>
      <c r="M338">
        <v>2011</v>
      </c>
      <c r="N338" s="1">
        <v>40743</v>
      </c>
      <c r="O338" t="s">
        <v>1849</v>
      </c>
      <c r="P338">
        <v>1</v>
      </c>
      <c r="S338">
        <v>217.95</v>
      </c>
      <c r="T338">
        <v>250</v>
      </c>
      <c r="U338">
        <v>190</v>
      </c>
      <c r="V338" t="s">
        <v>20</v>
      </c>
      <c r="W338" t="s">
        <v>21</v>
      </c>
      <c r="X338" t="s">
        <v>839</v>
      </c>
      <c r="Y338" t="s">
        <v>1850</v>
      </c>
      <c r="AF338" t="s">
        <v>13</v>
      </c>
      <c r="AG338" t="str">
        <f>HYPERLINK("https://doi.org/10.1515/9780748647545")</f>
        <v>https://doi.org/10.1515/9780748647545</v>
      </c>
      <c r="AH338" t="str">
        <f>HYPERLINK("http://www.degruyter.com/isbn/9780748647545")</f>
        <v>http://www.degruyter.com/isbn/9780748647545</v>
      </c>
      <c r="AI338" t="s">
        <v>68</v>
      </c>
      <c r="AL338" t="s">
        <v>15</v>
      </c>
      <c r="AM338">
        <v>1</v>
      </c>
      <c r="AN338" s="2">
        <v>9780748643042</v>
      </c>
    </row>
    <row r="339" spans="1:40" x14ac:dyDescent="0.3">
      <c r="A339" t="s">
        <v>1851</v>
      </c>
      <c r="B339" t="s">
        <v>1</v>
      </c>
      <c r="C339" t="s">
        <v>1852</v>
      </c>
      <c r="D339" t="s">
        <v>1853</v>
      </c>
      <c r="E339" t="s">
        <v>1854</v>
      </c>
      <c r="F339" t="s">
        <v>5</v>
      </c>
      <c r="G339" t="s">
        <v>6</v>
      </c>
      <c r="L339" t="s">
        <v>7</v>
      </c>
      <c r="M339">
        <v>1995</v>
      </c>
      <c r="N339" s="1">
        <v>44693</v>
      </c>
      <c r="O339" t="s">
        <v>1855</v>
      </c>
      <c r="P339">
        <v>1</v>
      </c>
      <c r="S339">
        <v>217.95</v>
      </c>
      <c r="T339">
        <v>250</v>
      </c>
      <c r="U339">
        <v>190</v>
      </c>
      <c r="V339" t="s">
        <v>42</v>
      </c>
      <c r="W339" t="s">
        <v>740</v>
      </c>
      <c r="X339" t="s">
        <v>741</v>
      </c>
      <c r="Y339" t="s">
        <v>1856</v>
      </c>
      <c r="AF339" t="s">
        <v>13</v>
      </c>
      <c r="AG339" t="str">
        <f>HYPERLINK("https://doi.org/10.1515/9781474473439")</f>
        <v>https://doi.org/10.1515/9781474473439</v>
      </c>
      <c r="AH339" t="str">
        <f>HYPERLINK("http://www.degruyter.com/isbn/9781474473439")</f>
        <v>http://www.degruyter.com/isbn/9781474473439</v>
      </c>
      <c r="AI339" t="s">
        <v>24</v>
      </c>
      <c r="AL339" t="s">
        <v>47</v>
      </c>
      <c r="AM339">
        <v>1</v>
      </c>
      <c r="AN339" s="2">
        <v>9780748606078</v>
      </c>
    </row>
    <row r="340" spans="1:40" x14ac:dyDescent="0.3">
      <c r="A340" t="s">
        <v>1857</v>
      </c>
      <c r="B340" t="s">
        <v>1</v>
      </c>
      <c r="C340" t="s">
        <v>1858</v>
      </c>
      <c r="D340" t="s">
        <v>1859</v>
      </c>
      <c r="E340" t="s">
        <v>1860</v>
      </c>
      <c r="F340" t="s">
        <v>5</v>
      </c>
      <c r="G340" t="s">
        <v>6</v>
      </c>
      <c r="L340" t="s">
        <v>7</v>
      </c>
      <c r="M340">
        <v>2020</v>
      </c>
      <c r="N340" s="1">
        <v>44656</v>
      </c>
      <c r="O340" t="s">
        <v>1861</v>
      </c>
      <c r="P340">
        <v>1</v>
      </c>
      <c r="S340">
        <v>217.95</v>
      </c>
      <c r="T340">
        <v>250</v>
      </c>
      <c r="U340">
        <v>190</v>
      </c>
      <c r="V340" t="s">
        <v>79</v>
      </c>
      <c r="W340" t="s">
        <v>123</v>
      </c>
      <c r="X340" t="s">
        <v>123</v>
      </c>
      <c r="Y340" t="s">
        <v>124</v>
      </c>
      <c r="AF340" t="s">
        <v>13</v>
      </c>
      <c r="AG340" t="str">
        <f>HYPERLINK("https://doi.org/10.1515/9781474453110")</f>
        <v>https://doi.org/10.1515/9781474453110</v>
      </c>
      <c r="AH340" t="str">
        <f>HYPERLINK("http://www.degruyter.com/isbn/9781474453110")</f>
        <v>http://www.degruyter.com/isbn/9781474453110</v>
      </c>
      <c r="AI340" t="s">
        <v>14</v>
      </c>
      <c r="AL340" t="s">
        <v>83</v>
      </c>
      <c r="AM340">
        <v>1</v>
      </c>
      <c r="AN340" s="2">
        <v>9781474453097</v>
      </c>
    </row>
    <row r="341" spans="1:40" x14ac:dyDescent="0.3">
      <c r="A341" t="s">
        <v>1862</v>
      </c>
      <c r="B341" t="s">
        <v>1</v>
      </c>
      <c r="C341" t="s">
        <v>1863</v>
      </c>
      <c r="D341" t="s">
        <v>1864</v>
      </c>
      <c r="E341" t="s">
        <v>1865</v>
      </c>
      <c r="F341" t="s">
        <v>5</v>
      </c>
      <c r="G341" t="s">
        <v>6</v>
      </c>
      <c r="L341" t="s">
        <v>7</v>
      </c>
      <c r="M341">
        <v>2010</v>
      </c>
      <c r="N341" s="1">
        <v>40276</v>
      </c>
      <c r="O341" t="s">
        <v>1866</v>
      </c>
      <c r="P341">
        <v>1</v>
      </c>
      <c r="S341">
        <v>243.95</v>
      </c>
      <c r="T341">
        <v>280</v>
      </c>
      <c r="U341">
        <v>210</v>
      </c>
      <c r="V341" t="s">
        <v>42</v>
      </c>
      <c r="W341" t="s">
        <v>107</v>
      </c>
      <c r="X341" t="s">
        <v>108</v>
      </c>
      <c r="Y341" t="s">
        <v>952</v>
      </c>
      <c r="AF341" t="s">
        <v>13</v>
      </c>
      <c r="AG341" t="str">
        <f>HYPERLINK("https://doi.org/10.1515/9780748642328")</f>
        <v>https://doi.org/10.1515/9780748642328</v>
      </c>
      <c r="AH341" t="str">
        <f>HYPERLINK("http://www.degruyter.com/isbn/9780748642328")</f>
        <v>http://www.degruyter.com/isbn/9780748642328</v>
      </c>
      <c r="AI341" t="s">
        <v>68</v>
      </c>
      <c r="AL341" t="s">
        <v>47</v>
      </c>
      <c r="AM341">
        <v>1</v>
      </c>
      <c r="AN341" s="2">
        <v>9780748639809</v>
      </c>
    </row>
    <row r="342" spans="1:40" x14ac:dyDescent="0.3">
      <c r="A342" t="s">
        <v>1867</v>
      </c>
      <c r="B342" t="s">
        <v>1</v>
      </c>
      <c r="C342" t="s">
        <v>1868</v>
      </c>
      <c r="D342" t="s">
        <v>1869</v>
      </c>
      <c r="E342" t="s">
        <v>1870</v>
      </c>
      <c r="F342" t="s">
        <v>5</v>
      </c>
      <c r="G342" t="s">
        <v>6</v>
      </c>
      <c r="L342" t="s">
        <v>7</v>
      </c>
      <c r="M342">
        <v>2013</v>
      </c>
      <c r="N342" s="1">
        <v>41386</v>
      </c>
      <c r="O342" t="s">
        <v>1871</v>
      </c>
      <c r="P342">
        <v>1</v>
      </c>
      <c r="S342">
        <v>217.95</v>
      </c>
      <c r="T342">
        <v>250</v>
      </c>
      <c r="U342">
        <v>190</v>
      </c>
      <c r="V342" t="s">
        <v>98</v>
      </c>
      <c r="W342" t="s">
        <v>99</v>
      </c>
      <c r="X342" t="s">
        <v>386</v>
      </c>
      <c r="Y342" t="s">
        <v>387</v>
      </c>
      <c r="AF342" t="s">
        <v>13</v>
      </c>
      <c r="AG342" t="str">
        <f>HYPERLINK("https://doi.org/10.1515/9780748635511")</f>
        <v>https://doi.org/10.1515/9780748635511</v>
      </c>
      <c r="AH342" t="str">
        <f>HYPERLINK("http://www.degruyter.com/isbn/9780748635511")</f>
        <v>http://www.degruyter.com/isbn/9780748635511</v>
      </c>
      <c r="AI342" t="s">
        <v>68</v>
      </c>
      <c r="AL342" t="s">
        <v>102</v>
      </c>
      <c r="AM342">
        <v>1</v>
      </c>
      <c r="AN342" s="2">
        <v>9780748635498</v>
      </c>
    </row>
    <row r="343" spans="1:40" x14ac:dyDescent="0.3">
      <c r="A343" t="s">
        <v>1872</v>
      </c>
      <c r="B343" t="s">
        <v>1</v>
      </c>
      <c r="C343" t="s">
        <v>1873</v>
      </c>
      <c r="E343" t="s">
        <v>1874</v>
      </c>
      <c r="F343" t="s">
        <v>5</v>
      </c>
      <c r="G343" t="s">
        <v>6</v>
      </c>
      <c r="L343" t="s">
        <v>7</v>
      </c>
      <c r="M343">
        <v>2018</v>
      </c>
      <c r="N343" s="1">
        <v>44644</v>
      </c>
      <c r="O343" t="s">
        <v>1875</v>
      </c>
      <c r="P343">
        <v>1</v>
      </c>
      <c r="S343">
        <v>227.95</v>
      </c>
      <c r="T343">
        <v>260</v>
      </c>
      <c r="U343">
        <v>200</v>
      </c>
      <c r="V343" t="s">
        <v>42</v>
      </c>
      <c r="W343" t="s">
        <v>161</v>
      </c>
      <c r="X343" t="s">
        <v>162</v>
      </c>
      <c r="Y343" t="s">
        <v>1876</v>
      </c>
      <c r="AF343" t="s">
        <v>13</v>
      </c>
      <c r="AG343" t="str">
        <f>HYPERLINK("https://doi.org/10.1515/9780748647347?locatt=mode:legacy")</f>
        <v>https://doi.org/10.1515/9780748647347?locatt=mode:legacy</v>
      </c>
      <c r="AH343" t="str">
        <f>HYPERLINK("http://www.degruyter.com/isbn/9780748647347")</f>
        <v>http://www.degruyter.com/isbn/9780748647347</v>
      </c>
      <c r="AI343" t="s">
        <v>46</v>
      </c>
      <c r="AL343" t="s">
        <v>47</v>
      </c>
      <c r="AM343">
        <v>1</v>
      </c>
      <c r="AN343" s="2">
        <v>9780748647330</v>
      </c>
    </row>
    <row r="344" spans="1:40" x14ac:dyDescent="0.3">
      <c r="A344" t="s">
        <v>1877</v>
      </c>
      <c r="B344" t="s">
        <v>1</v>
      </c>
      <c r="C344" t="s">
        <v>1878</v>
      </c>
      <c r="E344" t="s">
        <v>1879</v>
      </c>
      <c r="F344" t="s">
        <v>5</v>
      </c>
      <c r="G344" t="s">
        <v>6</v>
      </c>
      <c r="L344" t="s">
        <v>7</v>
      </c>
      <c r="M344">
        <v>1997</v>
      </c>
      <c r="N344" s="1">
        <v>44719</v>
      </c>
      <c r="O344" t="s">
        <v>1880</v>
      </c>
      <c r="P344">
        <v>1</v>
      </c>
      <c r="S344">
        <v>217.95</v>
      </c>
      <c r="T344">
        <v>250</v>
      </c>
      <c r="U344">
        <v>190</v>
      </c>
      <c r="V344" t="s">
        <v>98</v>
      </c>
      <c r="W344" t="s">
        <v>99</v>
      </c>
      <c r="X344" t="s">
        <v>386</v>
      </c>
      <c r="Y344" t="s">
        <v>387</v>
      </c>
      <c r="AF344" t="s">
        <v>13</v>
      </c>
      <c r="AG344" t="str">
        <f>HYPERLINK("https://doi.org/10.1515/9780748687541")</f>
        <v>https://doi.org/10.1515/9780748687541</v>
      </c>
      <c r="AH344" t="str">
        <f>HYPERLINK("http://www.degruyter.com/isbn/9780748687541")</f>
        <v>http://www.degruyter.com/isbn/9780748687541</v>
      </c>
      <c r="AI344" t="s">
        <v>24</v>
      </c>
      <c r="AL344" t="s">
        <v>102</v>
      </c>
      <c r="AM344">
        <v>1</v>
      </c>
      <c r="AN344" s="2">
        <v>9780748608355</v>
      </c>
    </row>
    <row r="345" spans="1:40" x14ac:dyDescent="0.3">
      <c r="A345" t="s">
        <v>1881</v>
      </c>
      <c r="B345" t="s">
        <v>1</v>
      </c>
      <c r="C345" t="s">
        <v>1882</v>
      </c>
      <c r="D345" t="s">
        <v>1883</v>
      </c>
      <c r="E345" t="s">
        <v>1884</v>
      </c>
      <c r="F345" t="s">
        <v>5</v>
      </c>
      <c r="G345" t="s">
        <v>6</v>
      </c>
      <c r="L345" t="s">
        <v>7</v>
      </c>
      <c r="M345">
        <v>1999</v>
      </c>
      <c r="N345" s="1">
        <v>44607</v>
      </c>
      <c r="O345" t="s">
        <v>1885</v>
      </c>
      <c r="P345">
        <v>1</v>
      </c>
      <c r="S345">
        <v>217.95</v>
      </c>
      <c r="T345">
        <v>250</v>
      </c>
      <c r="U345">
        <v>190</v>
      </c>
      <c r="V345" t="s">
        <v>42</v>
      </c>
      <c r="W345" t="s">
        <v>116</v>
      </c>
      <c r="X345" t="s">
        <v>116</v>
      </c>
      <c r="Y345" t="s">
        <v>971</v>
      </c>
      <c r="AF345" t="s">
        <v>13</v>
      </c>
      <c r="AG345" t="str">
        <f>HYPERLINK("https://doi.org/10.1515/9781474471343")</f>
        <v>https://doi.org/10.1515/9781474471343</v>
      </c>
      <c r="AH345" t="str">
        <f>HYPERLINK("http://www.degruyter.com/isbn/9781474471343")</f>
        <v>http://www.degruyter.com/isbn/9781474471343</v>
      </c>
      <c r="AI345" t="s">
        <v>24</v>
      </c>
      <c r="AL345" t="s">
        <v>47</v>
      </c>
      <c r="AM345">
        <v>1</v>
      </c>
      <c r="AN345" s="2">
        <v>9780748607778</v>
      </c>
    </row>
    <row r="346" spans="1:40" x14ac:dyDescent="0.3">
      <c r="A346" t="s">
        <v>1886</v>
      </c>
      <c r="B346" t="s">
        <v>1</v>
      </c>
      <c r="C346" t="s">
        <v>1887</v>
      </c>
      <c r="D346" t="s">
        <v>1888</v>
      </c>
      <c r="E346" t="s">
        <v>1889</v>
      </c>
      <c r="F346" t="s">
        <v>5</v>
      </c>
      <c r="G346" t="s">
        <v>6</v>
      </c>
      <c r="L346" t="s">
        <v>7</v>
      </c>
      <c r="M346">
        <v>2021</v>
      </c>
      <c r="N346" s="1">
        <v>44644</v>
      </c>
      <c r="O346" t="s">
        <v>1890</v>
      </c>
      <c r="P346">
        <v>1</v>
      </c>
      <c r="S346">
        <v>227.95</v>
      </c>
      <c r="T346">
        <v>260</v>
      </c>
      <c r="U346">
        <v>200</v>
      </c>
      <c r="V346" t="s">
        <v>20</v>
      </c>
      <c r="W346" t="s">
        <v>21</v>
      </c>
      <c r="X346" t="s">
        <v>458</v>
      </c>
      <c r="Y346" t="s">
        <v>459</v>
      </c>
      <c r="AF346" t="s">
        <v>13</v>
      </c>
      <c r="AG346" t="str">
        <f>HYPERLINK("https://doi.org/10.1515/9781474479509")</f>
        <v>https://doi.org/10.1515/9781474479509</v>
      </c>
      <c r="AH346" t="str">
        <f>HYPERLINK("http://www.degruyter.com/isbn/9781474479509")</f>
        <v>http://www.degruyter.com/isbn/9781474479509</v>
      </c>
      <c r="AI346" t="s">
        <v>559</v>
      </c>
      <c r="AL346" t="s">
        <v>15</v>
      </c>
      <c r="AM346">
        <v>1</v>
      </c>
      <c r="AN346" s="2">
        <v>9781474479486</v>
      </c>
    </row>
    <row r="347" spans="1:40" x14ac:dyDescent="0.3">
      <c r="A347" t="s">
        <v>1891</v>
      </c>
      <c r="B347" t="s">
        <v>1</v>
      </c>
      <c r="C347" t="s">
        <v>1892</v>
      </c>
      <c r="E347" t="s">
        <v>1893</v>
      </c>
      <c r="F347" t="s">
        <v>5</v>
      </c>
      <c r="G347" t="s">
        <v>6</v>
      </c>
      <c r="L347" t="s">
        <v>7</v>
      </c>
      <c r="M347">
        <v>2008</v>
      </c>
      <c r="N347" s="1">
        <v>39580</v>
      </c>
      <c r="O347" t="s">
        <v>1894</v>
      </c>
      <c r="P347">
        <v>1</v>
      </c>
      <c r="S347">
        <v>217.95</v>
      </c>
      <c r="T347">
        <v>250</v>
      </c>
      <c r="U347">
        <v>190</v>
      </c>
      <c r="V347" t="s">
        <v>20</v>
      </c>
      <c r="W347" t="s">
        <v>21</v>
      </c>
      <c r="X347" t="s">
        <v>575</v>
      </c>
      <c r="Y347" t="s">
        <v>576</v>
      </c>
      <c r="AF347" t="s">
        <v>13</v>
      </c>
      <c r="AG347" t="str">
        <f>HYPERLINK("https://doi.org/10.1515/9780748635436?locatt=mode:legacy")</f>
        <v>https://doi.org/10.1515/9780748635436?locatt=mode:legacy</v>
      </c>
      <c r="AH347" t="str">
        <f>HYPERLINK("http://www.degruyter.com/isbn/9780748635436")</f>
        <v>http://www.degruyter.com/isbn/9780748635436</v>
      </c>
      <c r="AI347" t="s">
        <v>68</v>
      </c>
      <c r="AL347" t="s">
        <v>15</v>
      </c>
      <c r="AM347">
        <v>1</v>
      </c>
      <c r="AN347" s="2">
        <v>9780748635412</v>
      </c>
    </row>
    <row r="348" spans="1:40" x14ac:dyDescent="0.3">
      <c r="A348" t="s">
        <v>1895</v>
      </c>
      <c r="B348" t="s">
        <v>1</v>
      </c>
      <c r="C348" t="s">
        <v>1896</v>
      </c>
      <c r="D348" t="s">
        <v>1897</v>
      </c>
      <c r="E348" t="s">
        <v>1898</v>
      </c>
      <c r="F348" t="s">
        <v>5</v>
      </c>
      <c r="G348" t="s">
        <v>6</v>
      </c>
      <c r="L348" t="s">
        <v>7</v>
      </c>
      <c r="M348">
        <v>2006</v>
      </c>
      <c r="N348" s="1">
        <v>38987</v>
      </c>
      <c r="O348" t="s">
        <v>1899</v>
      </c>
      <c r="P348">
        <v>1</v>
      </c>
      <c r="S348">
        <v>243.95</v>
      </c>
      <c r="T348">
        <v>280</v>
      </c>
      <c r="U348">
        <v>210</v>
      </c>
      <c r="V348" t="s">
        <v>42</v>
      </c>
      <c r="W348" t="s">
        <v>116</v>
      </c>
      <c r="X348" t="s">
        <v>116</v>
      </c>
      <c r="Y348" t="s">
        <v>117</v>
      </c>
      <c r="AF348" t="s">
        <v>13</v>
      </c>
      <c r="AG348" t="str">
        <f>HYPERLINK("https://doi.org/10.1515/9780748629183?locatt=mode:legacy")</f>
        <v>https://doi.org/10.1515/9780748629183?locatt=mode:legacy</v>
      </c>
      <c r="AH348" t="str">
        <f>HYPERLINK("http://www.degruyter.com/isbn/9780748629183")</f>
        <v>http://www.degruyter.com/isbn/9780748629183</v>
      </c>
      <c r="AI348" t="s">
        <v>68</v>
      </c>
      <c r="AL348" t="s">
        <v>47</v>
      </c>
      <c r="AM348">
        <v>1</v>
      </c>
      <c r="AN348" s="2">
        <v>9780748620432</v>
      </c>
    </row>
    <row r="349" spans="1:40" x14ac:dyDescent="0.3">
      <c r="A349" t="s">
        <v>1900</v>
      </c>
      <c r="B349" t="s">
        <v>1</v>
      </c>
      <c r="C349" t="s">
        <v>1901</v>
      </c>
      <c r="D349" t="s">
        <v>1902</v>
      </c>
      <c r="E349" t="s">
        <v>1903</v>
      </c>
      <c r="F349" t="s">
        <v>5</v>
      </c>
      <c r="G349" t="s">
        <v>6</v>
      </c>
      <c r="L349" t="s">
        <v>7</v>
      </c>
      <c r="M349">
        <v>2019</v>
      </c>
      <c r="N349" s="1">
        <v>44656</v>
      </c>
      <c r="O349" t="s">
        <v>1904</v>
      </c>
      <c r="P349">
        <v>1</v>
      </c>
      <c r="S349">
        <v>217.95</v>
      </c>
      <c r="T349">
        <v>250</v>
      </c>
      <c r="U349">
        <v>190</v>
      </c>
      <c r="V349" t="s">
        <v>58</v>
      </c>
      <c r="W349" t="s">
        <v>59</v>
      </c>
      <c r="X349" t="s">
        <v>60</v>
      </c>
      <c r="Y349" t="s">
        <v>73</v>
      </c>
      <c r="AF349" t="s">
        <v>13</v>
      </c>
      <c r="AG349" t="str">
        <f>HYPERLINK("https://doi.org/10.1515/9781474447102")</f>
        <v>https://doi.org/10.1515/9781474447102</v>
      </c>
      <c r="AH349" t="str">
        <f>HYPERLINK("http://www.degruyter.com/isbn/9781474447102")</f>
        <v>http://www.degruyter.com/isbn/9781474447102</v>
      </c>
      <c r="AI349" t="s">
        <v>280</v>
      </c>
      <c r="AL349" t="s">
        <v>62</v>
      </c>
      <c r="AM349">
        <v>1</v>
      </c>
      <c r="AN349" s="2">
        <v>9781474447089</v>
      </c>
    </row>
    <row r="350" spans="1:40" x14ac:dyDescent="0.3">
      <c r="A350" t="s">
        <v>1905</v>
      </c>
      <c r="B350" t="s">
        <v>1</v>
      </c>
      <c r="C350" t="s">
        <v>1906</v>
      </c>
      <c r="D350" t="s">
        <v>1907</v>
      </c>
      <c r="E350" t="s">
        <v>1908</v>
      </c>
      <c r="F350" t="s">
        <v>5</v>
      </c>
      <c r="G350" t="s">
        <v>6</v>
      </c>
      <c r="L350" t="s">
        <v>7</v>
      </c>
      <c r="M350">
        <v>2020</v>
      </c>
      <c r="N350" s="1">
        <v>44656</v>
      </c>
      <c r="O350" t="s">
        <v>1909</v>
      </c>
      <c r="P350">
        <v>1</v>
      </c>
      <c r="S350">
        <v>227.95</v>
      </c>
      <c r="T350">
        <v>260</v>
      </c>
      <c r="U350">
        <v>200</v>
      </c>
      <c r="V350" t="s">
        <v>329</v>
      </c>
      <c r="W350" t="s">
        <v>330</v>
      </c>
      <c r="X350" t="s">
        <v>331</v>
      </c>
      <c r="Y350" t="s">
        <v>1035</v>
      </c>
      <c r="AF350" t="s">
        <v>13</v>
      </c>
      <c r="AG350" t="str">
        <f>HYPERLINK("https://doi.org/10.1515/9781474443982?locatt=mode:legacy")</f>
        <v>https://doi.org/10.1515/9781474443982?locatt=mode:legacy</v>
      </c>
      <c r="AH350" t="str">
        <f>HYPERLINK("http://www.degruyter.com/isbn/9781474443982")</f>
        <v>http://www.degruyter.com/isbn/9781474443982</v>
      </c>
      <c r="AI350" t="s">
        <v>14</v>
      </c>
      <c r="AL350" t="s">
        <v>333</v>
      </c>
      <c r="AM350">
        <v>1</v>
      </c>
      <c r="AN350" s="2">
        <v>9781474443968</v>
      </c>
    </row>
    <row r="351" spans="1:40" x14ac:dyDescent="0.3">
      <c r="A351" t="s">
        <v>1910</v>
      </c>
      <c r="B351" t="s">
        <v>1</v>
      </c>
      <c r="C351" t="s">
        <v>1911</v>
      </c>
      <c r="E351" t="s">
        <v>1912</v>
      </c>
      <c r="F351" t="s">
        <v>5</v>
      </c>
      <c r="G351" t="s">
        <v>6</v>
      </c>
      <c r="L351" t="s">
        <v>7</v>
      </c>
      <c r="M351">
        <v>1984</v>
      </c>
      <c r="N351" s="1">
        <v>44599</v>
      </c>
      <c r="O351" t="s">
        <v>1913</v>
      </c>
      <c r="P351">
        <v>1</v>
      </c>
      <c r="S351">
        <v>227.95</v>
      </c>
      <c r="T351">
        <v>260</v>
      </c>
      <c r="U351">
        <v>200</v>
      </c>
      <c r="V351" t="s">
        <v>89</v>
      </c>
      <c r="W351" t="s">
        <v>90</v>
      </c>
      <c r="X351" t="s">
        <v>91</v>
      </c>
      <c r="Y351" t="s">
        <v>1914</v>
      </c>
      <c r="AF351" t="s">
        <v>13</v>
      </c>
      <c r="AG351" t="str">
        <f>HYPERLINK("https://doi.org/10.1515/9781474470643")</f>
        <v>https://doi.org/10.1515/9781474470643</v>
      </c>
      <c r="AH351" t="str">
        <f>HYPERLINK("http://www.degruyter.com/isbn/9781474470643")</f>
        <v>http://www.degruyter.com/isbn/9781474470643</v>
      </c>
      <c r="AI351" t="s">
        <v>24</v>
      </c>
      <c r="AL351" t="s">
        <v>83</v>
      </c>
      <c r="AM351">
        <v>1</v>
      </c>
      <c r="AN351" s="2">
        <v>9780852243756</v>
      </c>
    </row>
    <row r="352" spans="1:40" x14ac:dyDescent="0.3">
      <c r="A352" t="s">
        <v>1915</v>
      </c>
      <c r="B352" t="s">
        <v>1</v>
      </c>
      <c r="C352" t="s">
        <v>1916</v>
      </c>
      <c r="D352" t="s">
        <v>1917</v>
      </c>
      <c r="E352" t="s">
        <v>1918</v>
      </c>
      <c r="F352" t="s">
        <v>5</v>
      </c>
      <c r="G352" t="s">
        <v>6</v>
      </c>
      <c r="L352" t="s">
        <v>7</v>
      </c>
      <c r="M352">
        <v>2021</v>
      </c>
      <c r="N352" s="1">
        <v>44656</v>
      </c>
      <c r="O352" t="s">
        <v>1919</v>
      </c>
      <c r="P352">
        <v>1</v>
      </c>
      <c r="S352">
        <v>217.95</v>
      </c>
      <c r="T352">
        <v>250</v>
      </c>
      <c r="U352">
        <v>190</v>
      </c>
      <c r="V352" t="s">
        <v>9</v>
      </c>
      <c r="W352" t="s">
        <v>10</v>
      </c>
      <c r="X352" t="s">
        <v>11</v>
      </c>
      <c r="Y352" t="s">
        <v>52</v>
      </c>
      <c r="AF352" t="s">
        <v>13</v>
      </c>
      <c r="AG352" t="str">
        <f>HYPERLINK("https://doi.org/10.1515/9781474452847")</f>
        <v>https://doi.org/10.1515/9781474452847</v>
      </c>
      <c r="AH352" t="str">
        <f>HYPERLINK("http://www.degruyter.com/isbn/9781474452847")</f>
        <v>http://www.degruyter.com/isbn/9781474452847</v>
      </c>
      <c r="AI352" t="s">
        <v>908</v>
      </c>
      <c r="AL352" t="s">
        <v>15</v>
      </c>
      <c r="AM352">
        <v>1</v>
      </c>
      <c r="AN352" s="2">
        <v>9781474452823</v>
      </c>
    </row>
    <row r="353" spans="1:40" x14ac:dyDescent="0.3">
      <c r="A353" t="s">
        <v>1920</v>
      </c>
      <c r="B353" t="s">
        <v>1</v>
      </c>
      <c r="C353" t="s">
        <v>1921</v>
      </c>
      <c r="D353" t="s">
        <v>1922</v>
      </c>
      <c r="E353" t="s">
        <v>1923</v>
      </c>
      <c r="F353" t="s">
        <v>5</v>
      </c>
      <c r="G353" t="s">
        <v>6</v>
      </c>
      <c r="L353" t="s">
        <v>7</v>
      </c>
      <c r="M353">
        <v>2020</v>
      </c>
      <c r="N353" s="1">
        <v>44656</v>
      </c>
      <c r="O353" t="s">
        <v>1924</v>
      </c>
      <c r="P353">
        <v>1</v>
      </c>
      <c r="S353">
        <v>217.95</v>
      </c>
      <c r="T353">
        <v>250</v>
      </c>
      <c r="U353">
        <v>190</v>
      </c>
      <c r="V353" t="s">
        <v>297</v>
      </c>
      <c r="W353" t="s">
        <v>1925</v>
      </c>
      <c r="X353" t="s">
        <v>1925</v>
      </c>
      <c r="Y353" t="s">
        <v>1926</v>
      </c>
      <c r="AF353" t="s">
        <v>13</v>
      </c>
      <c r="AG353" t="str">
        <f>HYPERLINK("https://doi.org/10.1515/9781474467490?locatt=mode:legacy")</f>
        <v>https://doi.org/10.1515/9781474467490?locatt=mode:legacy</v>
      </c>
      <c r="AH353" t="str">
        <f>HYPERLINK("http://www.degruyter.com/isbn/9781474467490")</f>
        <v>http://www.degruyter.com/isbn/9781474467490</v>
      </c>
      <c r="AI353" t="s">
        <v>14</v>
      </c>
      <c r="AL353" t="s">
        <v>83</v>
      </c>
      <c r="AM353">
        <v>1</v>
      </c>
      <c r="AN353" s="2">
        <v>9781474467476</v>
      </c>
    </row>
    <row r="354" spans="1:40" x14ac:dyDescent="0.3">
      <c r="A354" t="s">
        <v>1927</v>
      </c>
      <c r="B354" t="s">
        <v>1</v>
      </c>
      <c r="C354" t="s">
        <v>1928</v>
      </c>
      <c r="D354" t="s">
        <v>1929</v>
      </c>
      <c r="E354" t="s">
        <v>1930</v>
      </c>
      <c r="F354" t="s">
        <v>5</v>
      </c>
      <c r="G354" t="s">
        <v>6</v>
      </c>
      <c r="L354" t="s">
        <v>7</v>
      </c>
      <c r="M354">
        <v>2015</v>
      </c>
      <c r="N354" s="1">
        <v>42198</v>
      </c>
      <c r="O354" t="s">
        <v>1759</v>
      </c>
      <c r="P354">
        <v>1</v>
      </c>
      <c r="S354">
        <v>253.95</v>
      </c>
      <c r="T354">
        <v>290</v>
      </c>
      <c r="U354">
        <v>220</v>
      </c>
      <c r="V354" t="s">
        <v>42</v>
      </c>
      <c r="W354" t="s">
        <v>290</v>
      </c>
      <c r="X354" t="s">
        <v>290</v>
      </c>
      <c r="Y354" t="s">
        <v>291</v>
      </c>
      <c r="AF354" t="s">
        <v>13</v>
      </c>
      <c r="AG354" t="str">
        <f>HYPERLINK("https://doi.org/10.1515/9780748680986")</f>
        <v>https://doi.org/10.1515/9780748680986</v>
      </c>
      <c r="AH354" t="str">
        <f>HYPERLINK("http://www.degruyter.com/isbn/9780748680986")</f>
        <v>http://www.degruyter.com/isbn/9780748680986</v>
      </c>
      <c r="AI354" t="s">
        <v>34</v>
      </c>
      <c r="AL354" t="s">
        <v>47</v>
      </c>
      <c r="AM354">
        <v>1</v>
      </c>
      <c r="AN354" s="2">
        <v>9780748680979</v>
      </c>
    </row>
    <row r="355" spans="1:40" x14ac:dyDescent="0.3">
      <c r="A355" t="s">
        <v>1931</v>
      </c>
      <c r="B355" t="s">
        <v>1</v>
      </c>
      <c r="C355" t="s">
        <v>1932</v>
      </c>
      <c r="D355" t="s">
        <v>1933</v>
      </c>
      <c r="E355" t="s">
        <v>1934</v>
      </c>
      <c r="F355" t="s">
        <v>5</v>
      </c>
      <c r="G355" t="s">
        <v>6</v>
      </c>
      <c r="L355" t="s">
        <v>7</v>
      </c>
      <c r="M355">
        <v>2021</v>
      </c>
      <c r="N355" s="1">
        <v>44656</v>
      </c>
      <c r="O355" t="s">
        <v>1935</v>
      </c>
      <c r="P355">
        <v>1</v>
      </c>
      <c r="S355">
        <v>305.95</v>
      </c>
      <c r="T355">
        <v>350</v>
      </c>
      <c r="U355">
        <v>270</v>
      </c>
      <c r="V355" t="s">
        <v>305</v>
      </c>
      <c r="W355" t="s">
        <v>650</v>
      </c>
      <c r="X355" t="s">
        <v>650</v>
      </c>
      <c r="Y355" t="s">
        <v>651</v>
      </c>
      <c r="AF355" t="s">
        <v>13</v>
      </c>
      <c r="AG355" t="str">
        <f>HYPERLINK("https://doi.org/10.1515/9781474486118")</f>
        <v>https://doi.org/10.1515/9781474486118</v>
      </c>
      <c r="AH355" t="str">
        <f>HYPERLINK("http://www.degruyter.com/isbn/9781474486118")</f>
        <v>http://www.degruyter.com/isbn/9781474486118</v>
      </c>
      <c r="AI355" t="s">
        <v>1936</v>
      </c>
      <c r="AL355" t="s">
        <v>308</v>
      </c>
      <c r="AM355">
        <v>1</v>
      </c>
      <c r="AN355" s="2">
        <v>9781474486095</v>
      </c>
    </row>
    <row r="356" spans="1:40" x14ac:dyDescent="0.3">
      <c r="A356" t="s">
        <v>1937</v>
      </c>
      <c r="B356" t="s">
        <v>1</v>
      </c>
      <c r="C356" t="s">
        <v>1938</v>
      </c>
      <c r="E356" t="s">
        <v>1939</v>
      </c>
      <c r="F356" t="s">
        <v>5</v>
      </c>
      <c r="G356" t="s">
        <v>6</v>
      </c>
      <c r="L356" t="s">
        <v>7</v>
      </c>
      <c r="M356">
        <v>2016</v>
      </c>
      <c r="N356" s="1">
        <v>42633</v>
      </c>
      <c r="O356" t="s">
        <v>1940</v>
      </c>
      <c r="P356">
        <v>1</v>
      </c>
      <c r="S356">
        <v>102.95</v>
      </c>
      <c r="T356">
        <v>116</v>
      </c>
      <c r="U356">
        <v>86</v>
      </c>
      <c r="V356" t="s">
        <v>42</v>
      </c>
      <c r="W356" t="s">
        <v>116</v>
      </c>
      <c r="X356" t="s">
        <v>116</v>
      </c>
      <c r="Y356" t="s">
        <v>586</v>
      </c>
      <c r="AF356" t="s">
        <v>13</v>
      </c>
      <c r="AG356" t="str">
        <f>HYPERLINK("https://doi.org/10.1515/9780748681464")</f>
        <v>https://doi.org/10.1515/9780748681464</v>
      </c>
      <c r="AH356" t="str">
        <f>HYPERLINK("http://www.degruyter.com/isbn/9780748681464")</f>
        <v>http://www.degruyter.com/isbn/9780748681464</v>
      </c>
      <c r="AI356" t="s">
        <v>1941</v>
      </c>
      <c r="AL356" t="s">
        <v>47</v>
      </c>
      <c r="AM356">
        <v>1</v>
      </c>
      <c r="AN356" s="2">
        <v>9780748681457</v>
      </c>
    </row>
    <row r="357" spans="1:40" x14ac:dyDescent="0.3">
      <c r="A357" t="s">
        <v>1942</v>
      </c>
      <c r="B357" t="s">
        <v>1</v>
      </c>
      <c r="C357" t="s">
        <v>1943</v>
      </c>
      <c r="E357" t="s">
        <v>1944</v>
      </c>
      <c r="F357" t="s">
        <v>5</v>
      </c>
      <c r="G357" t="s">
        <v>6</v>
      </c>
      <c r="L357" t="s">
        <v>7</v>
      </c>
      <c r="M357">
        <v>2016</v>
      </c>
      <c r="N357" s="1">
        <v>42436</v>
      </c>
      <c r="O357" t="s">
        <v>1945</v>
      </c>
      <c r="P357">
        <v>1</v>
      </c>
      <c r="S357">
        <v>253.95</v>
      </c>
      <c r="T357">
        <v>290</v>
      </c>
      <c r="U357">
        <v>220</v>
      </c>
      <c r="V357" t="s">
        <v>20</v>
      </c>
      <c r="W357" t="s">
        <v>556</v>
      </c>
      <c r="X357" t="s">
        <v>1731</v>
      </c>
      <c r="Y357" t="s">
        <v>1946</v>
      </c>
      <c r="AF357" t="s">
        <v>13</v>
      </c>
      <c r="AG357" t="str">
        <f>HYPERLINK("https://doi.org/10.1515/9780748676002")</f>
        <v>https://doi.org/10.1515/9780748676002</v>
      </c>
      <c r="AH357" t="str">
        <f>HYPERLINK("http://www.degruyter.com/isbn/9780748676002")</f>
        <v>http://www.degruyter.com/isbn/9780748676002</v>
      </c>
      <c r="AI357" t="s">
        <v>180</v>
      </c>
      <c r="AL357" t="s">
        <v>15</v>
      </c>
      <c r="AM357">
        <v>1</v>
      </c>
      <c r="AN357" s="2">
        <v>9780748675999</v>
      </c>
    </row>
    <row r="358" spans="1:40" x14ac:dyDescent="0.3">
      <c r="A358" t="s">
        <v>1947</v>
      </c>
      <c r="B358" t="s">
        <v>1</v>
      </c>
      <c r="C358" t="s">
        <v>1948</v>
      </c>
      <c r="E358" t="s">
        <v>1949</v>
      </c>
      <c r="F358" t="s">
        <v>5</v>
      </c>
      <c r="G358" t="s">
        <v>6</v>
      </c>
      <c r="L358" t="s">
        <v>7</v>
      </c>
      <c r="M358">
        <v>2015</v>
      </c>
      <c r="N358" s="1">
        <v>42102</v>
      </c>
      <c r="O358" t="s">
        <v>1950</v>
      </c>
      <c r="P358">
        <v>1</v>
      </c>
      <c r="S358">
        <v>227.95</v>
      </c>
      <c r="T358">
        <v>260</v>
      </c>
      <c r="U358">
        <v>200</v>
      </c>
      <c r="V358" t="s">
        <v>79</v>
      </c>
      <c r="W358" t="s">
        <v>209</v>
      </c>
      <c r="X358" t="s">
        <v>209</v>
      </c>
      <c r="Y358" t="s">
        <v>1951</v>
      </c>
      <c r="AF358" t="s">
        <v>13</v>
      </c>
      <c r="AG358" t="str">
        <f>HYPERLINK("https://doi.org/10.1515/9781474404297")</f>
        <v>https://doi.org/10.1515/9781474404297</v>
      </c>
      <c r="AH358" t="str">
        <f>HYPERLINK("http://www.degruyter.com/isbn/9781474404297")</f>
        <v>http://www.degruyter.com/isbn/9781474404297</v>
      </c>
      <c r="AI358" t="s">
        <v>34</v>
      </c>
      <c r="AL358" t="s">
        <v>83</v>
      </c>
      <c r="AM358">
        <v>1</v>
      </c>
      <c r="AN358" s="2">
        <v>9781474404273</v>
      </c>
    </row>
    <row r="359" spans="1:40" x14ac:dyDescent="0.3">
      <c r="A359" t="s">
        <v>1952</v>
      </c>
      <c r="B359" t="s">
        <v>1</v>
      </c>
      <c r="C359" t="s">
        <v>1953</v>
      </c>
      <c r="D359" t="s">
        <v>1954</v>
      </c>
      <c r="E359" t="s">
        <v>1955</v>
      </c>
      <c r="F359" t="s">
        <v>5</v>
      </c>
      <c r="G359" t="s">
        <v>6</v>
      </c>
      <c r="L359" t="s">
        <v>7</v>
      </c>
      <c r="M359">
        <v>2015</v>
      </c>
      <c r="N359" s="1">
        <v>42017</v>
      </c>
      <c r="O359" t="s">
        <v>1956</v>
      </c>
      <c r="P359">
        <v>1</v>
      </c>
      <c r="S359">
        <v>217.95</v>
      </c>
      <c r="T359">
        <v>250</v>
      </c>
      <c r="U359">
        <v>190</v>
      </c>
      <c r="V359" t="s">
        <v>42</v>
      </c>
      <c r="W359" t="s">
        <v>107</v>
      </c>
      <c r="X359" t="s">
        <v>108</v>
      </c>
      <c r="Y359" t="s">
        <v>221</v>
      </c>
      <c r="AF359" t="s">
        <v>13</v>
      </c>
      <c r="AG359" t="str">
        <f>HYPERLINK("https://doi.org/10.1515/9780748681334?locatt=mode:legacy")</f>
        <v>https://doi.org/10.1515/9780748681334?locatt=mode:legacy</v>
      </c>
      <c r="AH359" t="str">
        <f>HYPERLINK("http://www.degruyter.com/isbn/9780748681334")</f>
        <v>http://www.degruyter.com/isbn/9780748681334</v>
      </c>
      <c r="AI359" t="s">
        <v>34</v>
      </c>
      <c r="AL359" t="s">
        <v>47</v>
      </c>
      <c r="AM359">
        <v>1</v>
      </c>
      <c r="AN359" s="2">
        <v>9780748681327</v>
      </c>
    </row>
    <row r="360" spans="1:40" x14ac:dyDescent="0.3">
      <c r="A360" t="s">
        <v>1957</v>
      </c>
      <c r="B360" t="s">
        <v>1</v>
      </c>
      <c r="C360" t="s">
        <v>1958</v>
      </c>
      <c r="E360" t="s">
        <v>1959</v>
      </c>
      <c r="F360" t="s">
        <v>5</v>
      </c>
      <c r="G360" t="s">
        <v>6</v>
      </c>
      <c r="L360" t="s">
        <v>7</v>
      </c>
      <c r="M360">
        <v>1998</v>
      </c>
      <c r="N360" s="1">
        <v>44607</v>
      </c>
      <c r="O360" t="s">
        <v>1960</v>
      </c>
      <c r="P360">
        <v>1</v>
      </c>
      <c r="S360">
        <v>217.95</v>
      </c>
      <c r="T360">
        <v>250</v>
      </c>
      <c r="U360">
        <v>190</v>
      </c>
      <c r="V360" t="s">
        <v>42</v>
      </c>
      <c r="W360" t="s">
        <v>43</v>
      </c>
      <c r="X360" t="s">
        <v>44</v>
      </c>
      <c r="Y360" t="s">
        <v>45</v>
      </c>
      <c r="AF360" t="s">
        <v>13</v>
      </c>
      <c r="AG360" t="str">
        <f>HYPERLINK("https://doi.org/10.1515/9781474471466")</f>
        <v>https://doi.org/10.1515/9781474471466</v>
      </c>
      <c r="AH360" t="str">
        <f>HYPERLINK("http://www.degruyter.com/isbn/9781474471466")</f>
        <v>http://www.degruyter.com/isbn/9781474471466</v>
      </c>
      <c r="AI360" t="s">
        <v>24</v>
      </c>
      <c r="AL360" t="s">
        <v>47</v>
      </c>
      <c r="AM360">
        <v>1</v>
      </c>
      <c r="AN360" s="2">
        <v>9780748608362</v>
      </c>
    </row>
    <row r="361" spans="1:40" x14ac:dyDescent="0.3">
      <c r="A361" t="s">
        <v>1961</v>
      </c>
      <c r="B361" t="s">
        <v>1</v>
      </c>
      <c r="C361" t="s">
        <v>1962</v>
      </c>
      <c r="D361" t="s">
        <v>1963</v>
      </c>
      <c r="E361" t="s">
        <v>1964</v>
      </c>
      <c r="F361" t="s">
        <v>5</v>
      </c>
      <c r="G361" t="s">
        <v>6</v>
      </c>
      <c r="L361" t="s">
        <v>7</v>
      </c>
      <c r="M361">
        <v>2020</v>
      </c>
      <c r="N361" s="1">
        <v>44656</v>
      </c>
      <c r="O361" t="s">
        <v>1965</v>
      </c>
      <c r="P361">
        <v>1</v>
      </c>
      <c r="S361">
        <v>227.95</v>
      </c>
      <c r="T361">
        <v>260</v>
      </c>
      <c r="U361">
        <v>200</v>
      </c>
      <c r="V361" t="s">
        <v>9</v>
      </c>
      <c r="W361" t="s">
        <v>10</v>
      </c>
      <c r="X361" t="s">
        <v>11</v>
      </c>
      <c r="Y361" t="s">
        <v>52</v>
      </c>
      <c r="AF361" t="s">
        <v>13</v>
      </c>
      <c r="AG361" t="str">
        <f>HYPERLINK("https://doi.org/10.1515/9781474466974")</f>
        <v>https://doi.org/10.1515/9781474466974</v>
      </c>
      <c r="AH361" t="str">
        <f>HYPERLINK("http://www.degruyter.com/isbn/9781474466974")</f>
        <v>http://www.degruyter.com/isbn/9781474466974</v>
      </c>
      <c r="AI361" t="s">
        <v>14</v>
      </c>
      <c r="AL361" t="s">
        <v>15</v>
      </c>
      <c r="AM361">
        <v>1</v>
      </c>
      <c r="AN361" s="2">
        <v>9781474466950</v>
      </c>
    </row>
    <row r="362" spans="1:40" x14ac:dyDescent="0.3">
      <c r="A362" t="s">
        <v>1966</v>
      </c>
      <c r="B362" t="s">
        <v>1</v>
      </c>
      <c r="C362" t="s">
        <v>1967</v>
      </c>
      <c r="D362" t="s">
        <v>1968</v>
      </c>
      <c r="E362" t="s">
        <v>1969</v>
      </c>
      <c r="F362" t="s">
        <v>5</v>
      </c>
      <c r="G362" t="s">
        <v>6</v>
      </c>
      <c r="L362" t="s">
        <v>7</v>
      </c>
      <c r="M362">
        <v>2021</v>
      </c>
      <c r="N362" s="1">
        <v>44644</v>
      </c>
      <c r="O362" t="s">
        <v>1970</v>
      </c>
      <c r="P362">
        <v>1</v>
      </c>
      <c r="S362">
        <v>217.95</v>
      </c>
      <c r="T362">
        <v>250</v>
      </c>
      <c r="U362">
        <v>190</v>
      </c>
      <c r="V362" t="s">
        <v>268</v>
      </c>
      <c r="W362" t="s">
        <v>269</v>
      </c>
      <c r="X362" t="s">
        <v>269</v>
      </c>
      <c r="Y362" t="s">
        <v>360</v>
      </c>
      <c r="AF362" t="s">
        <v>13</v>
      </c>
      <c r="AG362" t="str">
        <f>HYPERLINK("https://doi.org/10.1515/9781474483599")</f>
        <v>https://doi.org/10.1515/9781474483599</v>
      </c>
      <c r="AH362" t="str">
        <f>HYPERLINK("http://www.degruyter.com/isbn/9781474483599")</f>
        <v>http://www.degruyter.com/isbn/9781474483599</v>
      </c>
      <c r="AI362" t="s">
        <v>1971</v>
      </c>
      <c r="AL362" t="s">
        <v>272</v>
      </c>
      <c r="AM362">
        <v>1</v>
      </c>
      <c r="AN362" s="2">
        <v>9781474483575</v>
      </c>
    </row>
    <row r="363" spans="1:40" x14ac:dyDescent="0.3">
      <c r="A363" t="s">
        <v>1972</v>
      </c>
      <c r="B363" t="s">
        <v>1</v>
      </c>
      <c r="C363" t="s">
        <v>1973</v>
      </c>
      <c r="D363" t="s">
        <v>1974</v>
      </c>
      <c r="E363" t="s">
        <v>1975</v>
      </c>
      <c r="F363" t="s">
        <v>5</v>
      </c>
      <c r="G363" t="s">
        <v>6</v>
      </c>
      <c r="L363" t="s">
        <v>7</v>
      </c>
      <c r="M363">
        <v>2008</v>
      </c>
      <c r="N363" s="1">
        <v>39512</v>
      </c>
      <c r="O363" t="s">
        <v>1976</v>
      </c>
      <c r="P363">
        <v>1</v>
      </c>
      <c r="S363">
        <v>227.95</v>
      </c>
      <c r="T363">
        <v>260</v>
      </c>
      <c r="U363">
        <v>200</v>
      </c>
      <c r="V363" t="s">
        <v>9</v>
      </c>
      <c r="W363" t="s">
        <v>10</v>
      </c>
      <c r="X363" t="s">
        <v>11</v>
      </c>
      <c r="Y363" t="s">
        <v>52</v>
      </c>
      <c r="AF363" t="s">
        <v>13</v>
      </c>
      <c r="AG363" t="str">
        <f>HYPERLINK("https://doi.org/10.1515/9780748632435")</f>
        <v>https://doi.org/10.1515/9780748632435</v>
      </c>
      <c r="AH363" t="str">
        <f>HYPERLINK("http://www.degruyter.com/isbn/9780748632435")</f>
        <v>http://www.degruyter.com/isbn/9780748632435</v>
      </c>
      <c r="AI363" t="s">
        <v>68</v>
      </c>
      <c r="AL363" t="s">
        <v>15</v>
      </c>
      <c r="AM363">
        <v>1</v>
      </c>
      <c r="AN363" s="2">
        <v>9780748634453</v>
      </c>
    </row>
    <row r="364" spans="1:40" x14ac:dyDescent="0.3">
      <c r="A364" t="s">
        <v>1977</v>
      </c>
      <c r="B364" t="s">
        <v>1</v>
      </c>
      <c r="C364" t="s">
        <v>1978</v>
      </c>
      <c r="D364" t="s">
        <v>1979</v>
      </c>
      <c r="E364" t="s">
        <v>1980</v>
      </c>
      <c r="F364" t="s">
        <v>5</v>
      </c>
      <c r="G364" t="s">
        <v>6</v>
      </c>
      <c r="L364" t="s">
        <v>7</v>
      </c>
      <c r="M364">
        <v>2018</v>
      </c>
      <c r="N364" s="1">
        <v>44644</v>
      </c>
      <c r="O364" t="s">
        <v>1981</v>
      </c>
      <c r="P364">
        <v>1</v>
      </c>
      <c r="S364">
        <v>217.95</v>
      </c>
      <c r="T364">
        <v>250</v>
      </c>
      <c r="U364">
        <v>190</v>
      </c>
      <c r="V364" t="s">
        <v>305</v>
      </c>
      <c r="W364" t="s">
        <v>306</v>
      </c>
      <c r="X364" t="s">
        <v>306</v>
      </c>
      <c r="Y364" t="s">
        <v>1313</v>
      </c>
      <c r="AF364" t="s">
        <v>13</v>
      </c>
      <c r="AG364" t="str">
        <f>HYPERLINK("https://doi.org/10.1515/9781474416610")</f>
        <v>https://doi.org/10.1515/9781474416610</v>
      </c>
      <c r="AH364" t="str">
        <f>HYPERLINK("http://www.degruyter.com/isbn/9781474416610")</f>
        <v>http://www.degruyter.com/isbn/9781474416610</v>
      </c>
      <c r="AI364" t="s">
        <v>46</v>
      </c>
      <c r="AL364" t="s">
        <v>308</v>
      </c>
      <c r="AM364">
        <v>1</v>
      </c>
      <c r="AN364" s="2">
        <v>9781474416597</v>
      </c>
    </row>
    <row r="365" spans="1:40" x14ac:dyDescent="0.3">
      <c r="A365" t="s">
        <v>1982</v>
      </c>
      <c r="B365" t="s">
        <v>1</v>
      </c>
      <c r="C365" t="s">
        <v>1983</v>
      </c>
      <c r="D365" t="s">
        <v>1984</v>
      </c>
      <c r="E365" t="s">
        <v>1985</v>
      </c>
      <c r="F365" t="s">
        <v>5</v>
      </c>
      <c r="G365" t="s">
        <v>6</v>
      </c>
      <c r="L365" t="s">
        <v>7</v>
      </c>
      <c r="M365">
        <v>2018</v>
      </c>
      <c r="N365" s="1">
        <v>44644</v>
      </c>
      <c r="O365" t="s">
        <v>1986</v>
      </c>
      <c r="P365">
        <v>1</v>
      </c>
      <c r="S365">
        <v>217.95</v>
      </c>
      <c r="T365">
        <v>250</v>
      </c>
      <c r="U365">
        <v>190</v>
      </c>
      <c r="V365" t="s">
        <v>9</v>
      </c>
      <c r="W365" t="s">
        <v>10</v>
      </c>
      <c r="X365" t="s">
        <v>11</v>
      </c>
      <c r="Y365" t="s">
        <v>52</v>
      </c>
      <c r="AF365" t="s">
        <v>13</v>
      </c>
      <c r="AG365" t="str">
        <f>HYPERLINK("https://doi.org/10.1515/9781474420747?locatt=mode:legacy")</f>
        <v>https://doi.org/10.1515/9781474420747?locatt=mode:legacy</v>
      </c>
      <c r="AH365" t="str">
        <f>HYPERLINK("http://www.degruyter.com/isbn/9781474420747")</f>
        <v>http://www.degruyter.com/isbn/9781474420747</v>
      </c>
      <c r="AI365" t="s">
        <v>46</v>
      </c>
      <c r="AJ365" t="s">
        <v>35</v>
      </c>
      <c r="AL365" t="s">
        <v>53</v>
      </c>
      <c r="AM365">
        <v>1</v>
      </c>
      <c r="AN365" s="2">
        <v>9781474420730</v>
      </c>
    </row>
    <row r="366" spans="1:40" x14ac:dyDescent="0.3">
      <c r="A366" t="s">
        <v>1987</v>
      </c>
      <c r="B366" t="s">
        <v>1</v>
      </c>
      <c r="C366" t="s">
        <v>1988</v>
      </c>
      <c r="D366" t="s">
        <v>1989</v>
      </c>
      <c r="E366" t="s">
        <v>1990</v>
      </c>
      <c r="F366" t="s">
        <v>5</v>
      </c>
      <c r="G366" t="s">
        <v>6</v>
      </c>
      <c r="K366" t="s">
        <v>923</v>
      </c>
      <c r="L366" t="s">
        <v>7</v>
      </c>
      <c r="M366">
        <v>2018</v>
      </c>
      <c r="N366" s="1">
        <v>43115</v>
      </c>
      <c r="O366" t="s">
        <v>1991</v>
      </c>
      <c r="P366">
        <v>1</v>
      </c>
      <c r="V366" t="s">
        <v>58</v>
      </c>
      <c r="W366" t="s">
        <v>59</v>
      </c>
      <c r="X366" t="s">
        <v>931</v>
      </c>
      <c r="Y366" t="s">
        <v>932</v>
      </c>
      <c r="AF366" t="s">
        <v>13</v>
      </c>
      <c r="AG366" t="str">
        <f>HYPERLINK("https://doi.org/10.1515/9781474434447")</f>
        <v>https://doi.org/10.1515/9781474434447</v>
      </c>
      <c r="AH366" t="str">
        <f>HYPERLINK("http://www.degruyter.com/isbn/9781474434447")</f>
        <v>http://www.degruyter.com/isbn/9781474434447</v>
      </c>
      <c r="AI366" t="s">
        <v>1992</v>
      </c>
      <c r="AM366">
        <v>1</v>
      </c>
      <c r="AN366" s="2"/>
    </row>
    <row r="367" spans="1:40" x14ac:dyDescent="0.3">
      <c r="A367" t="s">
        <v>1993</v>
      </c>
      <c r="B367" t="s">
        <v>1</v>
      </c>
      <c r="C367" t="s">
        <v>1994</v>
      </c>
      <c r="D367" t="s">
        <v>1995</v>
      </c>
      <c r="E367" t="s">
        <v>1996</v>
      </c>
      <c r="F367" t="s">
        <v>5</v>
      </c>
      <c r="G367" t="s">
        <v>6</v>
      </c>
      <c r="L367" t="s">
        <v>7</v>
      </c>
      <c r="M367">
        <v>2016</v>
      </c>
      <c r="N367" s="1">
        <v>42641</v>
      </c>
      <c r="O367" t="s">
        <v>746</v>
      </c>
      <c r="P367">
        <v>1</v>
      </c>
      <c r="S367">
        <v>217.95</v>
      </c>
      <c r="T367">
        <v>250</v>
      </c>
      <c r="U367">
        <v>190</v>
      </c>
      <c r="V367" t="s">
        <v>42</v>
      </c>
      <c r="W367" t="s">
        <v>290</v>
      </c>
      <c r="X367" t="s">
        <v>290</v>
      </c>
      <c r="Y367" t="s">
        <v>515</v>
      </c>
      <c r="AF367" t="s">
        <v>13</v>
      </c>
      <c r="AG367" t="str">
        <f>HYPERLINK("https://doi.org/10.1515/9780748683512")</f>
        <v>https://doi.org/10.1515/9780748683512</v>
      </c>
      <c r="AH367" t="str">
        <f>HYPERLINK("http://www.degruyter.com/isbn/9780748683512")</f>
        <v>http://www.degruyter.com/isbn/9780748683512</v>
      </c>
      <c r="AI367" t="s">
        <v>180</v>
      </c>
      <c r="AL367" t="s">
        <v>47</v>
      </c>
      <c r="AM367">
        <v>1</v>
      </c>
      <c r="AN367" s="2">
        <v>9780748683505</v>
      </c>
    </row>
    <row r="368" spans="1:40" x14ac:dyDescent="0.3">
      <c r="A368" t="s">
        <v>1997</v>
      </c>
      <c r="B368" t="s">
        <v>1</v>
      </c>
      <c r="C368" t="s">
        <v>1998</v>
      </c>
      <c r="D368" t="s">
        <v>1999</v>
      </c>
      <c r="E368" t="s">
        <v>2000</v>
      </c>
      <c r="F368" t="s">
        <v>5</v>
      </c>
      <c r="G368" t="s">
        <v>6</v>
      </c>
      <c r="L368" t="s">
        <v>7</v>
      </c>
      <c r="M368">
        <v>1991</v>
      </c>
      <c r="N368" s="1">
        <v>44607</v>
      </c>
      <c r="O368" t="s">
        <v>2001</v>
      </c>
      <c r="P368">
        <v>1</v>
      </c>
      <c r="S368">
        <v>217.95</v>
      </c>
      <c r="T368">
        <v>250</v>
      </c>
      <c r="U368">
        <v>190</v>
      </c>
      <c r="V368" t="s">
        <v>20</v>
      </c>
      <c r="W368" t="s">
        <v>21</v>
      </c>
      <c r="X368" t="s">
        <v>22</v>
      </c>
      <c r="Y368" t="s">
        <v>23</v>
      </c>
      <c r="AF368" t="s">
        <v>13</v>
      </c>
      <c r="AG368" t="str">
        <f>HYPERLINK("https://www.degruyter.com/isbn/9781474472043")</f>
        <v>https://www.degruyter.com/isbn/9781474472043</v>
      </c>
      <c r="AH368" t="str">
        <f>HYPERLINK("http://www.degruyter.com/isbn/9781474472043")</f>
        <v>http://www.degruyter.com/isbn/9781474472043</v>
      </c>
      <c r="AI368" t="s">
        <v>24</v>
      </c>
      <c r="AL368" t="s">
        <v>15</v>
      </c>
      <c r="AM368">
        <v>1</v>
      </c>
      <c r="AN368" s="2">
        <v>9780748602919</v>
      </c>
    </row>
    <row r="369" spans="1:40" x14ac:dyDescent="0.3">
      <c r="A369" t="s">
        <v>2002</v>
      </c>
      <c r="B369" t="s">
        <v>1</v>
      </c>
      <c r="C369" t="s">
        <v>2003</v>
      </c>
      <c r="D369" t="s">
        <v>27</v>
      </c>
      <c r="E369" t="s">
        <v>2004</v>
      </c>
      <c r="F369" t="s">
        <v>5</v>
      </c>
      <c r="G369" t="s">
        <v>6</v>
      </c>
      <c r="L369" t="s">
        <v>7</v>
      </c>
      <c r="M369">
        <v>2007</v>
      </c>
      <c r="N369" s="1">
        <v>39160</v>
      </c>
      <c r="O369" t="s">
        <v>2005</v>
      </c>
      <c r="P369">
        <v>1</v>
      </c>
      <c r="S369">
        <v>173.95</v>
      </c>
      <c r="T369">
        <v>200</v>
      </c>
      <c r="U369">
        <v>150</v>
      </c>
      <c r="V369" t="s">
        <v>42</v>
      </c>
      <c r="W369" t="s">
        <v>116</v>
      </c>
      <c r="X369" t="s">
        <v>116</v>
      </c>
      <c r="Y369" t="s">
        <v>117</v>
      </c>
      <c r="AF369" t="s">
        <v>13</v>
      </c>
      <c r="AG369" t="str">
        <f>HYPERLINK("https://doi.org/10.1515/9780748631612")</f>
        <v>https://doi.org/10.1515/9780748631612</v>
      </c>
      <c r="AH369" t="str">
        <f>HYPERLINK("http://www.degruyter.com/isbn/9780748631612")</f>
        <v>http://www.degruyter.com/isbn/9780748631612</v>
      </c>
      <c r="AI369" t="s">
        <v>68</v>
      </c>
      <c r="AL369" t="s">
        <v>47</v>
      </c>
      <c r="AM369">
        <v>1</v>
      </c>
      <c r="AN369" s="2">
        <v>9780748627639</v>
      </c>
    </row>
    <row r="370" spans="1:40" x14ac:dyDescent="0.3">
      <c r="A370" t="s">
        <v>2006</v>
      </c>
      <c r="B370" t="s">
        <v>1</v>
      </c>
      <c r="C370" t="s">
        <v>2007</v>
      </c>
      <c r="E370" t="s">
        <v>2008</v>
      </c>
      <c r="F370" t="s">
        <v>5</v>
      </c>
      <c r="G370" t="s">
        <v>6</v>
      </c>
      <c r="L370" t="s">
        <v>7</v>
      </c>
      <c r="M370">
        <v>2020</v>
      </c>
      <c r="N370" s="1">
        <v>44592</v>
      </c>
      <c r="O370" t="s">
        <v>2009</v>
      </c>
      <c r="P370">
        <v>1</v>
      </c>
      <c r="S370">
        <v>253.95</v>
      </c>
      <c r="T370">
        <v>290</v>
      </c>
      <c r="U370">
        <v>220</v>
      </c>
      <c r="V370" t="s">
        <v>98</v>
      </c>
      <c r="W370" t="s">
        <v>99</v>
      </c>
      <c r="X370" t="s">
        <v>2010</v>
      </c>
      <c r="Y370" t="s">
        <v>2011</v>
      </c>
      <c r="AF370" t="s">
        <v>13</v>
      </c>
      <c r="AG370" t="str">
        <f>HYPERLINK("https://doi.org/10.1515/9781474457361")</f>
        <v>https://doi.org/10.1515/9781474457361</v>
      </c>
      <c r="AH370" t="str">
        <f>HYPERLINK("http://www.degruyter.com/isbn/9781474457361")</f>
        <v>http://www.degruyter.com/isbn/9781474457361</v>
      </c>
      <c r="AI370" t="s">
        <v>14</v>
      </c>
      <c r="AJ370" t="s">
        <v>2012</v>
      </c>
      <c r="AL370" t="s">
        <v>102</v>
      </c>
      <c r="AM370">
        <v>1</v>
      </c>
      <c r="AN370" s="2">
        <v>9781474457330</v>
      </c>
    </row>
    <row r="371" spans="1:40" x14ac:dyDescent="0.3">
      <c r="A371" t="s">
        <v>2013</v>
      </c>
      <c r="B371" t="s">
        <v>1</v>
      </c>
      <c r="C371" t="s">
        <v>2014</v>
      </c>
      <c r="D371" t="s">
        <v>2015</v>
      </c>
      <c r="E371" t="s">
        <v>2016</v>
      </c>
      <c r="F371" t="s">
        <v>5</v>
      </c>
      <c r="G371" t="s">
        <v>6</v>
      </c>
      <c r="L371" t="s">
        <v>7</v>
      </c>
      <c r="M371">
        <v>2010</v>
      </c>
      <c r="N371" s="1">
        <v>40238</v>
      </c>
      <c r="O371" t="s">
        <v>2017</v>
      </c>
      <c r="P371">
        <v>1</v>
      </c>
      <c r="S371">
        <v>227.95</v>
      </c>
      <c r="T371">
        <v>260</v>
      </c>
      <c r="U371">
        <v>200</v>
      </c>
      <c r="V371" t="s">
        <v>42</v>
      </c>
      <c r="W371" t="s">
        <v>116</v>
      </c>
      <c r="X371" t="s">
        <v>116</v>
      </c>
      <c r="Y371" t="s">
        <v>117</v>
      </c>
      <c r="AF371" t="s">
        <v>13</v>
      </c>
      <c r="AG371" t="str">
        <f>HYPERLINK("https://doi.org/10.1515/9780748672608")</f>
        <v>https://doi.org/10.1515/9780748672608</v>
      </c>
      <c r="AH371" t="str">
        <f>HYPERLINK("http://www.degruyter.com/isbn/9780748672608")</f>
        <v>http://www.degruyter.com/isbn/9780748672608</v>
      </c>
      <c r="AI371" t="s">
        <v>68</v>
      </c>
      <c r="AL371" t="s">
        <v>47</v>
      </c>
      <c r="AM371">
        <v>1</v>
      </c>
      <c r="AN371" s="2">
        <v>9780748639885</v>
      </c>
    </row>
    <row r="372" spans="1:40" x14ac:dyDescent="0.3">
      <c r="A372" t="s">
        <v>2018</v>
      </c>
      <c r="B372" t="s">
        <v>1</v>
      </c>
      <c r="C372" t="s">
        <v>2019</v>
      </c>
      <c r="D372" t="s">
        <v>2020</v>
      </c>
      <c r="E372" t="s">
        <v>2021</v>
      </c>
      <c r="F372" t="s">
        <v>5</v>
      </c>
      <c r="G372" t="s">
        <v>6</v>
      </c>
      <c r="L372" t="s">
        <v>7</v>
      </c>
      <c r="M372">
        <v>2013</v>
      </c>
      <c r="N372" s="1">
        <v>41418</v>
      </c>
      <c r="O372" t="s">
        <v>2022</v>
      </c>
      <c r="P372">
        <v>1</v>
      </c>
      <c r="S372">
        <v>253.95</v>
      </c>
      <c r="T372">
        <v>290</v>
      </c>
      <c r="U372">
        <v>220</v>
      </c>
      <c r="V372" t="s">
        <v>20</v>
      </c>
      <c r="W372" t="s">
        <v>21</v>
      </c>
      <c r="X372" t="s">
        <v>22</v>
      </c>
      <c r="Y372" t="s">
        <v>23</v>
      </c>
      <c r="AF372" t="s">
        <v>13</v>
      </c>
      <c r="AG372" t="str">
        <f>HYPERLINK("https://doi.org/10.1515/9780748678914?locatt=mode:legacy")</f>
        <v>https://doi.org/10.1515/9780748678914?locatt=mode:legacy</v>
      </c>
      <c r="AH372" t="str">
        <f>HYPERLINK("http://www.degruyter.com/isbn/9780748678914")</f>
        <v>http://www.degruyter.com/isbn/9780748678914</v>
      </c>
      <c r="AI372" t="s">
        <v>68</v>
      </c>
      <c r="AL372" t="s">
        <v>15</v>
      </c>
      <c r="AM372">
        <v>1</v>
      </c>
      <c r="AN372" s="2">
        <v>9780748678891</v>
      </c>
    </row>
    <row r="373" spans="1:40" x14ac:dyDescent="0.3">
      <c r="A373" t="s">
        <v>2023</v>
      </c>
      <c r="B373" t="s">
        <v>1</v>
      </c>
      <c r="C373" t="s">
        <v>2024</v>
      </c>
      <c r="E373" t="s">
        <v>2025</v>
      </c>
      <c r="F373" t="s">
        <v>5</v>
      </c>
      <c r="G373" t="s">
        <v>6</v>
      </c>
      <c r="L373" t="s">
        <v>7</v>
      </c>
      <c r="M373">
        <v>2018</v>
      </c>
      <c r="N373" s="1">
        <v>44644</v>
      </c>
      <c r="O373" t="s">
        <v>2026</v>
      </c>
      <c r="P373">
        <v>1</v>
      </c>
      <c r="S373">
        <v>227.95</v>
      </c>
      <c r="T373">
        <v>260</v>
      </c>
      <c r="U373">
        <v>200</v>
      </c>
      <c r="V373" t="s">
        <v>42</v>
      </c>
      <c r="W373" t="s">
        <v>290</v>
      </c>
      <c r="X373" t="s">
        <v>290</v>
      </c>
      <c r="Y373" t="s">
        <v>515</v>
      </c>
      <c r="AF373" t="s">
        <v>13</v>
      </c>
      <c r="AG373" t="str">
        <f>HYPERLINK("https://doi.org/10.1515/9781474438117?locatt=mode:legacy")</f>
        <v>https://doi.org/10.1515/9781474438117?locatt=mode:legacy</v>
      </c>
      <c r="AH373" t="str">
        <f>HYPERLINK("http://www.degruyter.com/isbn/9781474438117")</f>
        <v>http://www.degruyter.com/isbn/9781474438117</v>
      </c>
      <c r="AI373" t="s">
        <v>46</v>
      </c>
      <c r="AL373" t="s">
        <v>47</v>
      </c>
      <c r="AM373">
        <v>1</v>
      </c>
      <c r="AN373" s="2">
        <v>9781474438094</v>
      </c>
    </row>
    <row r="374" spans="1:40" x14ac:dyDescent="0.3">
      <c r="A374" t="s">
        <v>2027</v>
      </c>
      <c r="B374" t="s">
        <v>1</v>
      </c>
      <c r="C374" t="s">
        <v>2028</v>
      </c>
      <c r="D374" t="s">
        <v>2029</v>
      </c>
      <c r="E374" t="s">
        <v>2030</v>
      </c>
      <c r="F374" t="s">
        <v>5</v>
      </c>
      <c r="G374" t="s">
        <v>6</v>
      </c>
      <c r="L374" t="s">
        <v>7</v>
      </c>
      <c r="M374">
        <v>2010</v>
      </c>
      <c r="N374" s="1">
        <v>40260</v>
      </c>
      <c r="O374" t="s">
        <v>947</v>
      </c>
      <c r="P374">
        <v>1</v>
      </c>
      <c r="S374">
        <v>253.95</v>
      </c>
      <c r="T374">
        <v>290</v>
      </c>
      <c r="U374">
        <v>220</v>
      </c>
      <c r="V374" t="s">
        <v>89</v>
      </c>
      <c r="W374" t="s">
        <v>90</v>
      </c>
      <c r="X374" t="s">
        <v>91</v>
      </c>
      <c r="Y374" t="s">
        <v>1914</v>
      </c>
      <c r="AF374" t="s">
        <v>13</v>
      </c>
      <c r="AG374" t="str">
        <f>HYPERLINK("https://doi.org/10.1515/9780748642267")</f>
        <v>https://doi.org/10.1515/9780748642267</v>
      </c>
      <c r="AH374" t="str">
        <f>HYPERLINK("http://www.degruyter.com/isbn/9780748642267")</f>
        <v>http://www.degruyter.com/isbn/9780748642267</v>
      </c>
      <c r="AI374" t="s">
        <v>68</v>
      </c>
      <c r="AL374" t="s">
        <v>83</v>
      </c>
      <c r="AM374">
        <v>1</v>
      </c>
      <c r="AN374" s="2">
        <v>9780748639342</v>
      </c>
    </row>
    <row r="375" spans="1:40" x14ac:dyDescent="0.3">
      <c r="A375" t="s">
        <v>2031</v>
      </c>
      <c r="B375" t="s">
        <v>1</v>
      </c>
      <c r="C375" t="s">
        <v>2032</v>
      </c>
      <c r="D375" t="s">
        <v>2033</v>
      </c>
      <c r="E375" t="s">
        <v>2034</v>
      </c>
      <c r="F375" t="s">
        <v>5</v>
      </c>
      <c r="G375" t="s">
        <v>6</v>
      </c>
      <c r="L375" t="s">
        <v>7</v>
      </c>
      <c r="M375">
        <v>2016</v>
      </c>
      <c r="N375" s="1">
        <v>42436</v>
      </c>
      <c r="O375" t="s">
        <v>2035</v>
      </c>
      <c r="P375">
        <v>1</v>
      </c>
      <c r="S375">
        <v>253.95</v>
      </c>
      <c r="T375">
        <v>290</v>
      </c>
      <c r="U375">
        <v>220</v>
      </c>
      <c r="V375" t="s">
        <v>79</v>
      </c>
      <c r="W375" t="s">
        <v>80</v>
      </c>
      <c r="X375" t="s">
        <v>80</v>
      </c>
      <c r="Y375" t="s">
        <v>81</v>
      </c>
      <c r="AF375" t="s">
        <v>13</v>
      </c>
      <c r="AG375" t="str">
        <f>HYPERLINK("https://doi.org/10.1515/9781474402552")</f>
        <v>https://doi.org/10.1515/9781474402552</v>
      </c>
      <c r="AH375" t="str">
        <f>HYPERLINK("http://www.degruyter.com/isbn/9781474402552")</f>
        <v>http://www.degruyter.com/isbn/9781474402552</v>
      </c>
      <c r="AI375" t="s">
        <v>180</v>
      </c>
      <c r="AL375" t="s">
        <v>83</v>
      </c>
      <c r="AM375">
        <v>1</v>
      </c>
      <c r="AN375" s="2">
        <v>9781474402538</v>
      </c>
    </row>
    <row r="376" spans="1:40" x14ac:dyDescent="0.3">
      <c r="A376" t="s">
        <v>2036</v>
      </c>
      <c r="B376" t="s">
        <v>1</v>
      </c>
      <c r="C376" t="s">
        <v>2037</v>
      </c>
      <c r="D376" t="s">
        <v>2038</v>
      </c>
      <c r="E376" t="s">
        <v>2039</v>
      </c>
      <c r="F376" t="s">
        <v>5</v>
      </c>
      <c r="G376" t="s">
        <v>6</v>
      </c>
      <c r="L376" t="s">
        <v>7</v>
      </c>
      <c r="M376">
        <v>2005</v>
      </c>
      <c r="N376" s="1">
        <v>38434</v>
      </c>
      <c r="O376" t="s">
        <v>2040</v>
      </c>
      <c r="P376">
        <v>1</v>
      </c>
      <c r="S376">
        <v>253.95</v>
      </c>
      <c r="T376">
        <v>290</v>
      </c>
      <c r="U376">
        <v>220</v>
      </c>
      <c r="V376" t="s">
        <v>58</v>
      </c>
      <c r="W376" t="s">
        <v>59</v>
      </c>
      <c r="X376" t="s">
        <v>60</v>
      </c>
      <c r="Y376" t="s">
        <v>145</v>
      </c>
      <c r="AF376" t="s">
        <v>13</v>
      </c>
      <c r="AG376" t="str">
        <f>HYPERLINK("https://doi.org/10.1515/9781474469425")</f>
        <v>https://doi.org/10.1515/9781474469425</v>
      </c>
      <c r="AH376" t="str">
        <f>HYPERLINK("http://www.degruyter.com/isbn/9781474469425")</f>
        <v>http://www.degruyter.com/isbn/9781474469425</v>
      </c>
      <c r="AI376" t="s">
        <v>68</v>
      </c>
      <c r="AL376" t="s">
        <v>62</v>
      </c>
      <c r="AM376">
        <v>1</v>
      </c>
      <c r="AN376" s="2">
        <v>9780748620791</v>
      </c>
    </row>
    <row r="377" spans="1:40" x14ac:dyDescent="0.3">
      <c r="A377" t="s">
        <v>2041</v>
      </c>
      <c r="B377" t="s">
        <v>1</v>
      </c>
      <c r="C377" t="s">
        <v>2042</v>
      </c>
      <c r="D377" t="s">
        <v>1146</v>
      </c>
      <c r="E377" t="s">
        <v>2043</v>
      </c>
      <c r="F377" t="s">
        <v>5</v>
      </c>
      <c r="G377" t="s">
        <v>6</v>
      </c>
      <c r="L377" t="s">
        <v>7</v>
      </c>
      <c r="M377">
        <v>1998</v>
      </c>
      <c r="N377" s="1">
        <v>44607</v>
      </c>
      <c r="O377" t="s">
        <v>545</v>
      </c>
      <c r="P377">
        <v>1</v>
      </c>
      <c r="S377">
        <v>217.95</v>
      </c>
      <c r="T377">
        <v>250</v>
      </c>
      <c r="U377">
        <v>190</v>
      </c>
      <c r="V377" t="s">
        <v>58</v>
      </c>
      <c r="W377" t="s">
        <v>59</v>
      </c>
      <c r="X377" t="s">
        <v>60</v>
      </c>
      <c r="Y377" t="s">
        <v>1029</v>
      </c>
      <c r="AF377" t="s">
        <v>13</v>
      </c>
      <c r="AG377" t="str">
        <f>HYPERLINK("https://doi.org/10.1515/9781474472593")</f>
        <v>https://doi.org/10.1515/9781474472593</v>
      </c>
      <c r="AH377" t="str">
        <f>HYPERLINK("http://www.degruyter.com/isbn/9781474472593")</f>
        <v>http://www.degruyter.com/isbn/9781474472593</v>
      </c>
      <c r="AI377" t="s">
        <v>24</v>
      </c>
      <c r="AL377" t="s">
        <v>62</v>
      </c>
      <c r="AM377">
        <v>1</v>
      </c>
      <c r="AN377" s="2">
        <v>9780748610440</v>
      </c>
    </row>
    <row r="378" spans="1:40" x14ac:dyDescent="0.3">
      <c r="A378" t="s">
        <v>2044</v>
      </c>
      <c r="B378" t="s">
        <v>1</v>
      </c>
      <c r="C378" t="s">
        <v>2045</v>
      </c>
      <c r="D378" t="s">
        <v>2046</v>
      </c>
      <c r="E378" t="s">
        <v>2047</v>
      </c>
      <c r="F378" t="s">
        <v>5</v>
      </c>
      <c r="G378" t="s">
        <v>6</v>
      </c>
      <c r="L378" t="s">
        <v>7</v>
      </c>
      <c r="M378">
        <v>1998</v>
      </c>
      <c r="N378" s="1">
        <v>44599</v>
      </c>
      <c r="O378" t="s">
        <v>2048</v>
      </c>
      <c r="P378">
        <v>1</v>
      </c>
      <c r="S378">
        <v>217.95</v>
      </c>
      <c r="T378">
        <v>250</v>
      </c>
      <c r="U378">
        <v>190</v>
      </c>
      <c r="V378" t="s">
        <v>98</v>
      </c>
      <c r="W378" t="s">
        <v>99</v>
      </c>
      <c r="X378" t="s">
        <v>100</v>
      </c>
      <c r="Y378" t="s">
        <v>101</v>
      </c>
      <c r="AF378" t="s">
        <v>13</v>
      </c>
      <c r="AG378" t="str">
        <f>HYPERLINK("https://doi.org/10.1515/9781474470452")</f>
        <v>https://doi.org/10.1515/9781474470452</v>
      </c>
      <c r="AH378" t="str">
        <f>HYPERLINK("http://www.degruyter.com/isbn/9781474470452")</f>
        <v>http://www.degruyter.com/isbn/9781474470452</v>
      </c>
      <c r="AI378" t="s">
        <v>24</v>
      </c>
      <c r="AL378" t="s">
        <v>102</v>
      </c>
      <c r="AM378">
        <v>1</v>
      </c>
      <c r="AN378" s="2">
        <v>9780748610792</v>
      </c>
    </row>
    <row r="379" spans="1:40" x14ac:dyDescent="0.3">
      <c r="A379" t="s">
        <v>2049</v>
      </c>
      <c r="B379" t="s">
        <v>1</v>
      </c>
      <c r="C379" t="s">
        <v>2050</v>
      </c>
      <c r="E379" t="s">
        <v>2051</v>
      </c>
      <c r="F379" t="s">
        <v>5</v>
      </c>
      <c r="G379" t="s">
        <v>6</v>
      </c>
      <c r="L379" t="s">
        <v>7</v>
      </c>
      <c r="M379">
        <v>2006</v>
      </c>
      <c r="N379" s="1">
        <v>38880</v>
      </c>
      <c r="O379" t="s">
        <v>2052</v>
      </c>
      <c r="P379">
        <v>1</v>
      </c>
      <c r="S379">
        <v>217.95</v>
      </c>
      <c r="T379">
        <v>250</v>
      </c>
      <c r="U379">
        <v>190</v>
      </c>
      <c r="V379" t="s">
        <v>79</v>
      </c>
      <c r="W379" t="s">
        <v>783</v>
      </c>
      <c r="X379" t="s">
        <v>783</v>
      </c>
      <c r="Y379" t="s">
        <v>784</v>
      </c>
      <c r="AF379" t="s">
        <v>13</v>
      </c>
      <c r="AG379" t="str">
        <f>HYPERLINK("https://doi.org/10.1515/9780748626854")</f>
        <v>https://doi.org/10.1515/9780748626854</v>
      </c>
      <c r="AH379" t="str">
        <f>HYPERLINK("http://www.degruyter.com/isbn/9780748626854")</f>
        <v>http://www.degruyter.com/isbn/9780748626854</v>
      </c>
      <c r="AI379" t="s">
        <v>68</v>
      </c>
      <c r="AL379" t="s">
        <v>83</v>
      </c>
      <c r="AM379">
        <v>1</v>
      </c>
      <c r="AN379" s="2">
        <v>9780748622009</v>
      </c>
    </row>
    <row r="380" spans="1:40" x14ac:dyDescent="0.3">
      <c r="A380" t="s">
        <v>2053</v>
      </c>
      <c r="B380" t="s">
        <v>1</v>
      </c>
      <c r="C380" t="s">
        <v>2054</v>
      </c>
      <c r="D380" t="s">
        <v>1672</v>
      </c>
      <c r="E380" t="s">
        <v>2055</v>
      </c>
      <c r="F380" t="s">
        <v>5</v>
      </c>
      <c r="G380" t="s">
        <v>6</v>
      </c>
      <c r="L380" t="s">
        <v>7</v>
      </c>
      <c r="M380">
        <v>2017</v>
      </c>
      <c r="N380" s="1">
        <v>42787</v>
      </c>
      <c r="O380" t="s">
        <v>2056</v>
      </c>
      <c r="P380">
        <v>1</v>
      </c>
      <c r="S380">
        <v>253.95</v>
      </c>
      <c r="T380">
        <v>290</v>
      </c>
      <c r="U380">
        <v>220</v>
      </c>
      <c r="V380" t="s">
        <v>305</v>
      </c>
      <c r="W380" t="s">
        <v>306</v>
      </c>
      <c r="X380" t="s">
        <v>306</v>
      </c>
      <c r="Y380" t="s">
        <v>2057</v>
      </c>
      <c r="AF380" t="s">
        <v>13</v>
      </c>
      <c r="AG380" t="str">
        <f>HYPERLINK("https://doi.org/10.1515/9781474409179")</f>
        <v>https://doi.org/10.1515/9781474409179</v>
      </c>
      <c r="AH380" t="str">
        <f>HYPERLINK("http://www.degruyter.com/isbn/9781474409179")</f>
        <v>http://www.degruyter.com/isbn/9781474409179</v>
      </c>
      <c r="AI380" t="s">
        <v>222</v>
      </c>
      <c r="AL380" t="s">
        <v>308</v>
      </c>
      <c r="AM380">
        <v>1</v>
      </c>
      <c r="AN380" s="2">
        <v>9781474409162</v>
      </c>
    </row>
    <row r="381" spans="1:40" x14ac:dyDescent="0.3">
      <c r="A381" t="s">
        <v>2058</v>
      </c>
      <c r="B381" t="s">
        <v>1</v>
      </c>
      <c r="C381" t="s">
        <v>2059</v>
      </c>
      <c r="D381" t="s">
        <v>1240</v>
      </c>
      <c r="E381" t="s">
        <v>2060</v>
      </c>
      <c r="F381" t="s">
        <v>5</v>
      </c>
      <c r="G381" t="s">
        <v>6</v>
      </c>
      <c r="L381" t="s">
        <v>7</v>
      </c>
      <c r="M381">
        <v>2006</v>
      </c>
      <c r="N381" s="1">
        <v>44592</v>
      </c>
      <c r="O381" t="s">
        <v>2061</v>
      </c>
      <c r="P381">
        <v>1</v>
      </c>
      <c r="S381">
        <v>217.95</v>
      </c>
      <c r="T381">
        <v>250</v>
      </c>
      <c r="U381">
        <v>190</v>
      </c>
      <c r="V381" t="s">
        <v>9</v>
      </c>
      <c r="W381" t="s">
        <v>10</v>
      </c>
      <c r="X381" t="s">
        <v>11</v>
      </c>
      <c r="Y381" t="s">
        <v>12</v>
      </c>
      <c r="AF381" t="s">
        <v>13</v>
      </c>
      <c r="AG381" t="str">
        <f>HYPERLINK("https://doi.org/10.1515/9781474468039")</f>
        <v>https://doi.org/10.1515/9781474468039</v>
      </c>
      <c r="AH381" t="str">
        <f>HYPERLINK("http://www.degruyter.com/isbn/9781474468039")</f>
        <v>http://www.degruyter.com/isbn/9781474468039</v>
      </c>
      <c r="AI381" t="s">
        <v>68</v>
      </c>
      <c r="AJ381" t="s">
        <v>35</v>
      </c>
      <c r="AL381" t="s">
        <v>53</v>
      </c>
      <c r="AM381">
        <v>1</v>
      </c>
      <c r="AN381" s="2">
        <v>9780748617777</v>
      </c>
    </row>
    <row r="382" spans="1:40" x14ac:dyDescent="0.3">
      <c r="A382" t="s">
        <v>2062</v>
      </c>
      <c r="B382" t="s">
        <v>1</v>
      </c>
      <c r="C382" t="s">
        <v>2063</v>
      </c>
      <c r="E382" t="s">
        <v>2064</v>
      </c>
      <c r="F382" t="s">
        <v>5</v>
      </c>
      <c r="G382" t="s">
        <v>6</v>
      </c>
      <c r="L382" t="s">
        <v>7</v>
      </c>
      <c r="M382">
        <v>2019</v>
      </c>
      <c r="N382" s="1">
        <v>44644</v>
      </c>
      <c r="O382" t="s">
        <v>2065</v>
      </c>
      <c r="P382">
        <v>1</v>
      </c>
      <c r="S382">
        <v>227.95</v>
      </c>
      <c r="T382">
        <v>260</v>
      </c>
      <c r="U382">
        <v>200</v>
      </c>
      <c r="V382" t="s">
        <v>305</v>
      </c>
      <c r="W382" t="s">
        <v>306</v>
      </c>
      <c r="X382" t="s">
        <v>306</v>
      </c>
      <c r="Y382" t="s">
        <v>2066</v>
      </c>
      <c r="AF382" t="s">
        <v>13</v>
      </c>
      <c r="AG382" t="str">
        <f>HYPERLINK("https://doi.org/10.1515/9781474436687")</f>
        <v>https://doi.org/10.1515/9781474436687</v>
      </c>
      <c r="AH382" t="str">
        <f>HYPERLINK("http://www.degruyter.com/isbn/9781474436687")</f>
        <v>http://www.degruyter.com/isbn/9781474436687</v>
      </c>
      <c r="AI382" t="s">
        <v>2067</v>
      </c>
      <c r="AL382" t="s">
        <v>308</v>
      </c>
      <c r="AM382">
        <v>1</v>
      </c>
      <c r="AN382" s="2">
        <v>9781474436663</v>
      </c>
    </row>
    <row r="383" spans="1:40" x14ac:dyDescent="0.3">
      <c r="A383" t="s">
        <v>2068</v>
      </c>
      <c r="B383" t="s">
        <v>1</v>
      </c>
      <c r="C383" t="s">
        <v>2069</v>
      </c>
      <c r="E383" t="s">
        <v>2070</v>
      </c>
      <c r="F383" t="s">
        <v>5</v>
      </c>
      <c r="G383" t="s">
        <v>6</v>
      </c>
      <c r="L383" t="s">
        <v>7</v>
      </c>
      <c r="M383">
        <v>2020</v>
      </c>
      <c r="N383" s="1">
        <v>44656</v>
      </c>
      <c r="O383" t="s">
        <v>2071</v>
      </c>
      <c r="P383">
        <v>1</v>
      </c>
      <c r="S383">
        <v>217.95</v>
      </c>
      <c r="T383">
        <v>250</v>
      </c>
      <c r="U383">
        <v>190</v>
      </c>
      <c r="V383" t="s">
        <v>42</v>
      </c>
      <c r="W383" t="s">
        <v>107</v>
      </c>
      <c r="X383" t="s">
        <v>108</v>
      </c>
      <c r="Y383" t="s">
        <v>109</v>
      </c>
      <c r="AF383" t="s">
        <v>13</v>
      </c>
      <c r="AG383" t="str">
        <f>HYPERLINK("https://doi.org/10.1515/9781474454612")</f>
        <v>https://doi.org/10.1515/9781474454612</v>
      </c>
      <c r="AH383" t="str">
        <f>HYPERLINK("http://www.degruyter.com/isbn/9781474454612")</f>
        <v>http://www.degruyter.com/isbn/9781474454612</v>
      </c>
      <c r="AI383" t="s">
        <v>14</v>
      </c>
      <c r="AL383" t="s">
        <v>47</v>
      </c>
      <c r="AM383">
        <v>1</v>
      </c>
      <c r="AN383" s="2">
        <v>9781474454599</v>
      </c>
    </row>
    <row r="384" spans="1:40" x14ac:dyDescent="0.3">
      <c r="A384" t="s">
        <v>2072</v>
      </c>
      <c r="B384" t="s">
        <v>1</v>
      </c>
      <c r="C384" t="s">
        <v>2073</v>
      </c>
      <c r="D384" t="s">
        <v>2074</v>
      </c>
      <c r="E384" t="s">
        <v>2075</v>
      </c>
      <c r="F384" t="s">
        <v>5</v>
      </c>
      <c r="G384" t="s">
        <v>6</v>
      </c>
      <c r="L384" t="s">
        <v>7</v>
      </c>
      <c r="M384">
        <v>2000</v>
      </c>
      <c r="N384" s="1">
        <v>44719</v>
      </c>
      <c r="O384" t="s">
        <v>2076</v>
      </c>
      <c r="P384">
        <v>1</v>
      </c>
      <c r="S384">
        <v>217.95</v>
      </c>
      <c r="T384">
        <v>250</v>
      </c>
      <c r="U384">
        <v>190</v>
      </c>
      <c r="V384" t="s">
        <v>58</v>
      </c>
      <c r="W384" t="s">
        <v>59</v>
      </c>
      <c r="X384" t="s">
        <v>60</v>
      </c>
      <c r="Y384" t="s">
        <v>169</v>
      </c>
      <c r="AF384" t="s">
        <v>13</v>
      </c>
      <c r="AG384" t="str">
        <f>HYPERLINK("https://doi.org/10.1515/9781474472173")</f>
        <v>https://doi.org/10.1515/9781474472173</v>
      </c>
      <c r="AH384" t="str">
        <f>HYPERLINK("http://www.degruyter.com/isbn/9781474472173")</f>
        <v>http://www.degruyter.com/isbn/9781474472173</v>
      </c>
      <c r="AI384" t="s">
        <v>68</v>
      </c>
      <c r="AL384" t="s">
        <v>62</v>
      </c>
      <c r="AM384">
        <v>1</v>
      </c>
      <c r="AN384" s="2">
        <v>9780748612260</v>
      </c>
    </row>
    <row r="385" spans="1:40" x14ac:dyDescent="0.3">
      <c r="A385" t="s">
        <v>2077</v>
      </c>
      <c r="B385" t="s">
        <v>1</v>
      </c>
      <c r="C385" t="s">
        <v>2078</v>
      </c>
      <c r="E385" t="s">
        <v>2079</v>
      </c>
      <c r="F385" t="s">
        <v>5</v>
      </c>
      <c r="G385" t="s">
        <v>6</v>
      </c>
      <c r="L385" t="s">
        <v>7</v>
      </c>
      <c r="M385">
        <v>2013</v>
      </c>
      <c r="N385" s="1">
        <v>41452</v>
      </c>
      <c r="O385" t="s">
        <v>551</v>
      </c>
      <c r="P385">
        <v>1</v>
      </c>
      <c r="S385">
        <v>209.95</v>
      </c>
      <c r="T385">
        <v>240</v>
      </c>
      <c r="U385">
        <v>180</v>
      </c>
      <c r="V385" t="s">
        <v>98</v>
      </c>
      <c r="W385" t="s">
        <v>99</v>
      </c>
      <c r="X385" t="s">
        <v>386</v>
      </c>
      <c r="Y385" t="s">
        <v>387</v>
      </c>
      <c r="AF385" t="s">
        <v>13</v>
      </c>
      <c r="AG385" t="str">
        <f>HYPERLINK("https://doi.org/10.1515/9780748669271")</f>
        <v>https://doi.org/10.1515/9780748669271</v>
      </c>
      <c r="AH385" t="str">
        <f>HYPERLINK("http://www.degruyter.com/isbn/9780748669271")</f>
        <v>http://www.degruyter.com/isbn/9780748669271</v>
      </c>
      <c r="AI385" t="s">
        <v>68</v>
      </c>
      <c r="AL385" t="s">
        <v>102</v>
      </c>
      <c r="AM385">
        <v>1</v>
      </c>
      <c r="AN385" s="2">
        <v>9780748669264</v>
      </c>
    </row>
    <row r="386" spans="1:40" x14ac:dyDescent="0.3">
      <c r="A386" t="s">
        <v>2080</v>
      </c>
      <c r="B386" t="s">
        <v>1</v>
      </c>
      <c r="C386" t="s">
        <v>2081</v>
      </c>
      <c r="D386" t="s">
        <v>2082</v>
      </c>
      <c r="E386" t="s">
        <v>2083</v>
      </c>
      <c r="F386" t="s">
        <v>5</v>
      </c>
      <c r="G386" t="s">
        <v>6</v>
      </c>
      <c r="L386" t="s">
        <v>7</v>
      </c>
      <c r="M386">
        <v>2004</v>
      </c>
      <c r="N386" s="1">
        <v>38105</v>
      </c>
      <c r="O386" t="s">
        <v>2084</v>
      </c>
      <c r="P386">
        <v>1</v>
      </c>
      <c r="S386">
        <v>305.95</v>
      </c>
      <c r="T386">
        <v>350</v>
      </c>
      <c r="U386">
        <v>270</v>
      </c>
      <c r="V386" t="s">
        <v>79</v>
      </c>
      <c r="W386" t="s">
        <v>80</v>
      </c>
      <c r="X386" t="s">
        <v>80</v>
      </c>
      <c r="Y386" t="s">
        <v>81</v>
      </c>
      <c r="AF386" t="s">
        <v>13</v>
      </c>
      <c r="AG386" t="str">
        <f>HYPERLINK("https://doi.org/10.1515/9781474472036")</f>
        <v>https://doi.org/10.1515/9781474472036</v>
      </c>
      <c r="AH386" t="str">
        <f>HYPERLINK("http://www.degruyter.com/isbn/9781474472036")</f>
        <v>http://www.degruyter.com/isbn/9781474472036</v>
      </c>
      <c r="AI386" t="s">
        <v>68</v>
      </c>
      <c r="AL386" t="s">
        <v>83</v>
      </c>
      <c r="AM386">
        <v>1</v>
      </c>
      <c r="AN386" s="2">
        <v>9780748611621</v>
      </c>
    </row>
    <row r="387" spans="1:40" x14ac:dyDescent="0.3">
      <c r="A387" t="s">
        <v>2085</v>
      </c>
      <c r="B387" t="s">
        <v>1</v>
      </c>
      <c r="C387" t="s">
        <v>2086</v>
      </c>
      <c r="E387" t="s">
        <v>2087</v>
      </c>
      <c r="F387" t="s">
        <v>5</v>
      </c>
      <c r="G387" t="s">
        <v>6</v>
      </c>
      <c r="L387" t="s">
        <v>7</v>
      </c>
      <c r="M387">
        <v>1999</v>
      </c>
      <c r="N387" s="1">
        <v>44693</v>
      </c>
      <c r="O387" t="s">
        <v>2088</v>
      </c>
      <c r="P387">
        <v>1</v>
      </c>
      <c r="S387">
        <v>59.95</v>
      </c>
      <c r="T387">
        <v>67.95</v>
      </c>
      <c r="U387">
        <v>51.98</v>
      </c>
      <c r="V387" t="s">
        <v>89</v>
      </c>
      <c r="W387" t="s">
        <v>137</v>
      </c>
      <c r="X387" t="s">
        <v>138</v>
      </c>
      <c r="Y387" t="s">
        <v>139</v>
      </c>
      <c r="AF387" t="s">
        <v>13</v>
      </c>
      <c r="AG387" t="str">
        <f>HYPERLINK("https://doi.org/10.1515/9780585197258")</f>
        <v>https://doi.org/10.1515/9780585197258</v>
      </c>
      <c r="AH387" t="str">
        <f>HYPERLINK("http://www.degruyter.com/isbn/9780585197258")</f>
        <v>http://www.degruyter.com/isbn/9780585197258</v>
      </c>
      <c r="AI387" t="s">
        <v>24</v>
      </c>
      <c r="AL387" t="s">
        <v>83</v>
      </c>
      <c r="AM387">
        <v>1</v>
      </c>
      <c r="AN387" s="2">
        <v>9780748610136</v>
      </c>
    </row>
    <row r="388" spans="1:40" x14ac:dyDescent="0.3">
      <c r="A388" t="s">
        <v>2089</v>
      </c>
      <c r="B388" t="s">
        <v>1</v>
      </c>
      <c r="C388" t="s">
        <v>2090</v>
      </c>
      <c r="D388" t="s">
        <v>2091</v>
      </c>
      <c r="E388" t="s">
        <v>2092</v>
      </c>
      <c r="F388" t="s">
        <v>5</v>
      </c>
      <c r="G388" t="s">
        <v>6</v>
      </c>
      <c r="L388" t="s">
        <v>7</v>
      </c>
      <c r="M388">
        <v>2020</v>
      </c>
      <c r="N388" s="1">
        <v>44656</v>
      </c>
      <c r="O388" t="s">
        <v>184</v>
      </c>
      <c r="P388">
        <v>1</v>
      </c>
      <c r="S388">
        <v>243.95</v>
      </c>
      <c r="T388">
        <v>280</v>
      </c>
      <c r="U388">
        <v>210</v>
      </c>
      <c r="V388" t="s">
        <v>58</v>
      </c>
      <c r="W388" t="s">
        <v>59</v>
      </c>
      <c r="X388" t="s">
        <v>60</v>
      </c>
      <c r="Y388" t="s">
        <v>2093</v>
      </c>
      <c r="AF388" t="s">
        <v>13</v>
      </c>
      <c r="AG388" t="str">
        <f>HYPERLINK("https://www.degruyter.com/isbn/9781474455640")</f>
        <v>https://www.degruyter.com/isbn/9781474455640</v>
      </c>
      <c r="AH388" t="str">
        <f>HYPERLINK("http://www.degruyter.com/isbn/9781474455640")</f>
        <v>http://www.degruyter.com/isbn/9781474455640</v>
      </c>
      <c r="AI388" t="s">
        <v>14</v>
      </c>
      <c r="AL388" t="s">
        <v>62</v>
      </c>
      <c r="AM388">
        <v>1</v>
      </c>
      <c r="AN388" s="2">
        <v>9781474455626</v>
      </c>
    </row>
    <row r="389" spans="1:40" x14ac:dyDescent="0.3">
      <c r="A389" t="s">
        <v>2094</v>
      </c>
      <c r="B389" t="s">
        <v>1</v>
      </c>
      <c r="C389" t="s">
        <v>2095</v>
      </c>
      <c r="D389" t="s">
        <v>2096</v>
      </c>
      <c r="E389" t="s">
        <v>2097</v>
      </c>
      <c r="F389" t="s">
        <v>5</v>
      </c>
      <c r="G389" t="s">
        <v>6</v>
      </c>
      <c r="L389" t="s">
        <v>7</v>
      </c>
      <c r="M389">
        <v>2019</v>
      </c>
      <c r="N389" s="1">
        <v>44644</v>
      </c>
      <c r="O389" t="s">
        <v>2098</v>
      </c>
      <c r="P389">
        <v>1</v>
      </c>
      <c r="S389">
        <v>217.95</v>
      </c>
      <c r="T389">
        <v>250</v>
      </c>
      <c r="U389">
        <v>190</v>
      </c>
      <c r="V389" t="s">
        <v>79</v>
      </c>
      <c r="W389" t="s">
        <v>783</v>
      </c>
      <c r="X389" t="s">
        <v>783</v>
      </c>
      <c r="Y389" t="s">
        <v>784</v>
      </c>
      <c r="AF389" t="s">
        <v>13</v>
      </c>
      <c r="AG389" t="str">
        <f>HYPERLINK("https://doi.org/10.1515/9781474447768")</f>
        <v>https://doi.org/10.1515/9781474447768</v>
      </c>
      <c r="AH389" t="str">
        <f>HYPERLINK("http://www.degruyter.com/isbn/9781474447768")</f>
        <v>http://www.degruyter.com/isbn/9781474447768</v>
      </c>
      <c r="AI389" t="s">
        <v>280</v>
      </c>
      <c r="AL389" t="s">
        <v>83</v>
      </c>
      <c r="AM389">
        <v>1</v>
      </c>
      <c r="AN389" s="2">
        <v>9781474447737</v>
      </c>
    </row>
    <row r="390" spans="1:40" x14ac:dyDescent="0.3">
      <c r="A390" t="s">
        <v>2099</v>
      </c>
      <c r="B390" t="s">
        <v>1</v>
      </c>
      <c r="C390" t="s">
        <v>2100</v>
      </c>
      <c r="E390" t="s">
        <v>2101</v>
      </c>
      <c r="F390" t="s">
        <v>5</v>
      </c>
      <c r="G390" t="s">
        <v>6</v>
      </c>
      <c r="L390" t="s">
        <v>7</v>
      </c>
      <c r="M390">
        <v>1997</v>
      </c>
      <c r="N390" s="1">
        <v>44607</v>
      </c>
      <c r="O390" t="s">
        <v>2102</v>
      </c>
      <c r="P390">
        <v>1</v>
      </c>
      <c r="S390">
        <v>217.95</v>
      </c>
      <c r="T390">
        <v>250</v>
      </c>
      <c r="U390">
        <v>190</v>
      </c>
      <c r="V390" t="s">
        <v>58</v>
      </c>
      <c r="W390" t="s">
        <v>129</v>
      </c>
      <c r="X390" t="s">
        <v>130</v>
      </c>
      <c r="Y390" t="s">
        <v>2103</v>
      </c>
      <c r="AF390" t="s">
        <v>13</v>
      </c>
      <c r="AG390" t="str">
        <f>HYPERLINK("https://doi.org/10.1515/9780748699216")</f>
        <v>https://doi.org/10.1515/9780748699216</v>
      </c>
      <c r="AH390" t="str">
        <f>HYPERLINK("http://www.degruyter.com/isbn/9780748699216")</f>
        <v>http://www.degruyter.com/isbn/9780748699216</v>
      </c>
      <c r="AI390" t="s">
        <v>24</v>
      </c>
      <c r="AL390" t="s">
        <v>62</v>
      </c>
      <c r="AM390">
        <v>1</v>
      </c>
      <c r="AN390" s="2">
        <v>9780748608867</v>
      </c>
    </row>
    <row r="391" spans="1:40" x14ac:dyDescent="0.3">
      <c r="A391" t="s">
        <v>2104</v>
      </c>
      <c r="B391" t="s">
        <v>1</v>
      </c>
      <c r="C391" t="s">
        <v>2105</v>
      </c>
      <c r="D391" t="s">
        <v>2106</v>
      </c>
      <c r="E391" t="s">
        <v>2107</v>
      </c>
      <c r="F391" t="s">
        <v>5</v>
      </c>
      <c r="G391" t="s">
        <v>6</v>
      </c>
      <c r="L391" t="s">
        <v>7</v>
      </c>
      <c r="M391">
        <v>2004</v>
      </c>
      <c r="N391" s="1">
        <v>38139</v>
      </c>
      <c r="O391" t="s">
        <v>2108</v>
      </c>
      <c r="P391">
        <v>1</v>
      </c>
      <c r="S391">
        <v>217.95</v>
      </c>
      <c r="T391">
        <v>250</v>
      </c>
      <c r="U391">
        <v>190</v>
      </c>
      <c r="V391" t="s">
        <v>42</v>
      </c>
      <c r="W391" t="s">
        <v>116</v>
      </c>
      <c r="X391" t="s">
        <v>116</v>
      </c>
      <c r="Y391" t="s">
        <v>117</v>
      </c>
      <c r="AF391" t="s">
        <v>13</v>
      </c>
      <c r="AG391" t="str">
        <f>HYPERLINK("https://doi.org/10.1515/9781474472500")</f>
        <v>https://doi.org/10.1515/9781474472500</v>
      </c>
      <c r="AH391" t="str">
        <f>HYPERLINK("http://www.degruyter.com/isbn/9781474472500")</f>
        <v>http://www.degruyter.com/isbn/9781474472500</v>
      </c>
      <c r="AI391" t="s">
        <v>68</v>
      </c>
      <c r="AL391" t="s">
        <v>47</v>
      </c>
      <c r="AM391">
        <v>1</v>
      </c>
      <c r="AN391" s="2">
        <v>9780748620364</v>
      </c>
    </row>
    <row r="392" spans="1:40" x14ac:dyDescent="0.3">
      <c r="A392" t="s">
        <v>2109</v>
      </c>
      <c r="B392" t="s">
        <v>1</v>
      </c>
      <c r="C392" t="s">
        <v>2110</v>
      </c>
      <c r="D392" t="s">
        <v>2111</v>
      </c>
      <c r="E392" t="s">
        <v>2112</v>
      </c>
      <c r="F392" t="s">
        <v>5</v>
      </c>
      <c r="G392" t="s">
        <v>6</v>
      </c>
      <c r="L392" t="s">
        <v>7</v>
      </c>
      <c r="M392">
        <v>2020</v>
      </c>
      <c r="N392" s="1">
        <v>44644</v>
      </c>
      <c r="O392" t="s">
        <v>2113</v>
      </c>
      <c r="P392">
        <v>1</v>
      </c>
      <c r="S392">
        <v>217.95</v>
      </c>
      <c r="T392">
        <v>250</v>
      </c>
      <c r="U392">
        <v>190</v>
      </c>
      <c r="V392" t="s">
        <v>20</v>
      </c>
      <c r="W392" t="s">
        <v>470</v>
      </c>
      <c r="X392" t="s">
        <v>2114</v>
      </c>
      <c r="Y392" t="s">
        <v>2115</v>
      </c>
      <c r="AF392" t="s">
        <v>13</v>
      </c>
      <c r="AG392" t="str">
        <f>HYPERLINK("https://doi.org/10.1515/9781474467384")</f>
        <v>https://doi.org/10.1515/9781474467384</v>
      </c>
      <c r="AH392" t="str">
        <f>HYPERLINK("http://www.degruyter.com/isbn/9781474467384")</f>
        <v>http://www.degruyter.com/isbn/9781474467384</v>
      </c>
      <c r="AI392" t="s">
        <v>14</v>
      </c>
      <c r="AL392" t="s">
        <v>15</v>
      </c>
      <c r="AM392">
        <v>1</v>
      </c>
      <c r="AN392" s="2">
        <v>9781474467353</v>
      </c>
    </row>
    <row r="393" spans="1:40" x14ac:dyDescent="0.3">
      <c r="A393" t="s">
        <v>2116</v>
      </c>
      <c r="B393" t="s">
        <v>1</v>
      </c>
      <c r="C393" t="s">
        <v>2117</v>
      </c>
      <c r="E393" t="s">
        <v>2118</v>
      </c>
      <c r="F393" t="s">
        <v>5</v>
      </c>
      <c r="G393" t="s">
        <v>6</v>
      </c>
      <c r="L393" t="s">
        <v>7</v>
      </c>
      <c r="M393">
        <v>2019</v>
      </c>
      <c r="N393" s="1">
        <v>44656</v>
      </c>
      <c r="O393" t="s">
        <v>2119</v>
      </c>
      <c r="P393">
        <v>1</v>
      </c>
      <c r="S393">
        <v>217.95</v>
      </c>
      <c r="T393">
        <v>250</v>
      </c>
      <c r="U393">
        <v>190</v>
      </c>
      <c r="V393" t="s">
        <v>42</v>
      </c>
      <c r="W393" t="s">
        <v>107</v>
      </c>
      <c r="X393" t="s">
        <v>108</v>
      </c>
      <c r="Y393" t="s">
        <v>109</v>
      </c>
      <c r="AF393" t="s">
        <v>13</v>
      </c>
      <c r="AG393" t="str">
        <f>HYPERLINK("https://doi.org/10.1515/9781474452007?locatt=mode:legacy")</f>
        <v>https://doi.org/10.1515/9781474452007?locatt=mode:legacy</v>
      </c>
      <c r="AH393" t="str">
        <f>HYPERLINK("http://www.degruyter.com/isbn/9781474452007")</f>
        <v>http://www.degruyter.com/isbn/9781474452007</v>
      </c>
      <c r="AI393" t="s">
        <v>280</v>
      </c>
      <c r="AL393" t="s">
        <v>47</v>
      </c>
      <c r="AM393">
        <v>1</v>
      </c>
      <c r="AN393" s="2">
        <v>9781474451987</v>
      </c>
    </row>
    <row r="394" spans="1:40" x14ac:dyDescent="0.3">
      <c r="A394" t="s">
        <v>2120</v>
      </c>
      <c r="B394" t="s">
        <v>1</v>
      </c>
      <c r="C394" t="s">
        <v>2121</v>
      </c>
      <c r="D394" t="s">
        <v>2122</v>
      </c>
      <c r="E394" t="s">
        <v>2123</v>
      </c>
      <c r="F394" t="s">
        <v>5</v>
      </c>
      <c r="G394" t="s">
        <v>6</v>
      </c>
      <c r="L394" t="s">
        <v>7</v>
      </c>
      <c r="M394">
        <v>2006</v>
      </c>
      <c r="N394" s="1">
        <v>38828</v>
      </c>
      <c r="O394" t="s">
        <v>661</v>
      </c>
      <c r="P394">
        <v>1</v>
      </c>
      <c r="S394">
        <v>217.95</v>
      </c>
      <c r="T394">
        <v>250</v>
      </c>
      <c r="U394">
        <v>190</v>
      </c>
      <c r="V394" t="s">
        <v>42</v>
      </c>
      <c r="W394" t="s">
        <v>161</v>
      </c>
      <c r="X394" t="s">
        <v>162</v>
      </c>
      <c r="Y394" t="s">
        <v>896</v>
      </c>
      <c r="AF394" t="s">
        <v>13</v>
      </c>
      <c r="AG394" t="str">
        <f>HYPERLINK("https://doi.org/10.1515/9780748626793")</f>
        <v>https://doi.org/10.1515/9780748626793</v>
      </c>
      <c r="AH394" t="str">
        <f>HYPERLINK("http://www.degruyter.com/isbn/9780748626793")</f>
        <v>http://www.degruyter.com/isbn/9780748626793</v>
      </c>
      <c r="AI394" t="s">
        <v>68</v>
      </c>
      <c r="AL394" t="s">
        <v>47</v>
      </c>
      <c r="AM394">
        <v>1</v>
      </c>
      <c r="AN394" s="2">
        <v>9780748624492</v>
      </c>
    </row>
    <row r="395" spans="1:40" x14ac:dyDescent="0.3">
      <c r="A395" t="s">
        <v>2124</v>
      </c>
      <c r="B395" t="s">
        <v>1</v>
      </c>
      <c r="C395" t="s">
        <v>2125</v>
      </c>
      <c r="D395" t="s">
        <v>2126</v>
      </c>
      <c r="E395" t="s">
        <v>2127</v>
      </c>
      <c r="F395" t="s">
        <v>5</v>
      </c>
      <c r="G395" t="s">
        <v>6</v>
      </c>
      <c r="L395" t="s">
        <v>7</v>
      </c>
      <c r="M395">
        <v>2021</v>
      </c>
      <c r="N395" s="1">
        <v>44656</v>
      </c>
      <c r="O395" t="s">
        <v>2128</v>
      </c>
      <c r="P395">
        <v>1</v>
      </c>
      <c r="S395">
        <v>79.95</v>
      </c>
      <c r="T395">
        <v>89.95</v>
      </c>
      <c r="U395">
        <v>70</v>
      </c>
      <c r="V395" t="s">
        <v>305</v>
      </c>
      <c r="W395" t="s">
        <v>2129</v>
      </c>
      <c r="X395" t="s">
        <v>2130</v>
      </c>
      <c r="Y395" t="s">
        <v>2131</v>
      </c>
      <c r="AF395" t="s">
        <v>13</v>
      </c>
      <c r="AG395" t="str">
        <f>HYPERLINK("https://doi.org/10.1515/9781474479738")</f>
        <v>https://doi.org/10.1515/9781474479738</v>
      </c>
      <c r="AH395" t="str">
        <f>HYPERLINK("http://www.degruyter.com/isbn/9781474479738")</f>
        <v>http://www.degruyter.com/isbn/9781474479738</v>
      </c>
      <c r="AI395" t="s">
        <v>908</v>
      </c>
      <c r="AL395" t="s">
        <v>308</v>
      </c>
      <c r="AM395">
        <v>1</v>
      </c>
      <c r="AN395" s="2">
        <v>9781474479721</v>
      </c>
    </row>
    <row r="396" spans="1:40" x14ac:dyDescent="0.3">
      <c r="A396" t="s">
        <v>2132</v>
      </c>
      <c r="B396" t="s">
        <v>1</v>
      </c>
      <c r="C396" t="s">
        <v>2133</v>
      </c>
      <c r="D396" t="s">
        <v>2134</v>
      </c>
      <c r="E396" t="s">
        <v>2135</v>
      </c>
      <c r="F396" t="s">
        <v>5</v>
      </c>
      <c r="G396" t="s">
        <v>6</v>
      </c>
      <c r="L396" t="s">
        <v>7</v>
      </c>
      <c r="M396">
        <v>2009</v>
      </c>
      <c r="N396" s="1">
        <v>39869</v>
      </c>
      <c r="O396" t="s">
        <v>1981</v>
      </c>
      <c r="P396">
        <v>1</v>
      </c>
      <c r="S396">
        <v>217.95</v>
      </c>
      <c r="T396">
        <v>250</v>
      </c>
      <c r="U396">
        <v>190</v>
      </c>
      <c r="V396" t="s">
        <v>20</v>
      </c>
      <c r="W396" t="s">
        <v>21</v>
      </c>
      <c r="X396" t="s">
        <v>575</v>
      </c>
      <c r="Y396" t="s">
        <v>576</v>
      </c>
      <c r="AF396" t="s">
        <v>13</v>
      </c>
      <c r="AG396" t="str">
        <f>HYPERLINK("https://doi.org/10.1515/9781474471688?locatt=mode:legacy")</f>
        <v>https://doi.org/10.1515/9781474471688?locatt=mode:legacy</v>
      </c>
      <c r="AH396" t="str">
        <f>HYPERLINK("http://www.degruyter.com/isbn/9781474471688")</f>
        <v>http://www.degruyter.com/isbn/9781474471688</v>
      </c>
      <c r="AI396" t="s">
        <v>68</v>
      </c>
      <c r="AL396" t="s">
        <v>15</v>
      </c>
      <c r="AM396">
        <v>1</v>
      </c>
      <c r="AN396" s="2">
        <v>9780748627561</v>
      </c>
    </row>
    <row r="397" spans="1:40" x14ac:dyDescent="0.3">
      <c r="A397" t="s">
        <v>2136</v>
      </c>
      <c r="B397" t="s">
        <v>1</v>
      </c>
      <c r="C397" t="s">
        <v>2137</v>
      </c>
      <c r="E397" t="s">
        <v>2138</v>
      </c>
      <c r="F397" t="s">
        <v>5</v>
      </c>
      <c r="G397" t="s">
        <v>6</v>
      </c>
      <c r="L397" t="s">
        <v>7</v>
      </c>
      <c r="M397">
        <v>1997</v>
      </c>
      <c r="N397" s="1">
        <v>44672</v>
      </c>
      <c r="O397" t="s">
        <v>2139</v>
      </c>
      <c r="P397">
        <v>1</v>
      </c>
      <c r="S397">
        <v>217.95</v>
      </c>
      <c r="T397">
        <v>250</v>
      </c>
      <c r="U397">
        <v>190</v>
      </c>
      <c r="V397" t="s">
        <v>20</v>
      </c>
      <c r="W397" t="s">
        <v>21</v>
      </c>
      <c r="X397" t="s">
        <v>22</v>
      </c>
      <c r="Y397" t="s">
        <v>23</v>
      </c>
      <c r="AF397" t="s">
        <v>13</v>
      </c>
      <c r="AG397" t="str">
        <f>HYPERLINK("https://doi.org/10.1515/9780748673865")</f>
        <v>https://doi.org/10.1515/9780748673865</v>
      </c>
      <c r="AH397" t="str">
        <f>HYPERLINK("http://www.degruyter.com/isbn/9780748673865")</f>
        <v>http://www.degruyter.com/isbn/9780748673865</v>
      </c>
      <c r="AI397" t="s">
        <v>24</v>
      </c>
      <c r="AL397" t="s">
        <v>15</v>
      </c>
      <c r="AM397">
        <v>1</v>
      </c>
      <c r="AN397" s="2">
        <v>9780748608645</v>
      </c>
    </row>
    <row r="398" spans="1:40" x14ac:dyDescent="0.3">
      <c r="A398" t="s">
        <v>2140</v>
      </c>
      <c r="B398" t="s">
        <v>1</v>
      </c>
      <c r="C398" t="s">
        <v>2141</v>
      </c>
      <c r="D398" t="s">
        <v>2142</v>
      </c>
      <c r="E398" t="s">
        <v>2143</v>
      </c>
      <c r="F398" t="s">
        <v>5</v>
      </c>
      <c r="G398" t="s">
        <v>6</v>
      </c>
      <c r="L398" t="s">
        <v>7</v>
      </c>
      <c r="M398">
        <v>2015</v>
      </c>
      <c r="N398" s="1">
        <v>42146</v>
      </c>
      <c r="O398" t="s">
        <v>2144</v>
      </c>
      <c r="P398">
        <v>1</v>
      </c>
      <c r="S398">
        <v>253.95</v>
      </c>
      <c r="T398">
        <v>290</v>
      </c>
      <c r="U398">
        <v>220</v>
      </c>
      <c r="V398" t="s">
        <v>42</v>
      </c>
      <c r="W398" t="s">
        <v>107</v>
      </c>
      <c r="X398" t="s">
        <v>108</v>
      </c>
      <c r="Y398" t="s">
        <v>952</v>
      </c>
      <c r="AF398" t="s">
        <v>13</v>
      </c>
      <c r="AG398" t="str">
        <f>HYPERLINK("https://doi.org/10.1515/9781474400220")</f>
        <v>https://doi.org/10.1515/9781474400220</v>
      </c>
      <c r="AH398" t="str">
        <f>HYPERLINK("http://www.degruyter.com/isbn/9781474400220")</f>
        <v>http://www.degruyter.com/isbn/9781474400220</v>
      </c>
      <c r="AI398" t="s">
        <v>34</v>
      </c>
      <c r="AL398" t="s">
        <v>47</v>
      </c>
      <c r="AM398">
        <v>1</v>
      </c>
      <c r="AN398" s="2">
        <v>9781474400213</v>
      </c>
    </row>
    <row r="399" spans="1:40" x14ac:dyDescent="0.3">
      <c r="A399" t="s">
        <v>2145</v>
      </c>
      <c r="B399" t="s">
        <v>1</v>
      </c>
      <c r="C399" t="s">
        <v>2146</v>
      </c>
      <c r="E399" t="s">
        <v>2147</v>
      </c>
      <c r="F399" t="s">
        <v>5</v>
      </c>
      <c r="G399" t="s">
        <v>6</v>
      </c>
      <c r="L399" t="s">
        <v>7</v>
      </c>
      <c r="M399">
        <v>2000</v>
      </c>
      <c r="N399" s="1">
        <v>43849</v>
      </c>
      <c r="O399" t="s">
        <v>2148</v>
      </c>
      <c r="P399">
        <v>1</v>
      </c>
      <c r="S399">
        <v>217.95</v>
      </c>
      <c r="T399">
        <v>250</v>
      </c>
      <c r="U399">
        <v>190</v>
      </c>
      <c r="V399" t="s">
        <v>305</v>
      </c>
      <c r="W399" t="s">
        <v>306</v>
      </c>
      <c r="X399" t="s">
        <v>306</v>
      </c>
      <c r="Y399" t="s">
        <v>2149</v>
      </c>
      <c r="AF399" t="s">
        <v>13</v>
      </c>
      <c r="AG399" t="str">
        <f>HYPERLINK("https://doi.org/10.1515/9780585441887")</f>
        <v>https://doi.org/10.1515/9780585441887</v>
      </c>
      <c r="AH399" t="str">
        <f>HYPERLINK("http://www.degruyter.com/isbn/9780585441887")</f>
        <v>http://www.degruyter.com/isbn/9780585441887</v>
      </c>
      <c r="AI399" t="s">
        <v>68</v>
      </c>
      <c r="AL399" t="s">
        <v>308</v>
      </c>
      <c r="AM399">
        <v>1</v>
      </c>
      <c r="AN399" s="2">
        <v>9780748609888</v>
      </c>
    </row>
    <row r="400" spans="1:40" x14ac:dyDescent="0.3">
      <c r="A400" t="s">
        <v>2150</v>
      </c>
      <c r="B400" t="s">
        <v>1</v>
      </c>
      <c r="C400" t="s">
        <v>2151</v>
      </c>
      <c r="D400" t="s">
        <v>2152</v>
      </c>
      <c r="E400" t="s">
        <v>2153</v>
      </c>
      <c r="F400" t="s">
        <v>5</v>
      </c>
      <c r="G400" t="s">
        <v>6</v>
      </c>
      <c r="L400" t="s">
        <v>7</v>
      </c>
      <c r="M400">
        <v>2017</v>
      </c>
      <c r="N400" s="1">
        <v>42886</v>
      </c>
      <c r="O400" t="s">
        <v>2154</v>
      </c>
      <c r="P400">
        <v>1</v>
      </c>
      <c r="S400">
        <v>243.95</v>
      </c>
      <c r="T400">
        <v>280</v>
      </c>
      <c r="U400">
        <v>210</v>
      </c>
      <c r="V400" t="s">
        <v>79</v>
      </c>
      <c r="W400" t="s">
        <v>209</v>
      </c>
      <c r="X400" t="s">
        <v>209</v>
      </c>
      <c r="Y400" t="s">
        <v>510</v>
      </c>
      <c r="AF400" t="s">
        <v>13</v>
      </c>
      <c r="AG400" t="str">
        <f>HYPERLINK("https://doi.org/10.1515/9781474408240")</f>
        <v>https://doi.org/10.1515/9781474408240</v>
      </c>
      <c r="AH400" t="str">
        <f>HYPERLINK("http://www.degruyter.com/isbn/9781474408240")</f>
        <v>http://www.degruyter.com/isbn/9781474408240</v>
      </c>
      <c r="AI400" t="s">
        <v>222</v>
      </c>
      <c r="AL400" t="s">
        <v>83</v>
      </c>
      <c r="AM400">
        <v>1</v>
      </c>
      <c r="AN400" s="2">
        <v>9781474408226</v>
      </c>
    </row>
    <row r="401" spans="1:40" x14ac:dyDescent="0.3">
      <c r="A401" t="s">
        <v>2155</v>
      </c>
      <c r="B401" t="s">
        <v>1</v>
      </c>
      <c r="C401" t="s">
        <v>2156</v>
      </c>
      <c r="D401" t="s">
        <v>2157</v>
      </c>
      <c r="E401" t="s">
        <v>2158</v>
      </c>
      <c r="F401" t="s">
        <v>5</v>
      </c>
      <c r="G401" t="s">
        <v>6</v>
      </c>
      <c r="L401" t="s">
        <v>7</v>
      </c>
      <c r="M401">
        <v>2013</v>
      </c>
      <c r="N401" s="1">
        <v>44607</v>
      </c>
      <c r="O401" t="s">
        <v>2159</v>
      </c>
      <c r="P401">
        <v>1</v>
      </c>
      <c r="S401">
        <v>217.95</v>
      </c>
      <c r="T401">
        <v>250</v>
      </c>
      <c r="U401">
        <v>190</v>
      </c>
      <c r="V401" t="s">
        <v>20</v>
      </c>
      <c r="W401" t="s">
        <v>21</v>
      </c>
      <c r="X401" t="s">
        <v>575</v>
      </c>
      <c r="Y401" t="s">
        <v>576</v>
      </c>
      <c r="AF401" t="s">
        <v>13</v>
      </c>
      <c r="AG401" t="str">
        <f>HYPERLINK("https://doi.org/10.1515/9781474469531")</f>
        <v>https://doi.org/10.1515/9781474469531</v>
      </c>
      <c r="AH401" t="str">
        <f>HYPERLINK("http://www.degruyter.com/isbn/9781474469531")</f>
        <v>http://www.degruyter.com/isbn/9781474469531</v>
      </c>
      <c r="AI401" t="s">
        <v>68</v>
      </c>
      <c r="AL401" t="s">
        <v>15</v>
      </c>
      <c r="AM401">
        <v>1</v>
      </c>
      <c r="AN401" s="2">
        <v>9781845861445</v>
      </c>
    </row>
    <row r="402" spans="1:40" x14ac:dyDescent="0.3">
      <c r="A402" t="s">
        <v>2160</v>
      </c>
      <c r="B402" t="s">
        <v>1</v>
      </c>
      <c r="C402" t="s">
        <v>2161</v>
      </c>
      <c r="D402" t="s">
        <v>2162</v>
      </c>
      <c r="E402" t="s">
        <v>2163</v>
      </c>
      <c r="F402" t="s">
        <v>5</v>
      </c>
      <c r="G402" t="s">
        <v>6</v>
      </c>
      <c r="K402" t="s">
        <v>929</v>
      </c>
      <c r="L402" t="s">
        <v>7</v>
      </c>
      <c r="M402">
        <v>2017</v>
      </c>
      <c r="N402" s="1">
        <v>42802</v>
      </c>
      <c r="O402" t="s">
        <v>2164</v>
      </c>
      <c r="P402">
        <v>1</v>
      </c>
      <c r="V402" t="s">
        <v>20</v>
      </c>
      <c r="W402" t="s">
        <v>21</v>
      </c>
      <c r="X402" t="s">
        <v>458</v>
      </c>
      <c r="Y402" t="s">
        <v>459</v>
      </c>
      <c r="AF402" t="s">
        <v>13</v>
      </c>
      <c r="AG402" t="str">
        <f>HYPERLINK("https://doi.org/10.1515/9781474423403")</f>
        <v>https://doi.org/10.1515/9781474423403</v>
      </c>
      <c r="AH402" t="str">
        <f>HYPERLINK("http://www.degruyter.com/isbn/9781474423403")</f>
        <v>http://www.degruyter.com/isbn/9781474423403</v>
      </c>
      <c r="AI402" t="s">
        <v>222</v>
      </c>
      <c r="AM402">
        <v>1</v>
      </c>
      <c r="AN402" s="2"/>
    </row>
    <row r="403" spans="1:40" x14ac:dyDescent="0.3">
      <c r="A403" t="s">
        <v>2165</v>
      </c>
      <c r="B403" t="s">
        <v>1</v>
      </c>
      <c r="C403" t="s">
        <v>2166</v>
      </c>
      <c r="D403" t="s">
        <v>2167</v>
      </c>
      <c r="E403" t="s">
        <v>2168</v>
      </c>
      <c r="F403" t="s">
        <v>5</v>
      </c>
      <c r="G403" t="s">
        <v>6</v>
      </c>
      <c r="L403" t="s">
        <v>7</v>
      </c>
      <c r="M403">
        <v>2020</v>
      </c>
      <c r="N403" s="1">
        <v>44656</v>
      </c>
      <c r="O403" t="s">
        <v>2169</v>
      </c>
      <c r="P403">
        <v>1</v>
      </c>
      <c r="S403">
        <v>261.95</v>
      </c>
      <c r="T403">
        <v>300</v>
      </c>
      <c r="U403">
        <v>230</v>
      </c>
      <c r="V403" t="s">
        <v>98</v>
      </c>
      <c r="W403" t="s">
        <v>99</v>
      </c>
      <c r="X403" t="s">
        <v>2010</v>
      </c>
      <c r="Y403" t="s">
        <v>2011</v>
      </c>
      <c r="AF403" t="s">
        <v>13</v>
      </c>
      <c r="AG403" t="str">
        <f>HYPERLINK("https://doi.org/10.1515/9781474467018")</f>
        <v>https://doi.org/10.1515/9781474467018</v>
      </c>
      <c r="AH403" t="str">
        <f>HYPERLINK("http://www.degruyter.com/isbn/9781474467018")</f>
        <v>http://www.degruyter.com/isbn/9781474467018</v>
      </c>
      <c r="AI403" t="s">
        <v>14</v>
      </c>
      <c r="AL403" t="s">
        <v>102</v>
      </c>
      <c r="AM403">
        <v>1</v>
      </c>
      <c r="AN403" s="2">
        <v>9781474466998</v>
      </c>
    </row>
    <row r="404" spans="1:40" x14ac:dyDescent="0.3">
      <c r="A404" t="s">
        <v>2170</v>
      </c>
      <c r="B404" t="s">
        <v>1</v>
      </c>
      <c r="C404" t="s">
        <v>2171</v>
      </c>
      <c r="D404" t="s">
        <v>2172</v>
      </c>
      <c r="E404" t="s">
        <v>2173</v>
      </c>
      <c r="F404" t="s">
        <v>5</v>
      </c>
      <c r="G404" t="s">
        <v>6</v>
      </c>
      <c r="L404" t="s">
        <v>7</v>
      </c>
      <c r="M404">
        <v>2012</v>
      </c>
      <c r="N404" s="1">
        <v>40967</v>
      </c>
      <c r="O404" t="s">
        <v>2174</v>
      </c>
      <c r="P404">
        <v>1</v>
      </c>
      <c r="S404">
        <v>253.95</v>
      </c>
      <c r="T404">
        <v>290</v>
      </c>
      <c r="U404">
        <v>220</v>
      </c>
      <c r="V404" t="s">
        <v>89</v>
      </c>
      <c r="W404" t="s">
        <v>90</v>
      </c>
      <c r="X404" t="s">
        <v>91</v>
      </c>
      <c r="Y404" t="s">
        <v>717</v>
      </c>
      <c r="AF404" t="s">
        <v>13</v>
      </c>
      <c r="AG404" t="str">
        <f>HYPERLINK("https://doi.org/10.1515/9781474468077")</f>
        <v>https://doi.org/10.1515/9781474468077</v>
      </c>
      <c r="AH404" t="str">
        <f>HYPERLINK("http://www.degruyter.com/isbn/9781474468077")</f>
        <v>http://www.degruyter.com/isbn/9781474468077</v>
      </c>
      <c r="AI404" t="s">
        <v>68</v>
      </c>
      <c r="AJ404" t="s">
        <v>35</v>
      </c>
      <c r="AL404" t="s">
        <v>718</v>
      </c>
      <c r="AM404">
        <v>1</v>
      </c>
      <c r="AN404" s="2">
        <v>9780748650699</v>
      </c>
    </row>
    <row r="405" spans="1:40" x14ac:dyDescent="0.3">
      <c r="A405" t="s">
        <v>2175</v>
      </c>
      <c r="B405" t="s">
        <v>1</v>
      </c>
      <c r="C405" t="s">
        <v>2176</v>
      </c>
      <c r="D405" t="s">
        <v>2177</v>
      </c>
      <c r="E405" t="s">
        <v>2178</v>
      </c>
      <c r="F405" t="s">
        <v>5</v>
      </c>
      <c r="G405" t="s">
        <v>6</v>
      </c>
      <c r="L405" t="s">
        <v>7</v>
      </c>
      <c r="M405">
        <v>2011</v>
      </c>
      <c r="N405" s="1">
        <v>40877</v>
      </c>
      <c r="O405" t="s">
        <v>2179</v>
      </c>
      <c r="P405">
        <v>1</v>
      </c>
      <c r="S405">
        <v>253.95</v>
      </c>
      <c r="T405">
        <v>290</v>
      </c>
      <c r="U405">
        <v>220</v>
      </c>
      <c r="V405" t="s">
        <v>58</v>
      </c>
      <c r="W405" t="s">
        <v>59</v>
      </c>
      <c r="X405" t="s">
        <v>60</v>
      </c>
      <c r="Y405" t="s">
        <v>145</v>
      </c>
      <c r="AF405" t="s">
        <v>13</v>
      </c>
      <c r="AG405" t="str">
        <f>HYPERLINK("https://doi.org/10.1515/9780748644537")</f>
        <v>https://doi.org/10.1515/9780748644537</v>
      </c>
      <c r="AH405" t="str">
        <f>HYPERLINK("http://www.degruyter.com/isbn/9780748644537")</f>
        <v>http://www.degruyter.com/isbn/9780748644537</v>
      </c>
      <c r="AI405" t="s">
        <v>68</v>
      </c>
      <c r="AL405" t="s">
        <v>62</v>
      </c>
      <c r="AM405">
        <v>1</v>
      </c>
      <c r="AN405" s="2">
        <v>9780748644520</v>
      </c>
    </row>
    <row r="406" spans="1:40" x14ac:dyDescent="0.3">
      <c r="A406" t="s">
        <v>2180</v>
      </c>
      <c r="B406" t="s">
        <v>1</v>
      </c>
      <c r="C406" t="s">
        <v>2181</v>
      </c>
      <c r="E406" t="s">
        <v>2182</v>
      </c>
      <c r="F406" t="s">
        <v>5</v>
      </c>
      <c r="G406" t="s">
        <v>6</v>
      </c>
      <c r="L406" t="s">
        <v>7</v>
      </c>
      <c r="M406">
        <v>2009</v>
      </c>
      <c r="N406" s="1">
        <v>39989</v>
      </c>
      <c r="O406" t="s">
        <v>2183</v>
      </c>
      <c r="P406">
        <v>1</v>
      </c>
      <c r="S406">
        <v>243.95</v>
      </c>
      <c r="T406">
        <v>280</v>
      </c>
      <c r="U406">
        <v>210</v>
      </c>
      <c r="V406" t="s">
        <v>42</v>
      </c>
      <c r="W406" t="s">
        <v>107</v>
      </c>
      <c r="X406" t="s">
        <v>108</v>
      </c>
      <c r="Y406" t="s">
        <v>952</v>
      </c>
      <c r="AF406" t="s">
        <v>13</v>
      </c>
      <c r="AG406" t="str">
        <f>HYPERLINK("https://doi.org/10.1515/9780748640959?locatt=mode:legacy")</f>
        <v>https://doi.org/10.1515/9780748640959?locatt=mode:legacy</v>
      </c>
      <c r="AH406" t="str">
        <f>HYPERLINK("http://www.degruyter.com/isbn/9780748640959")</f>
        <v>http://www.degruyter.com/isbn/9780748640959</v>
      </c>
      <c r="AI406" t="s">
        <v>68</v>
      </c>
      <c r="AL406" t="s">
        <v>47</v>
      </c>
      <c r="AM406">
        <v>1</v>
      </c>
      <c r="AN406" s="2">
        <v>9780748638833</v>
      </c>
    </row>
    <row r="407" spans="1:40" x14ac:dyDescent="0.3">
      <c r="A407" t="s">
        <v>2184</v>
      </c>
      <c r="B407" t="s">
        <v>1</v>
      </c>
      <c r="C407" t="s">
        <v>2185</v>
      </c>
      <c r="E407" t="s">
        <v>2186</v>
      </c>
      <c r="F407" t="s">
        <v>5</v>
      </c>
      <c r="G407" t="s">
        <v>6</v>
      </c>
      <c r="L407" t="s">
        <v>7</v>
      </c>
      <c r="M407">
        <v>2009</v>
      </c>
      <c r="N407" s="1">
        <v>39832</v>
      </c>
      <c r="O407" t="s">
        <v>2187</v>
      </c>
      <c r="P407">
        <v>1</v>
      </c>
      <c r="S407">
        <v>253.95</v>
      </c>
      <c r="T407">
        <v>290</v>
      </c>
      <c r="U407">
        <v>220</v>
      </c>
      <c r="V407" t="s">
        <v>98</v>
      </c>
      <c r="W407" t="s">
        <v>99</v>
      </c>
      <c r="X407" t="s">
        <v>386</v>
      </c>
      <c r="Y407" t="s">
        <v>387</v>
      </c>
      <c r="AF407" t="s">
        <v>13</v>
      </c>
      <c r="AG407" t="str">
        <f>HYPERLINK("https://doi.org/10.1515/9780748633524?locatt=mode:legacy")</f>
        <v>https://doi.org/10.1515/9780748633524?locatt=mode:legacy</v>
      </c>
      <c r="AH407" t="str">
        <f>HYPERLINK("http://www.degruyter.com/isbn/9780748633524")</f>
        <v>http://www.degruyter.com/isbn/9780748633524</v>
      </c>
      <c r="AI407" t="s">
        <v>68</v>
      </c>
      <c r="AL407" t="s">
        <v>102</v>
      </c>
      <c r="AM407">
        <v>1</v>
      </c>
      <c r="AN407" s="2">
        <v>9780748633500</v>
      </c>
    </row>
    <row r="408" spans="1:40" x14ac:dyDescent="0.3">
      <c r="A408" t="s">
        <v>2188</v>
      </c>
      <c r="B408" t="s">
        <v>1</v>
      </c>
      <c r="C408" t="s">
        <v>2189</v>
      </c>
      <c r="D408" t="s">
        <v>1146</v>
      </c>
      <c r="E408" t="s">
        <v>2190</v>
      </c>
      <c r="F408" t="s">
        <v>5</v>
      </c>
      <c r="G408" t="s">
        <v>6</v>
      </c>
      <c r="L408" t="s">
        <v>7</v>
      </c>
      <c r="M408">
        <v>2005</v>
      </c>
      <c r="N408" s="1">
        <v>38523</v>
      </c>
      <c r="O408" t="s">
        <v>2191</v>
      </c>
      <c r="P408">
        <v>1</v>
      </c>
      <c r="S408">
        <v>253.95</v>
      </c>
      <c r="T408">
        <v>290</v>
      </c>
      <c r="U408">
        <v>220</v>
      </c>
      <c r="V408" t="s">
        <v>58</v>
      </c>
      <c r="W408" t="s">
        <v>59</v>
      </c>
      <c r="X408" t="s">
        <v>60</v>
      </c>
      <c r="Y408" t="s">
        <v>169</v>
      </c>
      <c r="AF408" t="s">
        <v>13</v>
      </c>
      <c r="AG408" t="str">
        <f>HYPERLINK("https://www.degruyter.com/isbn/9781474469654")</f>
        <v>https://www.degruyter.com/isbn/9781474469654</v>
      </c>
      <c r="AH408" t="str">
        <f>HYPERLINK("http://www.degruyter.com/isbn/9781474469654")</f>
        <v>http://www.degruyter.com/isbn/9781474469654</v>
      </c>
      <c r="AI408" t="s">
        <v>2192</v>
      </c>
      <c r="AL408" t="s">
        <v>62</v>
      </c>
      <c r="AM408">
        <v>1</v>
      </c>
      <c r="AN408" s="2">
        <v>9780748619481</v>
      </c>
    </row>
    <row r="409" spans="1:40" x14ac:dyDescent="0.3">
      <c r="A409" t="s">
        <v>2193</v>
      </c>
      <c r="B409" t="s">
        <v>1</v>
      </c>
      <c r="C409" t="s">
        <v>2194</v>
      </c>
      <c r="E409" t="s">
        <v>2195</v>
      </c>
      <c r="F409" t="s">
        <v>5</v>
      </c>
      <c r="G409" t="s">
        <v>6</v>
      </c>
      <c r="L409" t="s">
        <v>7</v>
      </c>
      <c r="M409">
        <v>2007</v>
      </c>
      <c r="N409" s="1">
        <v>39407</v>
      </c>
      <c r="O409" t="s">
        <v>2196</v>
      </c>
      <c r="P409">
        <v>1</v>
      </c>
      <c r="S409">
        <v>217.95</v>
      </c>
      <c r="T409">
        <v>250</v>
      </c>
      <c r="U409">
        <v>190</v>
      </c>
      <c r="V409" t="s">
        <v>297</v>
      </c>
      <c r="W409" t="s">
        <v>298</v>
      </c>
      <c r="X409" t="s">
        <v>298</v>
      </c>
      <c r="Y409" t="s">
        <v>299</v>
      </c>
      <c r="AF409" t="s">
        <v>13</v>
      </c>
      <c r="AG409" t="str">
        <f>HYPERLINK("https://doi.org/10.1515/9780748631346?locatt=mode:legacy")</f>
        <v>https://doi.org/10.1515/9780748631346?locatt=mode:legacy</v>
      </c>
      <c r="AH409" t="str">
        <f>HYPERLINK("http://www.degruyter.com/isbn/9780748631346")</f>
        <v>http://www.degruyter.com/isbn/9780748631346</v>
      </c>
      <c r="AI409" t="s">
        <v>68</v>
      </c>
      <c r="AL409" t="s">
        <v>83</v>
      </c>
      <c r="AM409">
        <v>1</v>
      </c>
      <c r="AN409" s="2">
        <v>9780748626052</v>
      </c>
    </row>
    <row r="410" spans="1:40" x14ac:dyDescent="0.3">
      <c r="A410" t="s">
        <v>2197</v>
      </c>
      <c r="B410" t="s">
        <v>1</v>
      </c>
      <c r="C410" t="s">
        <v>2198</v>
      </c>
      <c r="E410" t="s">
        <v>2199</v>
      </c>
      <c r="F410" t="s">
        <v>5</v>
      </c>
      <c r="G410" t="s">
        <v>6</v>
      </c>
      <c r="L410" t="s">
        <v>7</v>
      </c>
      <c r="M410">
        <v>2010</v>
      </c>
      <c r="N410" s="1">
        <v>44592</v>
      </c>
      <c r="O410" t="s">
        <v>2200</v>
      </c>
      <c r="P410">
        <v>1</v>
      </c>
      <c r="S410">
        <v>217.95</v>
      </c>
      <c r="T410">
        <v>250</v>
      </c>
      <c r="U410">
        <v>190</v>
      </c>
      <c r="V410" t="s">
        <v>268</v>
      </c>
      <c r="W410" t="s">
        <v>269</v>
      </c>
      <c r="X410" t="s">
        <v>269</v>
      </c>
      <c r="Y410" t="s">
        <v>411</v>
      </c>
      <c r="AF410" t="s">
        <v>13</v>
      </c>
      <c r="AG410" t="str">
        <f>HYPERLINK("https://doi.org/10.1515/9780748699421")</f>
        <v>https://doi.org/10.1515/9780748699421</v>
      </c>
      <c r="AH410" t="str">
        <f>HYPERLINK("http://www.degruyter.com/isbn/9780748699421")</f>
        <v>http://www.degruyter.com/isbn/9780748699421</v>
      </c>
      <c r="AI410" t="s">
        <v>1003</v>
      </c>
      <c r="AL410" t="s">
        <v>272</v>
      </c>
      <c r="AM410">
        <v>1</v>
      </c>
      <c r="AN410" s="2">
        <v>9781845860820</v>
      </c>
    </row>
    <row r="411" spans="1:40" x14ac:dyDescent="0.3">
      <c r="A411" t="s">
        <v>2201</v>
      </c>
      <c r="B411" t="s">
        <v>1</v>
      </c>
      <c r="C411" t="s">
        <v>2202</v>
      </c>
      <c r="D411" t="s">
        <v>2203</v>
      </c>
      <c r="E411" t="s">
        <v>2204</v>
      </c>
      <c r="F411" t="s">
        <v>5</v>
      </c>
      <c r="G411" t="s">
        <v>6</v>
      </c>
      <c r="L411" t="s">
        <v>7</v>
      </c>
      <c r="M411">
        <v>1998</v>
      </c>
      <c r="N411" s="1">
        <v>44719</v>
      </c>
      <c r="O411" t="s">
        <v>2205</v>
      </c>
      <c r="P411">
        <v>1</v>
      </c>
      <c r="S411">
        <v>217.95</v>
      </c>
      <c r="T411">
        <v>250</v>
      </c>
      <c r="U411">
        <v>190</v>
      </c>
      <c r="V411" t="s">
        <v>20</v>
      </c>
      <c r="W411" t="s">
        <v>21</v>
      </c>
      <c r="X411" t="s">
        <v>22</v>
      </c>
      <c r="Y411" t="s">
        <v>23</v>
      </c>
      <c r="AF411" t="s">
        <v>13</v>
      </c>
      <c r="AG411" t="str">
        <f>HYPERLINK("https://doi.org/10.1515/9781474468626")</f>
        <v>https://doi.org/10.1515/9781474468626</v>
      </c>
      <c r="AH411" t="str">
        <f>HYPERLINK("http://www.degruyter.com/isbn/9781474468626")</f>
        <v>http://www.degruyter.com/isbn/9781474468626</v>
      </c>
      <c r="AI411" t="s">
        <v>24</v>
      </c>
      <c r="AL411" t="s">
        <v>15</v>
      </c>
      <c r="AM411">
        <v>1</v>
      </c>
      <c r="AN411" s="2">
        <v>9780748606412</v>
      </c>
    </row>
    <row r="412" spans="1:40" x14ac:dyDescent="0.3">
      <c r="A412" t="s">
        <v>2206</v>
      </c>
      <c r="B412" t="s">
        <v>1</v>
      </c>
      <c r="C412" t="s">
        <v>2207</v>
      </c>
      <c r="D412" t="s">
        <v>2208</v>
      </c>
      <c r="E412" t="s">
        <v>2209</v>
      </c>
      <c r="F412" t="s">
        <v>5</v>
      </c>
      <c r="G412" t="s">
        <v>6</v>
      </c>
      <c r="L412" t="s">
        <v>7</v>
      </c>
      <c r="M412">
        <v>2019</v>
      </c>
      <c r="N412" s="1">
        <v>44656</v>
      </c>
      <c r="O412" t="s">
        <v>2210</v>
      </c>
      <c r="P412">
        <v>1</v>
      </c>
      <c r="S412">
        <v>217.95</v>
      </c>
      <c r="T412">
        <v>250</v>
      </c>
      <c r="U412">
        <v>190</v>
      </c>
      <c r="V412" t="s">
        <v>58</v>
      </c>
      <c r="W412" t="s">
        <v>59</v>
      </c>
      <c r="X412" t="s">
        <v>60</v>
      </c>
      <c r="Y412" t="s">
        <v>169</v>
      </c>
      <c r="AF412" t="s">
        <v>13</v>
      </c>
      <c r="AG412" t="str">
        <f>HYPERLINK("https://doi.org/10.1515/9781474450942?locatt=mode:legacy")</f>
        <v>https://doi.org/10.1515/9781474450942?locatt=mode:legacy</v>
      </c>
      <c r="AH412" t="str">
        <f>HYPERLINK("http://www.degruyter.com/isbn/9781474450942")</f>
        <v>http://www.degruyter.com/isbn/9781474450942</v>
      </c>
      <c r="AI412" t="s">
        <v>280</v>
      </c>
      <c r="AL412" t="s">
        <v>62</v>
      </c>
      <c r="AM412">
        <v>1</v>
      </c>
      <c r="AN412" s="2">
        <v>9781474450928</v>
      </c>
    </row>
    <row r="413" spans="1:40" x14ac:dyDescent="0.3">
      <c r="A413" t="s">
        <v>2211</v>
      </c>
      <c r="B413" t="s">
        <v>1</v>
      </c>
      <c r="C413" t="s">
        <v>2212</v>
      </c>
      <c r="D413" t="s">
        <v>2213</v>
      </c>
      <c r="E413" t="s">
        <v>2214</v>
      </c>
      <c r="F413" t="s">
        <v>5</v>
      </c>
      <c r="G413" t="s">
        <v>6</v>
      </c>
      <c r="L413" t="s">
        <v>7</v>
      </c>
      <c r="M413">
        <v>2009</v>
      </c>
      <c r="N413" s="1">
        <v>40116</v>
      </c>
      <c r="O413" t="s">
        <v>2040</v>
      </c>
      <c r="P413">
        <v>1</v>
      </c>
      <c r="S413">
        <v>253.95</v>
      </c>
      <c r="T413">
        <v>290</v>
      </c>
      <c r="U413">
        <v>220</v>
      </c>
      <c r="V413" t="s">
        <v>20</v>
      </c>
      <c r="W413" t="s">
        <v>1018</v>
      </c>
      <c r="X413" t="s">
        <v>1018</v>
      </c>
      <c r="Y413" t="s">
        <v>2215</v>
      </c>
      <c r="AF413" t="s">
        <v>13</v>
      </c>
      <c r="AG413" t="str">
        <f>HYPERLINK("https://doi.org/10.1515/9780748631643?locatt=mode:legacy")</f>
        <v>https://doi.org/10.1515/9780748631643?locatt=mode:legacy</v>
      </c>
      <c r="AH413" t="str">
        <f>HYPERLINK("http://www.degruyter.com/isbn/9780748631643")</f>
        <v>http://www.degruyter.com/isbn/9780748631643</v>
      </c>
      <c r="AI413" t="s">
        <v>68</v>
      </c>
      <c r="AL413" t="s">
        <v>15</v>
      </c>
      <c r="AM413">
        <v>1</v>
      </c>
      <c r="AN413" s="2">
        <v>9780748627677</v>
      </c>
    </row>
    <row r="414" spans="1:40" x14ac:dyDescent="0.3">
      <c r="A414" t="s">
        <v>2216</v>
      </c>
      <c r="B414" t="s">
        <v>1</v>
      </c>
      <c r="C414" t="s">
        <v>2217</v>
      </c>
      <c r="D414" t="s">
        <v>2218</v>
      </c>
      <c r="E414" t="s">
        <v>2219</v>
      </c>
      <c r="F414" t="s">
        <v>5</v>
      </c>
      <c r="G414" t="s">
        <v>6</v>
      </c>
      <c r="L414" t="s">
        <v>7</v>
      </c>
      <c r="M414">
        <v>2013</v>
      </c>
      <c r="N414" s="1">
        <v>41533</v>
      </c>
      <c r="O414" t="s">
        <v>2220</v>
      </c>
      <c r="P414">
        <v>1</v>
      </c>
      <c r="S414">
        <v>217.95</v>
      </c>
      <c r="T414">
        <v>250</v>
      </c>
      <c r="U414">
        <v>190</v>
      </c>
      <c r="V414" t="s">
        <v>42</v>
      </c>
      <c r="W414" t="s">
        <v>290</v>
      </c>
      <c r="X414" t="s">
        <v>290</v>
      </c>
      <c r="Y414" t="s">
        <v>291</v>
      </c>
      <c r="AF414" t="s">
        <v>13</v>
      </c>
      <c r="AG414" t="str">
        <f>HYPERLINK("https://doi.org/10.1515/9780748637881?locatt=mode:legacy")</f>
        <v>https://doi.org/10.1515/9780748637881?locatt=mode:legacy</v>
      </c>
      <c r="AH414" t="str">
        <f>HYPERLINK("http://www.degruyter.com/isbn/9780748637881")</f>
        <v>http://www.degruyter.com/isbn/9780748637881</v>
      </c>
      <c r="AI414" t="s">
        <v>68</v>
      </c>
      <c r="AL414" t="s">
        <v>47</v>
      </c>
      <c r="AM414">
        <v>1</v>
      </c>
      <c r="AN414" s="2">
        <v>9780748637874</v>
      </c>
    </row>
    <row r="415" spans="1:40" x14ac:dyDescent="0.3">
      <c r="A415" t="s">
        <v>2221</v>
      </c>
      <c r="B415" t="s">
        <v>1</v>
      </c>
      <c r="C415" t="s">
        <v>2222</v>
      </c>
      <c r="D415" t="s">
        <v>2223</v>
      </c>
      <c r="E415" t="s">
        <v>2224</v>
      </c>
      <c r="F415" t="s">
        <v>5</v>
      </c>
      <c r="G415" t="s">
        <v>6</v>
      </c>
      <c r="L415" t="s">
        <v>7</v>
      </c>
      <c r="M415">
        <v>2014</v>
      </c>
      <c r="N415" s="1">
        <v>41973</v>
      </c>
      <c r="O415" t="s">
        <v>2225</v>
      </c>
      <c r="P415">
        <v>1</v>
      </c>
      <c r="S415">
        <v>217.95</v>
      </c>
      <c r="T415">
        <v>250</v>
      </c>
      <c r="U415">
        <v>190</v>
      </c>
      <c r="V415" t="s">
        <v>42</v>
      </c>
      <c r="W415" t="s">
        <v>107</v>
      </c>
      <c r="X415" t="s">
        <v>108</v>
      </c>
      <c r="Y415" t="s">
        <v>109</v>
      </c>
      <c r="AF415" t="s">
        <v>13</v>
      </c>
      <c r="AG415" t="str">
        <f>HYPERLINK("https://doi.org/10.1515/9780748693948")</f>
        <v>https://doi.org/10.1515/9780748693948</v>
      </c>
      <c r="AH415" t="str">
        <f>HYPERLINK("http://www.degruyter.com/isbn/9780748693948")</f>
        <v>http://www.degruyter.com/isbn/9780748693948</v>
      </c>
      <c r="AI415" t="s">
        <v>34</v>
      </c>
      <c r="AL415" t="s">
        <v>47</v>
      </c>
      <c r="AM415">
        <v>1</v>
      </c>
      <c r="AN415" s="2">
        <v>9780748693931</v>
      </c>
    </row>
    <row r="416" spans="1:40" x14ac:dyDescent="0.3">
      <c r="A416" t="s">
        <v>2226</v>
      </c>
      <c r="B416" t="s">
        <v>1</v>
      </c>
      <c r="C416" t="s">
        <v>2227</v>
      </c>
      <c r="E416" t="s">
        <v>2228</v>
      </c>
      <c r="F416" t="s">
        <v>5</v>
      </c>
      <c r="G416" t="s">
        <v>6</v>
      </c>
      <c r="L416" t="s">
        <v>7</v>
      </c>
      <c r="M416">
        <v>2015</v>
      </c>
      <c r="N416" s="1">
        <v>42141</v>
      </c>
      <c r="O416" t="s">
        <v>2229</v>
      </c>
      <c r="P416">
        <v>1</v>
      </c>
      <c r="S416">
        <v>217.95</v>
      </c>
      <c r="T416">
        <v>250</v>
      </c>
      <c r="U416">
        <v>190</v>
      </c>
      <c r="V416" t="s">
        <v>42</v>
      </c>
      <c r="W416" t="s">
        <v>116</v>
      </c>
      <c r="X416" t="s">
        <v>116</v>
      </c>
      <c r="Y416" t="s">
        <v>117</v>
      </c>
      <c r="AF416" t="s">
        <v>13</v>
      </c>
      <c r="AG416" t="str">
        <f>HYPERLINK("https://doi.org/10.1515/9780748693269")</f>
        <v>https://doi.org/10.1515/9780748693269</v>
      </c>
      <c r="AH416" t="str">
        <f>HYPERLINK("http://www.degruyter.com/isbn/9780748693269")</f>
        <v>http://www.degruyter.com/isbn/9780748693269</v>
      </c>
      <c r="AI416" t="s">
        <v>34</v>
      </c>
      <c r="AL416" t="s">
        <v>47</v>
      </c>
      <c r="AM416">
        <v>1</v>
      </c>
      <c r="AN416" s="2">
        <v>9780748693252</v>
      </c>
    </row>
    <row r="417" spans="1:40" x14ac:dyDescent="0.3">
      <c r="A417" t="s">
        <v>2230</v>
      </c>
      <c r="B417" t="s">
        <v>1</v>
      </c>
      <c r="C417" t="s">
        <v>2231</v>
      </c>
      <c r="E417" t="s">
        <v>2232</v>
      </c>
      <c r="F417" t="s">
        <v>5</v>
      </c>
      <c r="G417" t="s">
        <v>6</v>
      </c>
      <c r="L417" t="s">
        <v>7</v>
      </c>
      <c r="M417">
        <v>2007</v>
      </c>
      <c r="N417" s="1">
        <v>39114</v>
      </c>
      <c r="O417" t="s">
        <v>2233</v>
      </c>
      <c r="P417">
        <v>1</v>
      </c>
      <c r="S417">
        <v>279.95</v>
      </c>
      <c r="T417">
        <v>320</v>
      </c>
      <c r="U417">
        <v>240</v>
      </c>
      <c r="V417" t="s">
        <v>9</v>
      </c>
      <c r="W417" t="s">
        <v>10</v>
      </c>
      <c r="X417" t="s">
        <v>11</v>
      </c>
      <c r="Y417" t="s">
        <v>12</v>
      </c>
      <c r="AF417" t="s">
        <v>13</v>
      </c>
      <c r="AG417" t="str">
        <f>HYPERLINK("https://doi.org/10.1515/9780748629947?locatt=mode:legacy")</f>
        <v>https://doi.org/10.1515/9780748629947?locatt=mode:legacy</v>
      </c>
      <c r="AH417" t="str">
        <f>HYPERLINK("http://www.degruyter.com/isbn/9780748629947")</f>
        <v>http://www.degruyter.com/isbn/9780748629947</v>
      </c>
      <c r="AI417" t="s">
        <v>68</v>
      </c>
      <c r="AL417" t="s">
        <v>15</v>
      </c>
      <c r="AM417">
        <v>1</v>
      </c>
      <c r="AN417" s="2">
        <v>9780748623082</v>
      </c>
    </row>
    <row r="418" spans="1:40" x14ac:dyDescent="0.3">
      <c r="A418" t="s">
        <v>2234</v>
      </c>
      <c r="B418" t="s">
        <v>1</v>
      </c>
      <c r="C418" t="s">
        <v>2235</v>
      </c>
      <c r="D418" t="s">
        <v>2236</v>
      </c>
      <c r="E418" t="s">
        <v>2237</v>
      </c>
      <c r="F418" t="s">
        <v>5</v>
      </c>
      <c r="G418" t="s">
        <v>6</v>
      </c>
      <c r="L418" t="s">
        <v>7</v>
      </c>
      <c r="M418">
        <v>2020</v>
      </c>
      <c r="N418" s="1">
        <v>44644</v>
      </c>
      <c r="O418" t="s">
        <v>2238</v>
      </c>
      <c r="P418">
        <v>1</v>
      </c>
      <c r="S418">
        <v>227.95</v>
      </c>
      <c r="T418">
        <v>260</v>
      </c>
      <c r="U418">
        <v>200</v>
      </c>
      <c r="V418" t="s">
        <v>58</v>
      </c>
      <c r="W418" t="s">
        <v>59</v>
      </c>
      <c r="X418" t="s">
        <v>60</v>
      </c>
      <c r="Y418" t="s">
        <v>1171</v>
      </c>
      <c r="AF418" t="s">
        <v>13</v>
      </c>
      <c r="AG418" t="str">
        <f>HYPERLINK("https://doi.org/10.1515/9781474478083")</f>
        <v>https://doi.org/10.1515/9781474478083</v>
      </c>
      <c r="AH418" t="str">
        <f>HYPERLINK("http://www.degruyter.com/isbn/9781474478083")</f>
        <v>http://www.degruyter.com/isbn/9781474478083</v>
      </c>
      <c r="AI418" t="s">
        <v>14</v>
      </c>
      <c r="AL418" t="s">
        <v>62</v>
      </c>
      <c r="AM418">
        <v>1</v>
      </c>
      <c r="AN418" s="2">
        <v>9781474478069</v>
      </c>
    </row>
    <row r="419" spans="1:40" x14ac:dyDescent="0.3">
      <c r="A419" t="s">
        <v>2239</v>
      </c>
      <c r="B419" t="s">
        <v>1</v>
      </c>
      <c r="C419" t="s">
        <v>2240</v>
      </c>
      <c r="D419" t="s">
        <v>2241</v>
      </c>
      <c r="E419" t="s">
        <v>2242</v>
      </c>
      <c r="F419" t="s">
        <v>5</v>
      </c>
      <c r="G419" t="s">
        <v>6</v>
      </c>
      <c r="L419" t="s">
        <v>7</v>
      </c>
      <c r="M419">
        <v>2020</v>
      </c>
      <c r="N419" s="1">
        <v>44656</v>
      </c>
      <c r="O419" t="s">
        <v>2243</v>
      </c>
      <c r="P419">
        <v>1</v>
      </c>
      <c r="S419">
        <v>217.95</v>
      </c>
      <c r="T419">
        <v>250</v>
      </c>
      <c r="U419">
        <v>190</v>
      </c>
      <c r="V419" t="s">
        <v>42</v>
      </c>
      <c r="W419" t="s">
        <v>107</v>
      </c>
      <c r="X419" t="s">
        <v>108</v>
      </c>
      <c r="Y419" t="s">
        <v>2244</v>
      </c>
      <c r="AF419" t="s">
        <v>13</v>
      </c>
      <c r="AG419" t="str">
        <f>HYPERLINK("https://doi.org/10.1515/9781474448109")</f>
        <v>https://doi.org/10.1515/9781474448109</v>
      </c>
      <c r="AH419" t="str">
        <f>HYPERLINK("http://www.degruyter.com/isbn/9781474448109")</f>
        <v>http://www.degruyter.com/isbn/9781474448109</v>
      </c>
      <c r="AI419" t="s">
        <v>14</v>
      </c>
      <c r="AL419" t="s">
        <v>47</v>
      </c>
      <c r="AM419">
        <v>1</v>
      </c>
      <c r="AN419" s="2">
        <v>9781474448086</v>
      </c>
    </row>
    <row r="420" spans="1:40" x14ac:dyDescent="0.3">
      <c r="A420" t="s">
        <v>2245</v>
      </c>
      <c r="B420" t="s">
        <v>1</v>
      </c>
      <c r="C420" t="s">
        <v>2246</v>
      </c>
      <c r="D420" t="s">
        <v>2247</v>
      </c>
      <c r="E420" t="s">
        <v>2248</v>
      </c>
      <c r="F420" t="s">
        <v>5</v>
      </c>
      <c r="G420" t="s">
        <v>6</v>
      </c>
      <c r="L420" t="s">
        <v>7</v>
      </c>
      <c r="M420">
        <v>2013</v>
      </c>
      <c r="N420" s="1">
        <v>41408</v>
      </c>
      <c r="O420" t="s">
        <v>2249</v>
      </c>
      <c r="P420">
        <v>1</v>
      </c>
      <c r="S420">
        <v>217.95</v>
      </c>
      <c r="T420">
        <v>250</v>
      </c>
      <c r="U420">
        <v>190</v>
      </c>
      <c r="V420" t="s">
        <v>42</v>
      </c>
      <c r="W420" t="s">
        <v>43</v>
      </c>
      <c r="X420" t="s">
        <v>44</v>
      </c>
      <c r="Y420" t="s">
        <v>45</v>
      </c>
      <c r="AF420" t="s">
        <v>13</v>
      </c>
      <c r="AG420" t="str">
        <f>HYPERLINK("https://doi.org/10.1515/9780748677856?locatt=mode:legacy")</f>
        <v>https://doi.org/10.1515/9780748677856?locatt=mode:legacy</v>
      </c>
      <c r="AH420" t="str">
        <f>HYPERLINK("http://www.degruyter.com/isbn/9780748677856")</f>
        <v>http://www.degruyter.com/isbn/9780748677856</v>
      </c>
      <c r="AI420" t="s">
        <v>68</v>
      </c>
      <c r="AL420" t="s">
        <v>47</v>
      </c>
      <c r="AM420">
        <v>1</v>
      </c>
      <c r="AN420" s="2">
        <v>9780748642908</v>
      </c>
    </row>
    <row r="421" spans="1:40" x14ac:dyDescent="0.3">
      <c r="A421" t="s">
        <v>2250</v>
      </c>
      <c r="B421" t="s">
        <v>1</v>
      </c>
      <c r="C421" t="s">
        <v>2251</v>
      </c>
      <c r="D421" t="s">
        <v>2252</v>
      </c>
      <c r="E421" t="s">
        <v>2253</v>
      </c>
      <c r="F421" t="s">
        <v>5</v>
      </c>
      <c r="G421" t="s">
        <v>6</v>
      </c>
      <c r="L421" t="s">
        <v>7</v>
      </c>
      <c r="M421">
        <v>2019</v>
      </c>
      <c r="N421" s="1">
        <v>44656</v>
      </c>
      <c r="O421" t="s">
        <v>2254</v>
      </c>
      <c r="P421">
        <v>1</v>
      </c>
      <c r="S421">
        <v>217.95</v>
      </c>
      <c r="T421">
        <v>250</v>
      </c>
      <c r="U421">
        <v>190</v>
      </c>
      <c r="V421" t="s">
        <v>42</v>
      </c>
      <c r="W421" t="s">
        <v>290</v>
      </c>
      <c r="X421" t="s">
        <v>290</v>
      </c>
      <c r="Y421" t="s">
        <v>515</v>
      </c>
      <c r="AF421" t="s">
        <v>13</v>
      </c>
      <c r="AG421" t="str">
        <f>HYPERLINK("https://doi.org/10.1515/9781474458665?locatt=mode:legacy")</f>
        <v>https://doi.org/10.1515/9781474458665?locatt=mode:legacy</v>
      </c>
      <c r="AH421" t="str">
        <f>HYPERLINK("http://www.degruyter.com/isbn/9781474458665")</f>
        <v>http://www.degruyter.com/isbn/9781474458665</v>
      </c>
      <c r="AI421" t="s">
        <v>280</v>
      </c>
      <c r="AL421" t="s">
        <v>47</v>
      </c>
      <c r="AM421">
        <v>1</v>
      </c>
      <c r="AN421" s="2">
        <v>9781474458641</v>
      </c>
    </row>
    <row r="422" spans="1:40" x14ac:dyDescent="0.3">
      <c r="A422" t="s">
        <v>2255</v>
      </c>
      <c r="B422" t="s">
        <v>1</v>
      </c>
      <c r="C422" t="s">
        <v>2256</v>
      </c>
      <c r="D422" t="s">
        <v>2257</v>
      </c>
      <c r="E422" t="s">
        <v>2258</v>
      </c>
      <c r="F422" t="s">
        <v>5</v>
      </c>
      <c r="G422" t="s">
        <v>6</v>
      </c>
      <c r="L422" t="s">
        <v>7</v>
      </c>
      <c r="M422">
        <v>2010</v>
      </c>
      <c r="N422" s="1">
        <v>40237</v>
      </c>
      <c r="O422" t="s">
        <v>2259</v>
      </c>
      <c r="P422">
        <v>1</v>
      </c>
      <c r="S422">
        <v>217.95</v>
      </c>
      <c r="T422">
        <v>250</v>
      </c>
      <c r="U422">
        <v>190</v>
      </c>
      <c r="V422" t="s">
        <v>58</v>
      </c>
      <c r="W422" t="s">
        <v>129</v>
      </c>
      <c r="X422" t="s">
        <v>130</v>
      </c>
      <c r="Y422" t="s">
        <v>546</v>
      </c>
      <c r="AF422" t="s">
        <v>13</v>
      </c>
      <c r="AG422" t="str">
        <f>HYPERLINK("https://doi.org/10.1515/9780748641673")</f>
        <v>https://doi.org/10.1515/9780748641673</v>
      </c>
      <c r="AH422" t="str">
        <f>HYPERLINK("http://www.degruyter.com/isbn/9780748641673")</f>
        <v>http://www.degruyter.com/isbn/9780748641673</v>
      </c>
      <c r="AI422" t="s">
        <v>68</v>
      </c>
      <c r="AL422" t="s">
        <v>62</v>
      </c>
      <c r="AM422">
        <v>1</v>
      </c>
      <c r="AN422" s="2">
        <v>9780748640157</v>
      </c>
    </row>
    <row r="423" spans="1:40" x14ac:dyDescent="0.3">
      <c r="A423" t="s">
        <v>2260</v>
      </c>
      <c r="B423" t="s">
        <v>1</v>
      </c>
      <c r="C423" t="s">
        <v>2261</v>
      </c>
      <c r="D423" t="s">
        <v>2262</v>
      </c>
      <c r="E423" t="s">
        <v>2263</v>
      </c>
      <c r="F423" t="s">
        <v>5</v>
      </c>
      <c r="G423" t="s">
        <v>6</v>
      </c>
      <c r="L423" t="s">
        <v>7</v>
      </c>
      <c r="M423">
        <v>2019</v>
      </c>
      <c r="N423" s="1">
        <v>44656</v>
      </c>
      <c r="O423" t="s">
        <v>2264</v>
      </c>
      <c r="P423">
        <v>1</v>
      </c>
      <c r="S423">
        <v>217.95</v>
      </c>
      <c r="T423">
        <v>250</v>
      </c>
      <c r="U423">
        <v>190</v>
      </c>
      <c r="V423" t="s">
        <v>42</v>
      </c>
      <c r="W423" t="s">
        <v>107</v>
      </c>
      <c r="X423" t="s">
        <v>108</v>
      </c>
      <c r="Y423" t="s">
        <v>952</v>
      </c>
      <c r="AF423" t="s">
        <v>13</v>
      </c>
      <c r="AG423" t="str">
        <f>HYPERLINK("https://doi.org/10.1515/9781474418157")</f>
        <v>https://doi.org/10.1515/9781474418157</v>
      </c>
      <c r="AH423" t="str">
        <f>HYPERLINK("http://www.degruyter.com/isbn/9781474418157")</f>
        <v>http://www.degruyter.com/isbn/9781474418157</v>
      </c>
      <c r="AI423" t="s">
        <v>280</v>
      </c>
      <c r="AL423" t="s">
        <v>47</v>
      </c>
      <c r="AM423">
        <v>1</v>
      </c>
      <c r="AN423" s="2">
        <v>9781474418133</v>
      </c>
    </row>
    <row r="424" spans="1:40" x14ac:dyDescent="0.3">
      <c r="A424" t="s">
        <v>2265</v>
      </c>
      <c r="B424" t="s">
        <v>1</v>
      </c>
      <c r="C424" t="s">
        <v>2266</v>
      </c>
      <c r="E424" t="s">
        <v>2267</v>
      </c>
      <c r="F424" t="s">
        <v>5</v>
      </c>
      <c r="G424" t="s">
        <v>6</v>
      </c>
      <c r="K424" t="s">
        <v>929</v>
      </c>
      <c r="L424" t="s">
        <v>7</v>
      </c>
      <c r="M424">
        <v>2018</v>
      </c>
      <c r="N424" s="1">
        <v>43115</v>
      </c>
      <c r="O424" t="s">
        <v>168</v>
      </c>
      <c r="P424">
        <v>1</v>
      </c>
      <c r="V424" t="s">
        <v>58</v>
      </c>
      <c r="W424" t="s">
        <v>59</v>
      </c>
      <c r="X424" t="s">
        <v>60</v>
      </c>
      <c r="Y424" t="s">
        <v>169</v>
      </c>
      <c r="AF424" t="s">
        <v>13</v>
      </c>
      <c r="AG424" t="str">
        <f>HYPERLINK("https://doi.org/10.1515/9781474401159?locatt=mode:legacy")</f>
        <v>https://doi.org/10.1515/9781474401159?locatt=mode:legacy</v>
      </c>
      <c r="AH424" t="str">
        <f>HYPERLINK("http://www.degruyter.com/isbn/9781474401159")</f>
        <v>http://www.degruyter.com/isbn/9781474401159</v>
      </c>
      <c r="AI424" t="s">
        <v>46</v>
      </c>
      <c r="AM424">
        <v>1</v>
      </c>
      <c r="AN424" s="2"/>
    </row>
    <row r="425" spans="1:40" x14ac:dyDescent="0.3">
      <c r="A425" t="s">
        <v>2268</v>
      </c>
      <c r="B425" t="s">
        <v>1</v>
      </c>
      <c r="C425" t="s">
        <v>2269</v>
      </c>
      <c r="D425" t="s">
        <v>2270</v>
      </c>
      <c r="E425" t="s">
        <v>2271</v>
      </c>
      <c r="F425" t="s">
        <v>5</v>
      </c>
      <c r="G425" t="s">
        <v>6</v>
      </c>
      <c r="L425" t="s">
        <v>7</v>
      </c>
      <c r="M425">
        <v>2020</v>
      </c>
      <c r="N425" s="1">
        <v>44656</v>
      </c>
      <c r="O425" t="s">
        <v>2272</v>
      </c>
      <c r="P425">
        <v>1</v>
      </c>
      <c r="S425">
        <v>487.95</v>
      </c>
      <c r="T425">
        <v>560</v>
      </c>
      <c r="U425">
        <v>430</v>
      </c>
      <c r="V425" t="s">
        <v>847</v>
      </c>
      <c r="W425" t="s">
        <v>848</v>
      </c>
      <c r="X425" t="s">
        <v>20</v>
      </c>
      <c r="Y425" t="s">
        <v>2273</v>
      </c>
      <c r="AF425" t="s">
        <v>13</v>
      </c>
      <c r="AG425" t="str">
        <f>HYPERLINK("https://doi.org/10.1515/9781474460750")</f>
        <v>https://doi.org/10.1515/9781474460750</v>
      </c>
      <c r="AH425" t="str">
        <f>HYPERLINK("http://www.degruyter.com/isbn/9781474460750")</f>
        <v>http://www.degruyter.com/isbn/9781474460750</v>
      </c>
      <c r="AI425" t="s">
        <v>14</v>
      </c>
      <c r="AL425" t="s">
        <v>1070</v>
      </c>
      <c r="AM425">
        <v>1</v>
      </c>
      <c r="AN425" s="2">
        <v>9781474460729</v>
      </c>
    </row>
    <row r="426" spans="1:40" x14ac:dyDescent="0.3">
      <c r="A426" t="s">
        <v>2274</v>
      </c>
      <c r="B426" t="s">
        <v>1</v>
      </c>
      <c r="C426" t="s">
        <v>2275</v>
      </c>
      <c r="D426" t="s">
        <v>2276</v>
      </c>
      <c r="E426" t="s">
        <v>2277</v>
      </c>
      <c r="F426" t="s">
        <v>5</v>
      </c>
      <c r="G426" t="s">
        <v>6</v>
      </c>
      <c r="L426" t="s">
        <v>7</v>
      </c>
      <c r="M426">
        <v>2016</v>
      </c>
      <c r="N426" s="1">
        <v>42640</v>
      </c>
      <c r="O426" t="s">
        <v>2278</v>
      </c>
      <c r="P426">
        <v>1</v>
      </c>
      <c r="S426">
        <v>217.95</v>
      </c>
      <c r="T426">
        <v>250</v>
      </c>
      <c r="U426">
        <v>190</v>
      </c>
      <c r="V426" t="s">
        <v>9</v>
      </c>
      <c r="W426" t="s">
        <v>10</v>
      </c>
      <c r="X426" t="s">
        <v>11</v>
      </c>
      <c r="Y426" t="s">
        <v>12</v>
      </c>
      <c r="AF426" t="s">
        <v>13</v>
      </c>
      <c r="AG426" t="str">
        <f>HYPERLINK("https://doi.org/10.1515/9781474407694")</f>
        <v>https://doi.org/10.1515/9781474407694</v>
      </c>
      <c r="AH426" t="str">
        <f>HYPERLINK("http://www.degruyter.com/isbn/9781474407694")</f>
        <v>http://www.degruyter.com/isbn/9781474407694</v>
      </c>
      <c r="AI426" t="s">
        <v>180</v>
      </c>
      <c r="AL426" t="s">
        <v>15</v>
      </c>
      <c r="AM426">
        <v>1</v>
      </c>
      <c r="AN426" s="2">
        <v>9781474407670</v>
      </c>
    </row>
    <row r="427" spans="1:40" x14ac:dyDescent="0.3">
      <c r="A427" t="s">
        <v>2279</v>
      </c>
      <c r="B427" t="s">
        <v>1</v>
      </c>
      <c r="C427" t="s">
        <v>2280</v>
      </c>
      <c r="E427" t="s">
        <v>2281</v>
      </c>
      <c r="F427" t="s">
        <v>5</v>
      </c>
      <c r="G427" t="s">
        <v>6</v>
      </c>
      <c r="L427" t="s">
        <v>7</v>
      </c>
      <c r="M427">
        <v>2009</v>
      </c>
      <c r="N427" s="1">
        <v>39832</v>
      </c>
      <c r="O427" t="s">
        <v>2282</v>
      </c>
      <c r="P427">
        <v>1</v>
      </c>
      <c r="S427">
        <v>217.95</v>
      </c>
      <c r="T427">
        <v>250</v>
      </c>
      <c r="U427">
        <v>190</v>
      </c>
      <c r="V427" t="s">
        <v>98</v>
      </c>
      <c r="W427" t="s">
        <v>2283</v>
      </c>
      <c r="X427" t="s">
        <v>2284</v>
      </c>
      <c r="Y427" t="s">
        <v>2285</v>
      </c>
      <c r="AF427" t="s">
        <v>13</v>
      </c>
      <c r="AG427" t="str">
        <f>HYPERLINK("https://doi.org/10.1515/9780748631421")</f>
        <v>https://doi.org/10.1515/9780748631421</v>
      </c>
      <c r="AH427" t="str">
        <f>HYPERLINK("http://www.degruyter.com/isbn/9780748631421")</f>
        <v>http://www.degruyter.com/isbn/9780748631421</v>
      </c>
      <c r="AI427" t="s">
        <v>68</v>
      </c>
      <c r="AL427" t="s">
        <v>102</v>
      </c>
      <c r="AM427">
        <v>1</v>
      </c>
      <c r="AN427" s="2">
        <v>9780748626182</v>
      </c>
    </row>
    <row r="428" spans="1:40" x14ac:dyDescent="0.3">
      <c r="A428" t="s">
        <v>2286</v>
      </c>
      <c r="B428" t="s">
        <v>1</v>
      </c>
      <c r="C428" t="s">
        <v>2287</v>
      </c>
      <c r="D428" t="s">
        <v>2288</v>
      </c>
      <c r="E428" t="s">
        <v>2289</v>
      </c>
      <c r="F428" t="s">
        <v>5</v>
      </c>
      <c r="G428" t="s">
        <v>6</v>
      </c>
      <c r="L428" t="s">
        <v>7</v>
      </c>
      <c r="M428">
        <v>2016</v>
      </c>
      <c r="N428" s="1">
        <v>42550</v>
      </c>
      <c r="O428" t="s">
        <v>2290</v>
      </c>
      <c r="P428">
        <v>1</v>
      </c>
      <c r="S428">
        <v>217.95</v>
      </c>
      <c r="T428">
        <v>250</v>
      </c>
      <c r="U428">
        <v>190</v>
      </c>
      <c r="V428" t="s">
        <v>42</v>
      </c>
      <c r="W428" t="s">
        <v>116</v>
      </c>
      <c r="X428" t="s">
        <v>116</v>
      </c>
      <c r="Y428" t="s">
        <v>117</v>
      </c>
      <c r="AF428" t="s">
        <v>13</v>
      </c>
      <c r="AG428" t="str">
        <f>HYPERLINK("https://doi.org/10.1515/9781474414357")</f>
        <v>https://doi.org/10.1515/9781474414357</v>
      </c>
      <c r="AH428" t="str">
        <f>HYPERLINK("http://www.degruyter.com/isbn/9781474414357")</f>
        <v>http://www.degruyter.com/isbn/9781474414357</v>
      </c>
      <c r="AI428" t="s">
        <v>180</v>
      </c>
      <c r="AL428" t="s">
        <v>47</v>
      </c>
      <c r="AM428">
        <v>1</v>
      </c>
      <c r="AN428" s="2">
        <v>9781474414340</v>
      </c>
    </row>
    <row r="429" spans="1:40" x14ac:dyDescent="0.3">
      <c r="A429" t="s">
        <v>2291</v>
      </c>
      <c r="B429" t="s">
        <v>1</v>
      </c>
      <c r="C429" t="s">
        <v>2292</v>
      </c>
      <c r="E429" t="s">
        <v>2293</v>
      </c>
      <c r="F429" t="s">
        <v>5</v>
      </c>
      <c r="G429" t="s">
        <v>6</v>
      </c>
      <c r="L429" t="s">
        <v>7</v>
      </c>
      <c r="M429">
        <v>2014</v>
      </c>
      <c r="N429" s="1">
        <v>41682</v>
      </c>
      <c r="O429" t="s">
        <v>2294</v>
      </c>
      <c r="P429">
        <v>1</v>
      </c>
      <c r="S429">
        <v>253.95</v>
      </c>
      <c r="T429">
        <v>290</v>
      </c>
      <c r="U429">
        <v>220</v>
      </c>
      <c r="V429" t="s">
        <v>79</v>
      </c>
      <c r="W429" t="s">
        <v>209</v>
      </c>
      <c r="X429" t="s">
        <v>209</v>
      </c>
      <c r="Y429" t="s">
        <v>510</v>
      </c>
      <c r="AF429" t="s">
        <v>13</v>
      </c>
      <c r="AG429" t="str">
        <f>HYPERLINK("https://doi.org/10.1515/9780748682065")</f>
        <v>https://doi.org/10.1515/9780748682065</v>
      </c>
      <c r="AH429" t="str">
        <f>HYPERLINK("http://www.degruyter.com/isbn/9780748682065")</f>
        <v>http://www.degruyter.com/isbn/9780748682065</v>
      </c>
      <c r="AI429" t="s">
        <v>34</v>
      </c>
      <c r="AL429" t="s">
        <v>83</v>
      </c>
      <c r="AM429">
        <v>1</v>
      </c>
      <c r="AN429" s="2">
        <v>9780748682058</v>
      </c>
    </row>
    <row r="430" spans="1:40" x14ac:dyDescent="0.3">
      <c r="A430" t="s">
        <v>2295</v>
      </c>
      <c r="B430" t="s">
        <v>1</v>
      </c>
      <c r="C430" t="s">
        <v>2296</v>
      </c>
      <c r="D430" t="s">
        <v>2297</v>
      </c>
      <c r="E430" t="s">
        <v>2298</v>
      </c>
      <c r="F430" t="s">
        <v>5</v>
      </c>
      <c r="G430" t="s">
        <v>6</v>
      </c>
      <c r="L430" t="s">
        <v>7</v>
      </c>
      <c r="M430">
        <v>2021</v>
      </c>
      <c r="N430" s="1">
        <v>44656</v>
      </c>
      <c r="O430" t="s">
        <v>2299</v>
      </c>
      <c r="P430">
        <v>1</v>
      </c>
      <c r="S430">
        <v>217.95</v>
      </c>
      <c r="T430">
        <v>250</v>
      </c>
      <c r="U430">
        <v>190</v>
      </c>
      <c r="V430" t="s">
        <v>42</v>
      </c>
      <c r="W430" t="s">
        <v>290</v>
      </c>
      <c r="X430" t="s">
        <v>290</v>
      </c>
      <c r="Y430" t="s">
        <v>515</v>
      </c>
      <c r="AF430" t="s">
        <v>13</v>
      </c>
      <c r="AG430" t="str">
        <f>HYPERLINK("https://doi.org/10.1515/9781474475983")</f>
        <v>https://doi.org/10.1515/9781474475983</v>
      </c>
      <c r="AH430" t="str">
        <f>HYPERLINK("http://www.degruyter.com/isbn/9781474475983")</f>
        <v>http://www.degruyter.com/isbn/9781474475983</v>
      </c>
      <c r="AI430" t="s">
        <v>110</v>
      </c>
      <c r="AL430" t="s">
        <v>47</v>
      </c>
      <c r="AM430">
        <v>1</v>
      </c>
      <c r="AN430" s="2">
        <v>9781474475969</v>
      </c>
    </row>
    <row r="431" spans="1:40" x14ac:dyDescent="0.3">
      <c r="A431" t="s">
        <v>2300</v>
      </c>
      <c r="B431" t="s">
        <v>1</v>
      </c>
      <c r="C431" t="s">
        <v>2301</v>
      </c>
      <c r="D431" t="s">
        <v>2302</v>
      </c>
      <c r="E431" t="s">
        <v>2303</v>
      </c>
      <c r="F431" t="s">
        <v>5</v>
      </c>
      <c r="G431" t="s">
        <v>6</v>
      </c>
      <c r="L431" t="s">
        <v>7</v>
      </c>
      <c r="M431">
        <v>2013</v>
      </c>
      <c r="N431" s="1">
        <v>41557</v>
      </c>
      <c r="O431" t="s">
        <v>2304</v>
      </c>
      <c r="P431">
        <v>1</v>
      </c>
      <c r="S431">
        <v>191.95</v>
      </c>
      <c r="T431">
        <v>220</v>
      </c>
      <c r="U431">
        <v>170</v>
      </c>
      <c r="V431" t="s">
        <v>42</v>
      </c>
      <c r="W431" t="s">
        <v>161</v>
      </c>
      <c r="X431" t="s">
        <v>162</v>
      </c>
      <c r="Y431" t="s">
        <v>2305</v>
      </c>
      <c r="AF431" t="s">
        <v>13</v>
      </c>
      <c r="AG431" t="str">
        <f>HYPERLINK("https://doi.org/10.1515/9780748668731")</f>
        <v>https://doi.org/10.1515/9780748668731</v>
      </c>
      <c r="AH431" t="str">
        <f>HYPERLINK("http://www.degruyter.com/isbn/9780748668731")</f>
        <v>http://www.degruyter.com/isbn/9780748668731</v>
      </c>
      <c r="AI431" t="s">
        <v>68</v>
      </c>
      <c r="AL431" t="s">
        <v>47</v>
      </c>
      <c r="AM431">
        <v>1</v>
      </c>
      <c r="AN431" s="2">
        <v>9780748668717</v>
      </c>
    </row>
    <row r="432" spans="1:40" x14ac:dyDescent="0.3">
      <c r="A432" t="s">
        <v>2306</v>
      </c>
      <c r="B432" t="s">
        <v>1</v>
      </c>
      <c r="C432" t="s">
        <v>2307</v>
      </c>
      <c r="D432" t="s">
        <v>2308</v>
      </c>
      <c r="E432" t="s">
        <v>2309</v>
      </c>
      <c r="F432" t="s">
        <v>5</v>
      </c>
      <c r="G432" t="s">
        <v>6</v>
      </c>
      <c r="L432" t="s">
        <v>7</v>
      </c>
      <c r="M432">
        <v>2013</v>
      </c>
      <c r="N432" s="1">
        <v>44634</v>
      </c>
      <c r="O432" t="s">
        <v>2310</v>
      </c>
      <c r="P432">
        <v>1</v>
      </c>
      <c r="S432">
        <v>217.95</v>
      </c>
      <c r="T432">
        <v>250</v>
      </c>
      <c r="U432">
        <v>190</v>
      </c>
      <c r="V432" t="s">
        <v>20</v>
      </c>
      <c r="W432" t="s">
        <v>21</v>
      </c>
      <c r="X432" t="s">
        <v>575</v>
      </c>
      <c r="Y432" t="s">
        <v>576</v>
      </c>
      <c r="AF432" t="s">
        <v>13</v>
      </c>
      <c r="AG432" t="str">
        <f>HYPERLINK("https://doi.org/10.1515/9781474463966")</f>
        <v>https://doi.org/10.1515/9781474463966</v>
      </c>
      <c r="AH432" t="str">
        <f>HYPERLINK("http://www.degruyter.com/isbn/9781474463966")</f>
        <v>http://www.degruyter.com/isbn/9781474463966</v>
      </c>
      <c r="AI432" t="s">
        <v>68</v>
      </c>
      <c r="AL432" t="s">
        <v>15</v>
      </c>
      <c r="AM432">
        <v>1</v>
      </c>
      <c r="AN432" s="2">
        <v>9781845861599</v>
      </c>
    </row>
    <row r="433" spans="1:40" x14ac:dyDescent="0.3">
      <c r="A433" t="s">
        <v>2311</v>
      </c>
      <c r="B433" t="s">
        <v>1</v>
      </c>
      <c r="C433" t="s">
        <v>2312</v>
      </c>
      <c r="D433" t="s">
        <v>2313</v>
      </c>
      <c r="E433" t="s">
        <v>2314</v>
      </c>
      <c r="F433" t="s">
        <v>5</v>
      </c>
      <c r="G433" t="s">
        <v>6</v>
      </c>
      <c r="K433" t="s">
        <v>929</v>
      </c>
      <c r="L433" t="s">
        <v>7</v>
      </c>
      <c r="M433">
        <v>2016</v>
      </c>
      <c r="N433" s="1">
        <v>42490</v>
      </c>
      <c r="O433" t="s">
        <v>2315</v>
      </c>
      <c r="P433">
        <v>1</v>
      </c>
      <c r="V433" t="s">
        <v>9</v>
      </c>
      <c r="W433" t="s">
        <v>10</v>
      </c>
      <c r="X433" t="s">
        <v>11</v>
      </c>
      <c r="Y433" t="s">
        <v>45</v>
      </c>
      <c r="AF433" t="s">
        <v>13</v>
      </c>
      <c r="AG433" t="str">
        <f>HYPERLINK("https://doi.org/10.1515/9781474406871?locatt=mode:legacy")</f>
        <v>https://doi.org/10.1515/9781474406871?locatt=mode:legacy</v>
      </c>
      <c r="AH433" t="str">
        <f>HYPERLINK("http://www.degruyter.com/isbn/9781474406871")</f>
        <v>http://www.degruyter.com/isbn/9781474406871</v>
      </c>
      <c r="AI433" t="s">
        <v>180</v>
      </c>
      <c r="AM433">
        <v>1</v>
      </c>
      <c r="AN433" s="2"/>
    </row>
    <row r="434" spans="1:40" x14ac:dyDescent="0.3">
      <c r="A434" t="s">
        <v>2316</v>
      </c>
      <c r="B434" t="s">
        <v>1</v>
      </c>
      <c r="C434" t="s">
        <v>2317</v>
      </c>
      <c r="E434" t="s">
        <v>2318</v>
      </c>
      <c r="F434" t="s">
        <v>5</v>
      </c>
      <c r="G434" t="s">
        <v>6</v>
      </c>
      <c r="L434" t="s">
        <v>7</v>
      </c>
      <c r="M434">
        <v>2004</v>
      </c>
      <c r="N434" s="1">
        <v>38034</v>
      </c>
      <c r="O434" t="s">
        <v>2319</v>
      </c>
      <c r="P434">
        <v>1</v>
      </c>
      <c r="S434">
        <v>295.95</v>
      </c>
      <c r="T434">
        <v>340</v>
      </c>
      <c r="U434">
        <v>260</v>
      </c>
      <c r="V434" t="s">
        <v>30</v>
      </c>
      <c r="W434" t="s">
        <v>2320</v>
      </c>
      <c r="X434" t="s">
        <v>2320</v>
      </c>
      <c r="Y434" t="s">
        <v>2321</v>
      </c>
      <c r="AF434" t="s">
        <v>13</v>
      </c>
      <c r="AG434" t="str">
        <f>HYPERLINK("https://doi.org/10.1515/9781474469081?locatt=mode:legacy")</f>
        <v>https://doi.org/10.1515/9781474469081?locatt=mode:legacy</v>
      </c>
      <c r="AH434" t="str">
        <f>HYPERLINK("http://www.degruyter.com/isbn/9781474469081")</f>
        <v>http://www.degruyter.com/isbn/9781474469081</v>
      </c>
      <c r="AI434" t="s">
        <v>68</v>
      </c>
      <c r="AL434" t="s">
        <v>272</v>
      </c>
      <c r="AM434">
        <v>1</v>
      </c>
      <c r="AN434" s="2">
        <v>9780748618361</v>
      </c>
    </row>
    <row r="435" spans="1:40" x14ac:dyDescent="0.3">
      <c r="A435" t="s">
        <v>2322</v>
      </c>
      <c r="B435" t="s">
        <v>1</v>
      </c>
      <c r="C435" t="s">
        <v>2323</v>
      </c>
      <c r="D435" t="s">
        <v>2324</v>
      </c>
      <c r="E435" t="s">
        <v>2325</v>
      </c>
      <c r="F435" t="s">
        <v>5</v>
      </c>
      <c r="G435" t="s">
        <v>6</v>
      </c>
      <c r="L435" t="s">
        <v>7</v>
      </c>
      <c r="M435">
        <v>2012</v>
      </c>
      <c r="N435" s="1">
        <v>44592</v>
      </c>
      <c r="O435" t="s">
        <v>2326</v>
      </c>
      <c r="P435">
        <v>1</v>
      </c>
      <c r="S435">
        <v>217.95</v>
      </c>
      <c r="T435">
        <v>250</v>
      </c>
      <c r="U435">
        <v>190</v>
      </c>
      <c r="V435" t="s">
        <v>305</v>
      </c>
      <c r="W435" t="s">
        <v>306</v>
      </c>
      <c r="X435" t="s">
        <v>306</v>
      </c>
      <c r="Y435" t="s">
        <v>2057</v>
      </c>
      <c r="AF435" t="s">
        <v>13</v>
      </c>
      <c r="AG435" t="str">
        <f>HYPERLINK("https://doi.org/10.1515/9781474465847")</f>
        <v>https://doi.org/10.1515/9781474465847</v>
      </c>
      <c r="AH435" t="str">
        <f>HYPERLINK("http://www.degruyter.com/isbn/9781474465847")</f>
        <v>http://www.degruyter.com/isbn/9781474465847</v>
      </c>
      <c r="AI435" t="s">
        <v>68</v>
      </c>
      <c r="AL435" t="s">
        <v>308</v>
      </c>
      <c r="AM435">
        <v>1</v>
      </c>
      <c r="AN435" s="2">
        <v>9780748654833</v>
      </c>
    </row>
    <row r="436" spans="1:40" x14ac:dyDescent="0.3">
      <c r="A436" t="s">
        <v>2327</v>
      </c>
      <c r="B436" t="s">
        <v>1</v>
      </c>
      <c r="C436" t="s">
        <v>2328</v>
      </c>
      <c r="D436" t="s">
        <v>2329</v>
      </c>
      <c r="E436" t="s">
        <v>2330</v>
      </c>
      <c r="F436" t="s">
        <v>5</v>
      </c>
      <c r="G436" t="s">
        <v>6</v>
      </c>
      <c r="L436" t="s">
        <v>7</v>
      </c>
      <c r="M436">
        <v>2009</v>
      </c>
      <c r="N436" s="1">
        <v>40091</v>
      </c>
      <c r="O436" t="s">
        <v>2331</v>
      </c>
      <c r="P436">
        <v>1</v>
      </c>
      <c r="S436">
        <v>227.95</v>
      </c>
      <c r="T436">
        <v>260</v>
      </c>
      <c r="U436">
        <v>200</v>
      </c>
      <c r="V436" t="s">
        <v>42</v>
      </c>
      <c r="W436" t="s">
        <v>116</v>
      </c>
      <c r="X436" t="s">
        <v>116</v>
      </c>
      <c r="Y436" t="s">
        <v>117</v>
      </c>
      <c r="AF436" t="s">
        <v>13</v>
      </c>
      <c r="AG436" t="str">
        <f>HYPERLINK("https://doi.org/10.1515/9780748635108")</f>
        <v>https://doi.org/10.1515/9780748635108</v>
      </c>
      <c r="AH436" t="str">
        <f>HYPERLINK("http://www.degruyter.com/isbn/9780748635108")</f>
        <v>http://www.degruyter.com/isbn/9780748635108</v>
      </c>
      <c r="AI436" t="s">
        <v>68</v>
      </c>
      <c r="AL436" t="s">
        <v>47</v>
      </c>
      <c r="AM436">
        <v>1</v>
      </c>
      <c r="AN436" s="2">
        <v>9780748635092</v>
      </c>
    </row>
    <row r="437" spans="1:40" x14ac:dyDescent="0.3">
      <c r="A437" t="s">
        <v>2332</v>
      </c>
      <c r="B437" t="s">
        <v>1</v>
      </c>
      <c r="C437" t="s">
        <v>2333</v>
      </c>
      <c r="D437" t="s">
        <v>2334</v>
      </c>
      <c r="E437" t="s">
        <v>2335</v>
      </c>
      <c r="F437" t="s">
        <v>5</v>
      </c>
      <c r="G437" t="s">
        <v>6</v>
      </c>
      <c r="K437" t="s">
        <v>923</v>
      </c>
      <c r="L437" t="s">
        <v>7</v>
      </c>
      <c r="M437">
        <v>2021</v>
      </c>
      <c r="N437" s="1">
        <v>44267</v>
      </c>
      <c r="O437" t="s">
        <v>2336</v>
      </c>
      <c r="P437">
        <v>1</v>
      </c>
      <c r="V437" t="s">
        <v>268</v>
      </c>
      <c r="W437" t="s">
        <v>2337</v>
      </c>
      <c r="X437" t="s">
        <v>2337</v>
      </c>
      <c r="Y437" t="s">
        <v>2338</v>
      </c>
      <c r="AF437" t="s">
        <v>13</v>
      </c>
      <c r="AG437" t="str">
        <f>HYPERLINK("https://doi.org/10.1515/9781474482028")</f>
        <v>https://doi.org/10.1515/9781474482028</v>
      </c>
      <c r="AH437" t="str">
        <f>HYPERLINK("http://www.degruyter.com/isbn/9781474482028")</f>
        <v>http://www.degruyter.com/isbn/9781474482028</v>
      </c>
      <c r="AI437" t="s">
        <v>2339</v>
      </c>
      <c r="AM437">
        <v>1</v>
      </c>
      <c r="AN437" s="2"/>
    </row>
    <row r="438" spans="1:40" x14ac:dyDescent="0.3">
      <c r="A438" t="s">
        <v>2340</v>
      </c>
      <c r="B438" t="s">
        <v>1</v>
      </c>
      <c r="C438" t="s">
        <v>2341</v>
      </c>
      <c r="D438" t="s">
        <v>2342</v>
      </c>
      <c r="E438" t="s">
        <v>2343</v>
      </c>
      <c r="F438" t="s">
        <v>5</v>
      </c>
      <c r="G438" t="s">
        <v>6</v>
      </c>
      <c r="L438" t="s">
        <v>7</v>
      </c>
      <c r="M438">
        <v>2009</v>
      </c>
      <c r="N438" s="1">
        <v>39948</v>
      </c>
      <c r="O438" t="s">
        <v>2344</v>
      </c>
      <c r="P438">
        <v>1</v>
      </c>
      <c r="S438">
        <v>227.95</v>
      </c>
      <c r="T438">
        <v>260</v>
      </c>
      <c r="U438">
        <v>200</v>
      </c>
      <c r="V438" t="s">
        <v>20</v>
      </c>
      <c r="W438" t="s">
        <v>21</v>
      </c>
      <c r="X438" t="s">
        <v>22</v>
      </c>
      <c r="Y438" t="s">
        <v>23</v>
      </c>
      <c r="AF438" t="s">
        <v>13</v>
      </c>
      <c r="AG438" t="str">
        <f>HYPERLINK("https://doi.org/10.1515/9780748634750")</f>
        <v>https://doi.org/10.1515/9780748634750</v>
      </c>
      <c r="AH438" t="str">
        <f>HYPERLINK("http://www.degruyter.com/isbn/9780748634750")</f>
        <v>http://www.degruyter.com/isbn/9780748634750</v>
      </c>
      <c r="AI438" t="s">
        <v>68</v>
      </c>
      <c r="AL438" t="s">
        <v>15</v>
      </c>
      <c r="AM438">
        <v>1</v>
      </c>
      <c r="AN438" s="2">
        <v>9780748634743</v>
      </c>
    </row>
    <row r="439" spans="1:40" x14ac:dyDescent="0.3">
      <c r="A439" t="s">
        <v>2345</v>
      </c>
      <c r="B439" t="s">
        <v>1</v>
      </c>
      <c r="C439" t="s">
        <v>2346</v>
      </c>
      <c r="D439" t="s">
        <v>2347</v>
      </c>
      <c r="E439" t="s">
        <v>2348</v>
      </c>
      <c r="F439" t="s">
        <v>5</v>
      </c>
      <c r="G439" t="s">
        <v>6</v>
      </c>
      <c r="L439" t="s">
        <v>7</v>
      </c>
      <c r="M439">
        <v>2007</v>
      </c>
      <c r="N439" s="1">
        <v>39275</v>
      </c>
      <c r="O439" t="s">
        <v>2349</v>
      </c>
      <c r="P439">
        <v>1</v>
      </c>
      <c r="S439">
        <v>243.95</v>
      </c>
      <c r="T439">
        <v>280</v>
      </c>
      <c r="U439">
        <v>210</v>
      </c>
      <c r="V439" t="s">
        <v>58</v>
      </c>
      <c r="W439" t="s">
        <v>59</v>
      </c>
      <c r="X439" t="s">
        <v>60</v>
      </c>
      <c r="Y439" t="s">
        <v>145</v>
      </c>
      <c r="AF439" t="s">
        <v>13</v>
      </c>
      <c r="AG439" t="str">
        <f>HYPERLINK("https://doi.org/10.1515/9780748629565")</f>
        <v>https://doi.org/10.1515/9780748629565</v>
      </c>
      <c r="AH439" t="str">
        <f>HYPERLINK("http://www.degruyter.com/isbn/9780748629565")</f>
        <v>http://www.degruyter.com/isbn/9780748629565</v>
      </c>
      <c r="AI439" t="s">
        <v>68</v>
      </c>
      <c r="AL439" t="s">
        <v>62</v>
      </c>
      <c r="AM439">
        <v>1</v>
      </c>
      <c r="AN439" s="2">
        <v>9780748621750</v>
      </c>
    </row>
    <row r="440" spans="1:40" x14ac:dyDescent="0.3">
      <c r="A440" t="s">
        <v>2350</v>
      </c>
      <c r="B440" t="s">
        <v>1</v>
      </c>
      <c r="C440" t="s">
        <v>2351</v>
      </c>
      <c r="D440" t="s">
        <v>2352</v>
      </c>
      <c r="E440" t="s">
        <v>2353</v>
      </c>
      <c r="F440" t="s">
        <v>5</v>
      </c>
      <c r="G440" t="s">
        <v>6</v>
      </c>
      <c r="L440" t="s">
        <v>7</v>
      </c>
      <c r="M440">
        <v>1999</v>
      </c>
      <c r="N440" s="1">
        <v>44599</v>
      </c>
      <c r="O440" t="s">
        <v>2354</v>
      </c>
      <c r="P440">
        <v>1</v>
      </c>
      <c r="S440">
        <v>217.95</v>
      </c>
      <c r="T440">
        <v>250</v>
      </c>
      <c r="U440">
        <v>190</v>
      </c>
      <c r="V440" t="s">
        <v>79</v>
      </c>
      <c r="W440" t="s">
        <v>2355</v>
      </c>
      <c r="X440" t="s">
        <v>2355</v>
      </c>
      <c r="Y440" t="s">
        <v>2356</v>
      </c>
      <c r="AF440" t="s">
        <v>13</v>
      </c>
      <c r="AG440" t="str">
        <f>HYPERLINK("https://doi.org/10.1515/9781474469890")</f>
        <v>https://doi.org/10.1515/9781474469890</v>
      </c>
      <c r="AH440" t="str">
        <f>HYPERLINK("http://www.degruyter.com/isbn/9781474469890")</f>
        <v>http://www.degruyter.com/isbn/9781474469890</v>
      </c>
      <c r="AI440" t="s">
        <v>2357</v>
      </c>
      <c r="AL440" t="s">
        <v>83</v>
      </c>
      <c r="AM440">
        <v>1</v>
      </c>
      <c r="AN440" s="2">
        <v>9780748609543</v>
      </c>
    </row>
    <row r="441" spans="1:40" x14ac:dyDescent="0.3">
      <c r="A441" t="s">
        <v>2358</v>
      </c>
      <c r="B441" t="s">
        <v>1</v>
      </c>
      <c r="C441" t="s">
        <v>2359</v>
      </c>
      <c r="D441" t="s">
        <v>2360</v>
      </c>
      <c r="E441" t="s">
        <v>2361</v>
      </c>
      <c r="F441" t="s">
        <v>5</v>
      </c>
      <c r="G441" t="s">
        <v>6</v>
      </c>
      <c r="L441" t="s">
        <v>7</v>
      </c>
      <c r="M441">
        <v>2017</v>
      </c>
      <c r="N441" s="1">
        <v>42990</v>
      </c>
      <c r="O441" t="s">
        <v>2362</v>
      </c>
      <c r="P441">
        <v>1</v>
      </c>
      <c r="S441">
        <v>209.95</v>
      </c>
      <c r="T441">
        <v>240</v>
      </c>
      <c r="U441">
        <v>180</v>
      </c>
      <c r="V441" t="s">
        <v>42</v>
      </c>
      <c r="W441" t="s">
        <v>43</v>
      </c>
      <c r="X441" t="s">
        <v>44</v>
      </c>
      <c r="Y441" t="s">
        <v>45</v>
      </c>
      <c r="AF441" t="s">
        <v>13</v>
      </c>
      <c r="AG441" t="str">
        <f>HYPERLINK("https://doi.org/10.1515/9781474416832")</f>
        <v>https://doi.org/10.1515/9781474416832</v>
      </c>
      <c r="AH441" t="str">
        <f>HYPERLINK("http://www.degruyter.com/isbn/9781474416832")</f>
        <v>http://www.degruyter.com/isbn/9781474416832</v>
      </c>
      <c r="AI441" t="s">
        <v>222</v>
      </c>
      <c r="AL441" t="s">
        <v>47</v>
      </c>
      <c r="AM441">
        <v>1</v>
      </c>
      <c r="AN441" s="2">
        <v>9781474416825</v>
      </c>
    </row>
    <row r="442" spans="1:40" x14ac:dyDescent="0.3">
      <c r="A442" t="s">
        <v>2363</v>
      </c>
      <c r="B442" t="s">
        <v>1</v>
      </c>
      <c r="C442" t="s">
        <v>2364</v>
      </c>
      <c r="D442" t="s">
        <v>2365</v>
      </c>
      <c r="E442" t="s">
        <v>2366</v>
      </c>
      <c r="F442" t="s">
        <v>5</v>
      </c>
      <c r="G442" t="s">
        <v>6</v>
      </c>
      <c r="L442" t="s">
        <v>7</v>
      </c>
      <c r="M442">
        <v>2010</v>
      </c>
      <c r="N442" s="1">
        <v>44634</v>
      </c>
      <c r="O442" t="s">
        <v>2367</v>
      </c>
      <c r="P442">
        <v>1</v>
      </c>
      <c r="S442">
        <v>217.95</v>
      </c>
      <c r="T442">
        <v>250</v>
      </c>
      <c r="U442">
        <v>190</v>
      </c>
      <c r="V442" t="s">
        <v>42</v>
      </c>
      <c r="W442" t="s">
        <v>290</v>
      </c>
      <c r="X442" t="s">
        <v>290</v>
      </c>
      <c r="Y442" t="s">
        <v>515</v>
      </c>
      <c r="AF442" t="s">
        <v>13</v>
      </c>
      <c r="AG442" t="str">
        <f>HYPERLINK("https://doi.org/10.1515/9781474471046")</f>
        <v>https://doi.org/10.1515/9781474471046</v>
      </c>
      <c r="AH442" t="str">
        <f>HYPERLINK("http://www.degruyter.com/isbn/9781474471046")</f>
        <v>http://www.degruyter.com/isbn/9781474471046</v>
      </c>
      <c r="AI442" t="s">
        <v>68</v>
      </c>
      <c r="AL442" t="s">
        <v>47</v>
      </c>
      <c r="AM442">
        <v>1</v>
      </c>
      <c r="AN442" s="2">
        <v>9780748641949</v>
      </c>
    </row>
    <row r="443" spans="1:40" x14ac:dyDescent="0.3">
      <c r="A443" t="s">
        <v>2368</v>
      </c>
      <c r="B443" t="s">
        <v>1</v>
      </c>
      <c r="C443" t="s">
        <v>2369</v>
      </c>
      <c r="E443" t="s">
        <v>2370</v>
      </c>
      <c r="F443" t="s">
        <v>5</v>
      </c>
      <c r="G443" t="s">
        <v>6</v>
      </c>
      <c r="L443" t="s">
        <v>7</v>
      </c>
      <c r="M443">
        <v>2021</v>
      </c>
      <c r="N443" s="1">
        <v>44644</v>
      </c>
      <c r="O443" t="s">
        <v>2371</v>
      </c>
      <c r="P443">
        <v>1</v>
      </c>
      <c r="S443">
        <v>217.95</v>
      </c>
      <c r="T443">
        <v>250</v>
      </c>
      <c r="U443">
        <v>190</v>
      </c>
      <c r="V443" t="s">
        <v>42</v>
      </c>
      <c r="W443" t="s">
        <v>740</v>
      </c>
      <c r="X443" t="s">
        <v>741</v>
      </c>
      <c r="Y443" t="s">
        <v>742</v>
      </c>
      <c r="AF443" t="s">
        <v>13</v>
      </c>
      <c r="AG443" t="str">
        <f>HYPERLINK("https://doi.org/10.1515/9781474481496")</f>
        <v>https://doi.org/10.1515/9781474481496</v>
      </c>
      <c r="AH443" t="str">
        <f>HYPERLINK("http://www.degruyter.com/isbn/9781474481496")</f>
        <v>http://www.degruyter.com/isbn/9781474481496</v>
      </c>
      <c r="AI443" t="s">
        <v>1561</v>
      </c>
      <c r="AL443" t="s">
        <v>47</v>
      </c>
      <c r="AM443">
        <v>1</v>
      </c>
      <c r="AN443" s="2">
        <v>9781474481472</v>
      </c>
    </row>
    <row r="444" spans="1:40" x14ac:dyDescent="0.3">
      <c r="A444" t="s">
        <v>2372</v>
      </c>
      <c r="B444" t="s">
        <v>1</v>
      </c>
      <c r="C444" t="s">
        <v>2373</v>
      </c>
      <c r="D444" t="s">
        <v>2374</v>
      </c>
      <c r="E444" t="s">
        <v>2375</v>
      </c>
      <c r="F444" t="s">
        <v>5</v>
      </c>
      <c r="G444" t="s">
        <v>6</v>
      </c>
      <c r="L444" t="s">
        <v>7</v>
      </c>
      <c r="M444">
        <v>2021</v>
      </c>
      <c r="N444" s="1">
        <v>44644</v>
      </c>
      <c r="O444" t="s">
        <v>2376</v>
      </c>
      <c r="P444">
        <v>1</v>
      </c>
      <c r="S444">
        <v>227.95</v>
      </c>
      <c r="T444">
        <v>260</v>
      </c>
      <c r="U444">
        <v>200</v>
      </c>
      <c r="V444" t="s">
        <v>9</v>
      </c>
      <c r="W444" t="s">
        <v>10</v>
      </c>
      <c r="X444" t="s">
        <v>11</v>
      </c>
      <c r="Y444" t="s">
        <v>52</v>
      </c>
      <c r="AF444" t="s">
        <v>13</v>
      </c>
      <c r="AG444" t="str">
        <f>HYPERLINK("https://doi.org/10.1515/9781474436335")</f>
        <v>https://doi.org/10.1515/9781474436335</v>
      </c>
      <c r="AH444" t="str">
        <f>HYPERLINK("http://www.degruyter.com/isbn/9781474436335")</f>
        <v>http://www.degruyter.com/isbn/9781474436335</v>
      </c>
      <c r="AI444" t="s">
        <v>216</v>
      </c>
      <c r="AL444" t="s">
        <v>15</v>
      </c>
      <c r="AM444">
        <v>1</v>
      </c>
      <c r="AN444" s="2">
        <v>9781474436311</v>
      </c>
    </row>
    <row r="445" spans="1:40" x14ac:dyDescent="0.3">
      <c r="A445" t="s">
        <v>2377</v>
      </c>
      <c r="B445" t="s">
        <v>1</v>
      </c>
      <c r="C445" t="s">
        <v>2378</v>
      </c>
      <c r="D445" t="s">
        <v>2379</v>
      </c>
      <c r="E445" t="s">
        <v>2380</v>
      </c>
      <c r="F445" t="s">
        <v>5</v>
      </c>
      <c r="G445" t="s">
        <v>6</v>
      </c>
      <c r="L445" t="s">
        <v>7</v>
      </c>
      <c r="M445">
        <v>2019</v>
      </c>
      <c r="N445" s="1">
        <v>44656</v>
      </c>
      <c r="O445" t="s">
        <v>2381</v>
      </c>
      <c r="P445">
        <v>1</v>
      </c>
      <c r="S445">
        <v>321.95</v>
      </c>
      <c r="T445">
        <v>370</v>
      </c>
      <c r="U445">
        <v>280</v>
      </c>
      <c r="V445" t="s">
        <v>305</v>
      </c>
      <c r="W445" t="s">
        <v>650</v>
      </c>
      <c r="X445" t="s">
        <v>650</v>
      </c>
      <c r="Y445" t="s">
        <v>651</v>
      </c>
      <c r="AF445" t="s">
        <v>13</v>
      </c>
      <c r="AG445" t="str">
        <f>HYPERLINK("https://doi.org/10.1515/9781474432412")</f>
        <v>https://doi.org/10.1515/9781474432412</v>
      </c>
      <c r="AH445" t="str">
        <f>HYPERLINK("http://www.degruyter.com/isbn/9781474432412")</f>
        <v>http://www.degruyter.com/isbn/9781474432412</v>
      </c>
      <c r="AI445" t="s">
        <v>2067</v>
      </c>
      <c r="AL445" t="s">
        <v>308</v>
      </c>
      <c r="AM445">
        <v>1</v>
      </c>
      <c r="AN445" s="2">
        <v>9781474432399</v>
      </c>
    </row>
    <row r="446" spans="1:40" x14ac:dyDescent="0.3">
      <c r="A446" t="s">
        <v>2382</v>
      </c>
      <c r="B446" t="s">
        <v>1</v>
      </c>
      <c r="C446" t="s">
        <v>2383</v>
      </c>
      <c r="E446" t="s">
        <v>2384</v>
      </c>
      <c r="F446" t="s">
        <v>5</v>
      </c>
      <c r="G446" t="s">
        <v>6</v>
      </c>
      <c r="L446" t="s">
        <v>7</v>
      </c>
      <c r="M446">
        <v>2010</v>
      </c>
      <c r="N446" s="1">
        <v>40390</v>
      </c>
      <c r="O446" t="s">
        <v>2385</v>
      </c>
      <c r="P446">
        <v>1</v>
      </c>
      <c r="S446">
        <v>253.95</v>
      </c>
      <c r="T446">
        <v>290</v>
      </c>
      <c r="U446">
        <v>220</v>
      </c>
      <c r="V446" t="s">
        <v>98</v>
      </c>
      <c r="W446" t="s">
        <v>99</v>
      </c>
      <c r="X446" t="s">
        <v>100</v>
      </c>
      <c r="Y446" t="s">
        <v>937</v>
      </c>
      <c r="AF446" t="s">
        <v>13</v>
      </c>
      <c r="AG446" t="str">
        <f>HYPERLINK("https://doi.org/10.1515/9780748642489")</f>
        <v>https://doi.org/10.1515/9780748642489</v>
      </c>
      <c r="AH446" t="str">
        <f>HYPERLINK("http://www.degruyter.com/isbn/9780748642489")</f>
        <v>http://www.degruyter.com/isbn/9780748642489</v>
      </c>
      <c r="AI446" t="s">
        <v>68</v>
      </c>
      <c r="AL446" t="s">
        <v>102</v>
      </c>
      <c r="AM446">
        <v>1</v>
      </c>
      <c r="AN446" s="2">
        <v>9780748638192</v>
      </c>
    </row>
    <row r="447" spans="1:40" x14ac:dyDescent="0.3">
      <c r="A447" t="s">
        <v>2386</v>
      </c>
      <c r="B447" t="s">
        <v>1</v>
      </c>
      <c r="C447" t="s">
        <v>2387</v>
      </c>
      <c r="D447" t="s">
        <v>2388</v>
      </c>
      <c r="E447" t="s">
        <v>2389</v>
      </c>
      <c r="F447" t="s">
        <v>5</v>
      </c>
      <c r="G447" t="s">
        <v>6</v>
      </c>
      <c r="L447" t="s">
        <v>7</v>
      </c>
      <c r="M447">
        <v>2019</v>
      </c>
      <c r="N447" s="1">
        <v>44656</v>
      </c>
      <c r="O447" t="s">
        <v>2390</v>
      </c>
      <c r="P447">
        <v>1</v>
      </c>
      <c r="S447">
        <v>217.95</v>
      </c>
      <c r="T447">
        <v>250</v>
      </c>
      <c r="U447">
        <v>190</v>
      </c>
      <c r="V447" t="s">
        <v>58</v>
      </c>
      <c r="W447" t="s">
        <v>59</v>
      </c>
      <c r="X447" t="s">
        <v>60</v>
      </c>
      <c r="Y447" t="s">
        <v>73</v>
      </c>
      <c r="AF447" t="s">
        <v>13</v>
      </c>
      <c r="AG447" t="str">
        <f>HYPERLINK("https://doi.org/10.1515/9781474450690?locatt=mode:legacy")</f>
        <v>https://doi.org/10.1515/9781474450690?locatt=mode:legacy</v>
      </c>
      <c r="AH447" t="str">
        <f>HYPERLINK("http://www.degruyter.com/isbn/9781474450690")</f>
        <v>http://www.degruyter.com/isbn/9781474450690</v>
      </c>
      <c r="AI447" t="s">
        <v>280</v>
      </c>
      <c r="AJ447" t="s">
        <v>35</v>
      </c>
      <c r="AL447" t="s">
        <v>155</v>
      </c>
      <c r="AM447">
        <v>1</v>
      </c>
      <c r="AN447" s="2">
        <v>9781474450676</v>
      </c>
    </row>
    <row r="448" spans="1:40" x14ac:dyDescent="0.3">
      <c r="A448" t="s">
        <v>2391</v>
      </c>
      <c r="B448" t="s">
        <v>1</v>
      </c>
      <c r="C448" t="s">
        <v>2392</v>
      </c>
      <c r="D448" t="s">
        <v>2393</v>
      </c>
      <c r="E448" t="s">
        <v>2394</v>
      </c>
      <c r="F448" t="s">
        <v>5</v>
      </c>
      <c r="G448" t="s">
        <v>6</v>
      </c>
      <c r="L448" t="s">
        <v>7</v>
      </c>
      <c r="M448">
        <v>1998</v>
      </c>
      <c r="N448" s="1">
        <v>44607</v>
      </c>
      <c r="O448" t="s">
        <v>2395</v>
      </c>
      <c r="P448">
        <v>1</v>
      </c>
      <c r="S448">
        <v>217.95</v>
      </c>
      <c r="T448">
        <v>250</v>
      </c>
      <c r="U448">
        <v>190</v>
      </c>
      <c r="V448" t="s">
        <v>847</v>
      </c>
      <c r="W448" t="s">
        <v>2396</v>
      </c>
      <c r="X448" t="s">
        <v>2397</v>
      </c>
      <c r="Y448" t="s">
        <v>2398</v>
      </c>
      <c r="AF448" t="s">
        <v>13</v>
      </c>
      <c r="AG448" t="str">
        <f>HYPERLINK("https://doi.org/10.1515/9781474473101")</f>
        <v>https://doi.org/10.1515/9781474473101</v>
      </c>
      <c r="AH448" t="str">
        <f>HYPERLINK("http://www.degruyter.com/isbn/9781474473101")</f>
        <v>http://www.degruyter.com/isbn/9781474473101</v>
      </c>
      <c r="AI448" t="s">
        <v>24</v>
      </c>
      <c r="AL448" t="s">
        <v>1070</v>
      </c>
      <c r="AM448">
        <v>1</v>
      </c>
      <c r="AN448" s="2">
        <v>9781853312076</v>
      </c>
    </row>
    <row r="449" spans="1:40" x14ac:dyDescent="0.3">
      <c r="A449" t="s">
        <v>2399</v>
      </c>
      <c r="B449" t="s">
        <v>1</v>
      </c>
      <c r="C449" t="s">
        <v>2400</v>
      </c>
      <c r="D449" t="s">
        <v>2401</v>
      </c>
      <c r="E449" t="s">
        <v>2402</v>
      </c>
      <c r="F449" t="s">
        <v>5</v>
      </c>
      <c r="G449" t="s">
        <v>6</v>
      </c>
      <c r="L449" t="s">
        <v>7</v>
      </c>
      <c r="M449">
        <v>2012</v>
      </c>
      <c r="N449" s="1">
        <v>40975</v>
      </c>
      <c r="O449" t="s">
        <v>2362</v>
      </c>
      <c r="P449">
        <v>1</v>
      </c>
      <c r="S449">
        <v>217.95</v>
      </c>
      <c r="T449">
        <v>250</v>
      </c>
      <c r="U449">
        <v>190</v>
      </c>
      <c r="V449" t="s">
        <v>42</v>
      </c>
      <c r="W449" t="s">
        <v>43</v>
      </c>
      <c r="X449" t="s">
        <v>44</v>
      </c>
      <c r="Y449" t="s">
        <v>45</v>
      </c>
      <c r="AF449" t="s">
        <v>13</v>
      </c>
      <c r="AG449" t="str">
        <f>HYPERLINK("https://doi.org/10.1515/9780748649594")</f>
        <v>https://doi.org/10.1515/9780748649594</v>
      </c>
      <c r="AH449" t="str">
        <f>HYPERLINK("http://www.degruyter.com/isbn/9780748649594")</f>
        <v>http://www.degruyter.com/isbn/9780748649594</v>
      </c>
      <c r="AI449" t="s">
        <v>68</v>
      </c>
      <c r="AL449" t="s">
        <v>47</v>
      </c>
      <c r="AM449">
        <v>1</v>
      </c>
      <c r="AN449" s="2">
        <v>9780748640126</v>
      </c>
    </row>
    <row r="450" spans="1:40" x14ac:dyDescent="0.3">
      <c r="A450" t="s">
        <v>2403</v>
      </c>
      <c r="B450" t="s">
        <v>1</v>
      </c>
      <c r="C450" t="s">
        <v>2404</v>
      </c>
      <c r="D450" t="s">
        <v>2405</v>
      </c>
      <c r="E450" t="s">
        <v>2406</v>
      </c>
      <c r="F450" t="s">
        <v>5</v>
      </c>
      <c r="G450" t="s">
        <v>6</v>
      </c>
      <c r="L450" t="s">
        <v>7</v>
      </c>
      <c r="M450">
        <v>2000</v>
      </c>
      <c r="N450" s="1">
        <v>44634</v>
      </c>
      <c r="O450" t="s">
        <v>1484</v>
      </c>
      <c r="P450">
        <v>1</v>
      </c>
      <c r="S450">
        <v>217.95</v>
      </c>
      <c r="T450">
        <v>250</v>
      </c>
      <c r="U450">
        <v>190</v>
      </c>
      <c r="V450" t="s">
        <v>1325</v>
      </c>
      <c r="W450" t="s">
        <v>2407</v>
      </c>
      <c r="X450" t="s">
        <v>2407</v>
      </c>
      <c r="Y450" t="s">
        <v>2408</v>
      </c>
      <c r="AF450" t="s">
        <v>13</v>
      </c>
      <c r="AG450" t="str">
        <f>HYPERLINK("https://doi.org/10.1515/9781474472715")</f>
        <v>https://doi.org/10.1515/9781474472715</v>
      </c>
      <c r="AH450" t="str">
        <f>HYPERLINK("http://www.degruyter.com/isbn/9781474472715")</f>
        <v>http://www.degruyter.com/isbn/9781474472715</v>
      </c>
      <c r="AI450" t="s">
        <v>68</v>
      </c>
      <c r="AL450" t="s">
        <v>1328</v>
      </c>
      <c r="AM450">
        <v>1</v>
      </c>
      <c r="AN450" s="2">
        <v>9780748614110</v>
      </c>
    </row>
    <row r="451" spans="1:40" x14ac:dyDescent="0.3">
      <c r="A451" t="s">
        <v>2409</v>
      </c>
      <c r="B451" t="s">
        <v>1</v>
      </c>
      <c r="C451" t="s">
        <v>2410</v>
      </c>
      <c r="E451" t="s">
        <v>2411</v>
      </c>
      <c r="F451" t="s">
        <v>5</v>
      </c>
      <c r="G451" t="s">
        <v>6</v>
      </c>
      <c r="L451" t="s">
        <v>7</v>
      </c>
      <c r="M451">
        <v>1991</v>
      </c>
      <c r="N451" s="1">
        <v>44599</v>
      </c>
      <c r="O451" t="s">
        <v>2412</v>
      </c>
      <c r="P451">
        <v>1</v>
      </c>
      <c r="S451">
        <v>217.95</v>
      </c>
      <c r="T451">
        <v>250</v>
      </c>
      <c r="U451">
        <v>190</v>
      </c>
      <c r="V451" t="s">
        <v>42</v>
      </c>
      <c r="W451" t="s">
        <v>740</v>
      </c>
      <c r="X451" t="s">
        <v>741</v>
      </c>
      <c r="Y451" t="s">
        <v>1856</v>
      </c>
      <c r="AF451" t="s">
        <v>13</v>
      </c>
      <c r="AG451" t="str">
        <f>HYPERLINK("https://doi.org/10.1515/9781474469791")</f>
        <v>https://doi.org/10.1515/9781474469791</v>
      </c>
      <c r="AH451" t="str">
        <f>HYPERLINK("http://www.degruyter.com/isbn/9781474469791")</f>
        <v>http://www.degruyter.com/isbn/9781474469791</v>
      </c>
      <c r="AI451" t="s">
        <v>24</v>
      </c>
      <c r="AL451" t="s">
        <v>47</v>
      </c>
      <c r="AM451">
        <v>1</v>
      </c>
      <c r="AN451" s="2">
        <v>9780748601257</v>
      </c>
    </row>
    <row r="452" spans="1:40" x14ac:dyDescent="0.3">
      <c r="A452" t="s">
        <v>2413</v>
      </c>
      <c r="B452" t="s">
        <v>1</v>
      </c>
      <c r="C452" t="s">
        <v>2414</v>
      </c>
      <c r="D452" t="s">
        <v>2415</v>
      </c>
      <c r="E452" t="s">
        <v>2416</v>
      </c>
      <c r="F452" t="s">
        <v>5</v>
      </c>
      <c r="G452" t="s">
        <v>6</v>
      </c>
      <c r="L452" t="s">
        <v>7</v>
      </c>
      <c r="M452">
        <v>2004</v>
      </c>
      <c r="N452" s="1">
        <v>44719</v>
      </c>
      <c r="O452" t="s">
        <v>2417</v>
      </c>
      <c r="P452">
        <v>1</v>
      </c>
      <c r="S452">
        <v>217.95</v>
      </c>
      <c r="T452">
        <v>250</v>
      </c>
      <c r="U452">
        <v>190</v>
      </c>
      <c r="V452" t="s">
        <v>42</v>
      </c>
      <c r="W452" t="s">
        <v>116</v>
      </c>
      <c r="X452" t="s">
        <v>116</v>
      </c>
      <c r="Y452" t="s">
        <v>117</v>
      </c>
      <c r="AF452" t="s">
        <v>13</v>
      </c>
      <c r="AG452" t="str">
        <f>HYPERLINK("https://doi.org/10.1515/9781474465601")</f>
        <v>https://doi.org/10.1515/9781474465601</v>
      </c>
      <c r="AH452" t="str">
        <f>HYPERLINK("http://www.degruyter.com/isbn/9781474465601")</f>
        <v>http://www.degruyter.com/isbn/9781474465601</v>
      </c>
      <c r="AI452" t="s">
        <v>68</v>
      </c>
      <c r="AL452" t="s">
        <v>47</v>
      </c>
      <c r="AM452">
        <v>1</v>
      </c>
      <c r="AN452" s="2">
        <v>9780748621026</v>
      </c>
    </row>
    <row r="453" spans="1:40" x14ac:dyDescent="0.3">
      <c r="A453" t="s">
        <v>2418</v>
      </c>
      <c r="B453" t="s">
        <v>1</v>
      </c>
      <c r="C453" t="s">
        <v>2419</v>
      </c>
      <c r="D453" t="s">
        <v>2420</v>
      </c>
      <c r="E453" t="s">
        <v>2421</v>
      </c>
      <c r="F453" t="s">
        <v>5</v>
      </c>
      <c r="G453" t="s">
        <v>6</v>
      </c>
      <c r="L453" t="s">
        <v>7</v>
      </c>
      <c r="M453">
        <v>2000</v>
      </c>
      <c r="N453" s="1">
        <v>36753</v>
      </c>
      <c r="O453" t="s">
        <v>2422</v>
      </c>
      <c r="P453">
        <v>1</v>
      </c>
      <c r="S453">
        <v>217.95</v>
      </c>
      <c r="T453">
        <v>250</v>
      </c>
      <c r="U453">
        <v>190</v>
      </c>
      <c r="V453" t="s">
        <v>1325</v>
      </c>
      <c r="W453" t="s">
        <v>2407</v>
      </c>
      <c r="X453" t="s">
        <v>2407</v>
      </c>
      <c r="Y453" t="s">
        <v>2408</v>
      </c>
      <c r="AF453" t="s">
        <v>13</v>
      </c>
      <c r="AG453" t="str">
        <f>HYPERLINK("https://doi.org/10.1515/9780585441856")</f>
        <v>https://doi.org/10.1515/9780585441856</v>
      </c>
      <c r="AH453" t="str">
        <f>HYPERLINK("http://www.degruyter.com/isbn/9780585441856")</f>
        <v>http://www.degruyter.com/isbn/9780585441856</v>
      </c>
      <c r="AI453" t="s">
        <v>68</v>
      </c>
      <c r="AL453" t="s">
        <v>1328</v>
      </c>
      <c r="AM453">
        <v>1</v>
      </c>
      <c r="AN453" s="2">
        <v>9781853312397</v>
      </c>
    </row>
    <row r="454" spans="1:40" x14ac:dyDescent="0.3">
      <c r="A454" t="s">
        <v>2423</v>
      </c>
      <c r="B454" t="s">
        <v>1</v>
      </c>
      <c r="C454" t="s">
        <v>2424</v>
      </c>
      <c r="D454" t="s">
        <v>2425</v>
      </c>
      <c r="E454" t="s">
        <v>2426</v>
      </c>
      <c r="F454" t="s">
        <v>5</v>
      </c>
      <c r="G454" t="s">
        <v>6</v>
      </c>
      <c r="L454" t="s">
        <v>7</v>
      </c>
      <c r="M454">
        <v>1997</v>
      </c>
      <c r="N454" s="1">
        <v>44607</v>
      </c>
      <c r="O454" t="s">
        <v>2427</v>
      </c>
      <c r="P454">
        <v>1</v>
      </c>
      <c r="S454">
        <v>217.95</v>
      </c>
      <c r="T454">
        <v>250</v>
      </c>
      <c r="U454">
        <v>190</v>
      </c>
      <c r="V454" t="s">
        <v>1325</v>
      </c>
      <c r="W454" t="s">
        <v>1485</v>
      </c>
      <c r="X454" t="s">
        <v>1485</v>
      </c>
      <c r="Y454" t="s">
        <v>1660</v>
      </c>
      <c r="AF454" t="s">
        <v>13</v>
      </c>
      <c r="AG454" t="str">
        <f>HYPERLINK("https://doi.org/10.1515/9781474471152")</f>
        <v>https://doi.org/10.1515/9781474471152</v>
      </c>
      <c r="AH454" t="str">
        <f>HYPERLINK("http://www.degruyter.com/isbn/9781474471152")</f>
        <v>http://www.degruyter.com/isbn/9781474471152</v>
      </c>
      <c r="AI454" t="s">
        <v>24</v>
      </c>
      <c r="AL454" t="s">
        <v>1328</v>
      </c>
      <c r="AM454">
        <v>1</v>
      </c>
      <c r="AN454" s="2">
        <v>9781853311987</v>
      </c>
    </row>
    <row r="455" spans="1:40" x14ac:dyDescent="0.3">
      <c r="A455" t="s">
        <v>2428</v>
      </c>
      <c r="B455" t="s">
        <v>1</v>
      </c>
      <c r="C455" t="s">
        <v>2429</v>
      </c>
      <c r="D455" t="s">
        <v>2430</v>
      </c>
      <c r="E455" t="s">
        <v>2431</v>
      </c>
      <c r="F455" t="s">
        <v>5</v>
      </c>
      <c r="G455" t="s">
        <v>6</v>
      </c>
      <c r="L455" t="s">
        <v>7</v>
      </c>
      <c r="M455">
        <v>2014</v>
      </c>
      <c r="N455" s="1">
        <v>41823</v>
      </c>
      <c r="O455" t="s">
        <v>2432</v>
      </c>
      <c r="P455">
        <v>1</v>
      </c>
      <c r="S455">
        <v>217.95</v>
      </c>
      <c r="T455">
        <v>250</v>
      </c>
      <c r="U455">
        <v>190</v>
      </c>
      <c r="V455" t="s">
        <v>9</v>
      </c>
      <c r="W455" t="s">
        <v>10</v>
      </c>
      <c r="X455" t="s">
        <v>11</v>
      </c>
      <c r="Y455" t="s">
        <v>52</v>
      </c>
      <c r="AF455" t="s">
        <v>13</v>
      </c>
      <c r="AG455" t="str">
        <f>HYPERLINK("https://doi.org/10.1515/9780748693559")</f>
        <v>https://doi.org/10.1515/9780748693559</v>
      </c>
      <c r="AH455" t="str">
        <f>HYPERLINK("http://www.degruyter.com/isbn/9780748693559")</f>
        <v>http://www.degruyter.com/isbn/9780748693559</v>
      </c>
      <c r="AI455" t="s">
        <v>34</v>
      </c>
      <c r="AL455" t="s">
        <v>15</v>
      </c>
      <c r="AM455">
        <v>1</v>
      </c>
      <c r="AN455" s="2">
        <v>9780748693542</v>
      </c>
    </row>
    <row r="456" spans="1:40" x14ac:dyDescent="0.3">
      <c r="A456" t="s">
        <v>2433</v>
      </c>
      <c r="B456" t="s">
        <v>1</v>
      </c>
      <c r="C456" t="s">
        <v>2434</v>
      </c>
      <c r="D456" t="s">
        <v>2435</v>
      </c>
      <c r="E456" t="s">
        <v>2436</v>
      </c>
      <c r="F456" t="s">
        <v>5</v>
      </c>
      <c r="G456" t="s">
        <v>6</v>
      </c>
      <c r="L456" t="s">
        <v>7</v>
      </c>
      <c r="M456">
        <v>2012</v>
      </c>
      <c r="N456" s="1">
        <v>41003</v>
      </c>
      <c r="O456" t="s">
        <v>2437</v>
      </c>
      <c r="P456">
        <v>1</v>
      </c>
      <c r="S456">
        <v>217.95</v>
      </c>
      <c r="T456">
        <v>250</v>
      </c>
      <c r="U456">
        <v>190</v>
      </c>
      <c r="V456" t="s">
        <v>42</v>
      </c>
      <c r="W456" t="s">
        <v>43</v>
      </c>
      <c r="X456" t="s">
        <v>44</v>
      </c>
      <c r="Y456" t="s">
        <v>45</v>
      </c>
      <c r="AF456" t="s">
        <v>13</v>
      </c>
      <c r="AG456" t="str">
        <f>HYPERLINK("https://doi.org/10.1515/9780748645480")</f>
        <v>https://doi.org/10.1515/9780748645480</v>
      </c>
      <c r="AH456" t="str">
        <f>HYPERLINK("http://www.degruyter.com/isbn/9780748645480")</f>
        <v>http://www.degruyter.com/isbn/9780748645480</v>
      </c>
      <c r="AI456" t="s">
        <v>68</v>
      </c>
      <c r="AL456" t="s">
        <v>47</v>
      </c>
      <c r="AM456">
        <v>1</v>
      </c>
      <c r="AN456" s="2">
        <v>9780748645473</v>
      </c>
    </row>
    <row r="457" spans="1:40" x14ac:dyDescent="0.3">
      <c r="A457" t="s">
        <v>2438</v>
      </c>
      <c r="B457" t="s">
        <v>1</v>
      </c>
      <c r="C457" t="s">
        <v>2439</v>
      </c>
      <c r="D457" t="s">
        <v>2440</v>
      </c>
      <c r="E457" t="s">
        <v>2441</v>
      </c>
      <c r="F457" t="s">
        <v>5</v>
      </c>
      <c r="G457" t="s">
        <v>6</v>
      </c>
      <c r="L457" t="s">
        <v>7</v>
      </c>
      <c r="M457">
        <v>2016</v>
      </c>
      <c r="N457" s="1">
        <v>42387</v>
      </c>
      <c r="O457" t="s">
        <v>2442</v>
      </c>
      <c r="P457">
        <v>1</v>
      </c>
      <c r="S457">
        <v>227.95</v>
      </c>
      <c r="T457">
        <v>260</v>
      </c>
      <c r="U457">
        <v>200</v>
      </c>
      <c r="V457" t="s">
        <v>58</v>
      </c>
      <c r="W457" t="s">
        <v>59</v>
      </c>
      <c r="X457" t="s">
        <v>278</v>
      </c>
      <c r="Y457" t="s">
        <v>932</v>
      </c>
      <c r="AF457" t="s">
        <v>13</v>
      </c>
      <c r="AG457" t="str">
        <f>HYPERLINK("https://doi.org/10.1515/9781474402187?locatt=mode:legacy")</f>
        <v>https://doi.org/10.1515/9781474402187?locatt=mode:legacy</v>
      </c>
      <c r="AH457" t="str">
        <f>HYPERLINK("http://www.degruyter.com/isbn/9781474402187")</f>
        <v>http://www.degruyter.com/isbn/9781474402187</v>
      </c>
      <c r="AI457" t="s">
        <v>180</v>
      </c>
      <c r="AL457" t="s">
        <v>62</v>
      </c>
      <c r="AM457">
        <v>1</v>
      </c>
      <c r="AN457" s="2">
        <v>9781474402170</v>
      </c>
    </row>
    <row r="458" spans="1:40" x14ac:dyDescent="0.3">
      <c r="A458" t="s">
        <v>2443</v>
      </c>
      <c r="B458" t="s">
        <v>1</v>
      </c>
      <c r="C458" t="s">
        <v>2444</v>
      </c>
      <c r="D458" t="s">
        <v>2445</v>
      </c>
      <c r="E458" t="s">
        <v>2446</v>
      </c>
      <c r="F458" t="s">
        <v>5</v>
      </c>
      <c r="G458" t="s">
        <v>6</v>
      </c>
      <c r="L458" t="s">
        <v>7</v>
      </c>
      <c r="M458">
        <v>2015</v>
      </c>
      <c r="N458" s="1">
        <v>42278</v>
      </c>
      <c r="O458" t="s">
        <v>2447</v>
      </c>
      <c r="P458">
        <v>1</v>
      </c>
      <c r="S458">
        <v>217.95</v>
      </c>
      <c r="T458">
        <v>250</v>
      </c>
      <c r="U458">
        <v>190</v>
      </c>
      <c r="V458" t="s">
        <v>42</v>
      </c>
      <c r="W458" t="s">
        <v>43</v>
      </c>
      <c r="X458" t="s">
        <v>44</v>
      </c>
      <c r="Y458" t="s">
        <v>45</v>
      </c>
      <c r="AF458" t="s">
        <v>13</v>
      </c>
      <c r="AG458" t="str">
        <f>HYPERLINK("https://doi.org/10.1515/9780748689743")</f>
        <v>https://doi.org/10.1515/9780748689743</v>
      </c>
      <c r="AH458" t="str">
        <f>HYPERLINK("http://www.degruyter.com/isbn/9780748689743")</f>
        <v>http://www.degruyter.com/isbn/9780748689743</v>
      </c>
      <c r="AI458" t="s">
        <v>34</v>
      </c>
      <c r="AL458" t="s">
        <v>47</v>
      </c>
      <c r="AM458">
        <v>1</v>
      </c>
      <c r="AN458" s="2">
        <v>9780748689736</v>
      </c>
    </row>
    <row r="459" spans="1:40" x14ac:dyDescent="0.3">
      <c r="A459" t="s">
        <v>2448</v>
      </c>
      <c r="B459" t="s">
        <v>1</v>
      </c>
      <c r="C459" t="s">
        <v>2449</v>
      </c>
      <c r="D459" t="s">
        <v>2450</v>
      </c>
      <c r="E459" t="s">
        <v>2451</v>
      </c>
      <c r="F459" t="s">
        <v>5</v>
      </c>
      <c r="G459" t="s">
        <v>6</v>
      </c>
      <c r="L459" t="s">
        <v>7</v>
      </c>
      <c r="M459">
        <v>2019</v>
      </c>
      <c r="N459" s="1">
        <v>44656</v>
      </c>
      <c r="O459" t="s">
        <v>2452</v>
      </c>
      <c r="P459">
        <v>1</v>
      </c>
      <c r="S459">
        <v>217.95</v>
      </c>
      <c r="T459">
        <v>250</v>
      </c>
      <c r="U459">
        <v>190</v>
      </c>
      <c r="V459" t="s">
        <v>42</v>
      </c>
      <c r="W459" t="s">
        <v>43</v>
      </c>
      <c r="X459" t="s">
        <v>178</v>
      </c>
      <c r="Y459" t="s">
        <v>2453</v>
      </c>
      <c r="AF459" t="s">
        <v>13</v>
      </c>
      <c r="AG459" t="str">
        <f>HYPERLINK("https://doi.org/10.1515/9781474413572")</f>
        <v>https://doi.org/10.1515/9781474413572</v>
      </c>
      <c r="AH459" t="str">
        <f>HYPERLINK("http://www.degruyter.com/isbn/9781474413572")</f>
        <v>http://www.degruyter.com/isbn/9781474413572</v>
      </c>
      <c r="AI459" t="s">
        <v>280</v>
      </c>
      <c r="AL459" t="s">
        <v>47</v>
      </c>
      <c r="AM459">
        <v>1</v>
      </c>
      <c r="AN459" s="2">
        <v>9781474413565</v>
      </c>
    </row>
    <row r="460" spans="1:40" x14ac:dyDescent="0.3">
      <c r="A460" t="s">
        <v>2454</v>
      </c>
      <c r="B460" t="s">
        <v>1</v>
      </c>
      <c r="C460" t="s">
        <v>2455</v>
      </c>
      <c r="D460" t="s">
        <v>2456</v>
      </c>
      <c r="E460" t="s">
        <v>2457</v>
      </c>
      <c r="F460" t="s">
        <v>5</v>
      </c>
      <c r="G460" t="s">
        <v>6</v>
      </c>
      <c r="L460" t="s">
        <v>7</v>
      </c>
      <c r="M460">
        <v>2018</v>
      </c>
      <c r="N460" s="1">
        <v>44656</v>
      </c>
      <c r="O460" t="s">
        <v>2458</v>
      </c>
      <c r="P460">
        <v>1</v>
      </c>
      <c r="S460">
        <v>253.95</v>
      </c>
      <c r="T460">
        <v>290</v>
      </c>
      <c r="U460">
        <v>220</v>
      </c>
      <c r="V460" t="s">
        <v>20</v>
      </c>
      <c r="W460" t="s">
        <v>556</v>
      </c>
      <c r="X460" t="s">
        <v>1540</v>
      </c>
      <c r="Y460" t="s">
        <v>2459</v>
      </c>
      <c r="AF460" t="s">
        <v>13</v>
      </c>
      <c r="AG460" t="str">
        <f>HYPERLINK("https://doi.org/10.1515/9780748698943?locatt=mode:legacy")</f>
        <v>https://doi.org/10.1515/9780748698943?locatt=mode:legacy</v>
      </c>
      <c r="AH460" t="str">
        <f>HYPERLINK("http://www.degruyter.com/isbn/9780748698943")</f>
        <v>http://www.degruyter.com/isbn/9780748698943</v>
      </c>
      <c r="AI460" t="s">
        <v>46</v>
      </c>
      <c r="AL460" t="s">
        <v>15</v>
      </c>
      <c r="AM460">
        <v>1</v>
      </c>
      <c r="AN460" s="2">
        <v>9780748698936</v>
      </c>
    </row>
    <row r="461" spans="1:40" x14ac:dyDescent="0.3">
      <c r="A461" t="s">
        <v>2460</v>
      </c>
      <c r="B461" t="s">
        <v>1</v>
      </c>
      <c r="C461" t="s">
        <v>2461</v>
      </c>
      <c r="D461" t="s">
        <v>2462</v>
      </c>
      <c r="E461" t="s">
        <v>2463</v>
      </c>
      <c r="F461" t="s">
        <v>5</v>
      </c>
      <c r="G461" t="s">
        <v>6</v>
      </c>
      <c r="L461" t="s">
        <v>7</v>
      </c>
      <c r="M461">
        <v>2017</v>
      </c>
      <c r="N461" s="1">
        <v>42981</v>
      </c>
      <c r="O461" t="s">
        <v>2464</v>
      </c>
      <c r="P461">
        <v>1</v>
      </c>
      <c r="S461">
        <v>217.95</v>
      </c>
      <c r="T461">
        <v>250</v>
      </c>
      <c r="U461">
        <v>190</v>
      </c>
      <c r="V461" t="s">
        <v>79</v>
      </c>
      <c r="W461" t="s">
        <v>734</v>
      </c>
      <c r="X461" t="s">
        <v>734</v>
      </c>
      <c r="Y461" t="s">
        <v>735</v>
      </c>
      <c r="AF461" t="s">
        <v>13</v>
      </c>
      <c r="AG461" t="str">
        <f>HYPERLINK("https://doi.org/10.1515/9781474429580?locatt=mode:legacy")</f>
        <v>https://doi.org/10.1515/9781474429580?locatt=mode:legacy</v>
      </c>
      <c r="AH461" t="str">
        <f>HYPERLINK("http://www.degruyter.com/isbn/9781474429580")</f>
        <v>http://www.degruyter.com/isbn/9781474429580</v>
      </c>
      <c r="AI461" t="s">
        <v>222</v>
      </c>
      <c r="AL461" t="s">
        <v>83</v>
      </c>
      <c r="AM461">
        <v>1</v>
      </c>
      <c r="AN461" s="2">
        <v>9781474429566</v>
      </c>
    </row>
    <row r="462" spans="1:40" x14ac:dyDescent="0.3">
      <c r="A462" t="s">
        <v>2465</v>
      </c>
      <c r="B462" t="s">
        <v>1</v>
      </c>
      <c r="C462" t="s">
        <v>2466</v>
      </c>
      <c r="E462" t="s">
        <v>2467</v>
      </c>
      <c r="F462" t="s">
        <v>5</v>
      </c>
      <c r="G462" t="s">
        <v>6</v>
      </c>
      <c r="L462" t="s">
        <v>7</v>
      </c>
      <c r="M462">
        <v>1994</v>
      </c>
      <c r="N462" s="1">
        <v>44592</v>
      </c>
      <c r="O462" t="s">
        <v>2468</v>
      </c>
      <c r="P462">
        <v>1</v>
      </c>
      <c r="S462">
        <v>347.95</v>
      </c>
      <c r="T462">
        <v>400</v>
      </c>
      <c r="U462">
        <v>310</v>
      </c>
      <c r="V462" t="s">
        <v>20</v>
      </c>
      <c r="W462" t="s">
        <v>21</v>
      </c>
      <c r="X462" t="s">
        <v>839</v>
      </c>
      <c r="Y462" t="s">
        <v>2469</v>
      </c>
      <c r="AF462" t="s">
        <v>13</v>
      </c>
      <c r="AG462" t="str">
        <f>HYPERLINK("https://doi.org/10.1515/9781474496872")</f>
        <v>https://doi.org/10.1515/9781474496872</v>
      </c>
      <c r="AH462" t="str">
        <f>HYPERLINK("http://www.degruyter.com/isbn/9781474496872")</f>
        <v>http://www.degruyter.com/isbn/9781474496872</v>
      </c>
      <c r="AI462" t="s">
        <v>24</v>
      </c>
      <c r="AL462" t="s">
        <v>15</v>
      </c>
      <c r="AM462">
        <v>1</v>
      </c>
      <c r="AN462" s="2">
        <v>9781853310539</v>
      </c>
    </row>
    <row r="463" spans="1:40" x14ac:dyDescent="0.3">
      <c r="A463" t="s">
        <v>2470</v>
      </c>
      <c r="B463" t="s">
        <v>1</v>
      </c>
      <c r="C463" t="s">
        <v>2471</v>
      </c>
      <c r="E463" t="s">
        <v>2472</v>
      </c>
      <c r="F463" t="s">
        <v>5</v>
      </c>
      <c r="G463" t="s">
        <v>6</v>
      </c>
      <c r="L463" t="s">
        <v>7</v>
      </c>
      <c r="M463">
        <v>2011</v>
      </c>
      <c r="N463" s="1">
        <v>40700</v>
      </c>
      <c r="O463" t="s">
        <v>564</v>
      </c>
      <c r="P463">
        <v>1</v>
      </c>
      <c r="S463">
        <v>253.95</v>
      </c>
      <c r="T463">
        <v>290</v>
      </c>
      <c r="U463">
        <v>220</v>
      </c>
      <c r="V463" t="s">
        <v>9</v>
      </c>
      <c r="W463" t="s">
        <v>10</v>
      </c>
      <c r="X463" t="s">
        <v>596</v>
      </c>
      <c r="Y463" t="s">
        <v>2473</v>
      </c>
      <c r="AF463" t="s">
        <v>13</v>
      </c>
      <c r="AG463" t="str">
        <f>HYPERLINK("https://doi.org/10.1515/9780748646999?locatt=mode:legacy")</f>
        <v>https://doi.org/10.1515/9780748646999?locatt=mode:legacy</v>
      </c>
      <c r="AH463" t="str">
        <f>HYPERLINK("http://www.degruyter.com/isbn/9780748646999")</f>
        <v>http://www.degruyter.com/isbn/9780748646999</v>
      </c>
      <c r="AI463" t="s">
        <v>68</v>
      </c>
      <c r="AL463" t="s">
        <v>15</v>
      </c>
      <c r="AM463">
        <v>1</v>
      </c>
      <c r="AN463" s="2">
        <v>9780748639090</v>
      </c>
    </row>
    <row r="464" spans="1:40" x14ac:dyDescent="0.3">
      <c r="A464" t="s">
        <v>2474</v>
      </c>
      <c r="B464" t="s">
        <v>1</v>
      </c>
      <c r="C464" t="s">
        <v>2475</v>
      </c>
      <c r="D464" t="s">
        <v>27</v>
      </c>
      <c r="E464" t="s">
        <v>2476</v>
      </c>
      <c r="F464" t="s">
        <v>5</v>
      </c>
      <c r="G464" t="s">
        <v>6</v>
      </c>
      <c r="L464" t="s">
        <v>7</v>
      </c>
      <c r="M464">
        <v>2004</v>
      </c>
      <c r="N464" s="1">
        <v>38275</v>
      </c>
      <c r="O464" t="s">
        <v>2477</v>
      </c>
      <c r="P464">
        <v>1</v>
      </c>
      <c r="S464">
        <v>261.95</v>
      </c>
      <c r="T464">
        <v>300</v>
      </c>
      <c r="U464">
        <v>230</v>
      </c>
      <c r="V464" t="s">
        <v>449</v>
      </c>
      <c r="W464" t="s">
        <v>450</v>
      </c>
      <c r="X464" t="s">
        <v>450</v>
      </c>
      <c r="Y464" t="s">
        <v>2478</v>
      </c>
      <c r="AF464" t="s">
        <v>13</v>
      </c>
      <c r="AG464" t="str">
        <f>HYPERLINK("https://doi.org/10.1515/9781474428767")</f>
        <v>https://doi.org/10.1515/9781474428767</v>
      </c>
      <c r="AH464" t="str">
        <f>HYPERLINK("http://www.degruyter.com/isbn/9781474428767")</f>
        <v>http://www.degruyter.com/isbn/9781474428767</v>
      </c>
      <c r="AI464" t="s">
        <v>452</v>
      </c>
      <c r="AL464" t="s">
        <v>308</v>
      </c>
      <c r="AM464">
        <v>1</v>
      </c>
      <c r="AN464" s="2">
        <v>9780748617449</v>
      </c>
    </row>
    <row r="465" spans="1:40" x14ac:dyDescent="0.3">
      <c r="A465" t="s">
        <v>2479</v>
      </c>
      <c r="B465" t="s">
        <v>1</v>
      </c>
      <c r="C465" t="s">
        <v>2480</v>
      </c>
      <c r="D465" t="s">
        <v>2481</v>
      </c>
      <c r="E465" t="s">
        <v>2482</v>
      </c>
      <c r="F465" t="s">
        <v>5</v>
      </c>
      <c r="G465" t="s">
        <v>6</v>
      </c>
      <c r="L465" t="s">
        <v>7</v>
      </c>
      <c r="M465">
        <v>2003</v>
      </c>
      <c r="N465" s="1">
        <v>44719</v>
      </c>
      <c r="O465" t="s">
        <v>1023</v>
      </c>
      <c r="P465">
        <v>1</v>
      </c>
      <c r="S465">
        <v>217.95</v>
      </c>
      <c r="T465">
        <v>250</v>
      </c>
      <c r="U465">
        <v>190</v>
      </c>
      <c r="V465" t="s">
        <v>79</v>
      </c>
      <c r="W465" t="s">
        <v>209</v>
      </c>
      <c r="X465" t="s">
        <v>209</v>
      </c>
      <c r="Y465" t="s">
        <v>510</v>
      </c>
      <c r="AF465" t="s">
        <v>13</v>
      </c>
      <c r="AG465" t="str">
        <f>HYPERLINK("https://doi.org/10.1515/9781474473613")</f>
        <v>https://doi.org/10.1515/9781474473613</v>
      </c>
      <c r="AH465" t="str">
        <f>HYPERLINK("http://www.degruyter.com/isbn/9781474473613")</f>
        <v>http://www.degruyter.com/isbn/9781474473613</v>
      </c>
      <c r="AI465" t="s">
        <v>68</v>
      </c>
      <c r="AL465" t="s">
        <v>83</v>
      </c>
      <c r="AM465">
        <v>1</v>
      </c>
      <c r="AN465" s="2">
        <v>9780748618231</v>
      </c>
    </row>
    <row r="466" spans="1:40" x14ac:dyDescent="0.3">
      <c r="A466" t="s">
        <v>2483</v>
      </c>
      <c r="B466" t="s">
        <v>1</v>
      </c>
      <c r="C466" t="s">
        <v>2484</v>
      </c>
      <c r="D466" t="s">
        <v>2485</v>
      </c>
      <c r="E466" t="s">
        <v>2486</v>
      </c>
      <c r="F466" t="s">
        <v>5</v>
      </c>
      <c r="G466" t="s">
        <v>6</v>
      </c>
      <c r="L466" t="s">
        <v>7</v>
      </c>
      <c r="M466">
        <v>1997</v>
      </c>
      <c r="N466" s="1">
        <v>44719</v>
      </c>
      <c r="O466" t="s">
        <v>2487</v>
      </c>
      <c r="P466">
        <v>1</v>
      </c>
      <c r="S466">
        <v>217.95</v>
      </c>
      <c r="T466">
        <v>250</v>
      </c>
      <c r="U466">
        <v>190</v>
      </c>
      <c r="V466" t="s">
        <v>42</v>
      </c>
      <c r="W466" t="s">
        <v>740</v>
      </c>
      <c r="X466" t="s">
        <v>741</v>
      </c>
      <c r="Y466" t="s">
        <v>742</v>
      </c>
      <c r="AF466" t="s">
        <v>13</v>
      </c>
      <c r="AG466" t="str">
        <f>HYPERLINK("https://doi.org/10.1515/9781474471442")</f>
        <v>https://doi.org/10.1515/9781474471442</v>
      </c>
      <c r="AH466" t="str">
        <f>HYPERLINK("http://www.degruyter.com/isbn/9781474471442")</f>
        <v>http://www.degruyter.com/isbn/9781474471442</v>
      </c>
      <c r="AI466" t="s">
        <v>24</v>
      </c>
      <c r="AL466" t="s">
        <v>47</v>
      </c>
      <c r="AM466">
        <v>1</v>
      </c>
      <c r="AN466" s="2">
        <v>9780748608997</v>
      </c>
    </row>
    <row r="467" spans="1:40" x14ac:dyDescent="0.3">
      <c r="A467" t="s">
        <v>2488</v>
      </c>
      <c r="B467" t="s">
        <v>1</v>
      </c>
      <c r="C467" t="s">
        <v>2489</v>
      </c>
      <c r="E467" t="s">
        <v>2490</v>
      </c>
      <c r="F467" t="s">
        <v>5</v>
      </c>
      <c r="G467" t="s">
        <v>6</v>
      </c>
      <c r="L467" t="s">
        <v>7</v>
      </c>
      <c r="M467">
        <v>2020</v>
      </c>
      <c r="N467" s="1">
        <v>44644</v>
      </c>
      <c r="O467" t="s">
        <v>2491</v>
      </c>
      <c r="P467">
        <v>1</v>
      </c>
      <c r="S467">
        <v>253.95</v>
      </c>
      <c r="T467">
        <v>290</v>
      </c>
      <c r="U467">
        <v>220</v>
      </c>
      <c r="V467" t="s">
        <v>98</v>
      </c>
      <c r="W467" t="s">
        <v>99</v>
      </c>
      <c r="X467" t="s">
        <v>2492</v>
      </c>
      <c r="Y467" t="s">
        <v>2493</v>
      </c>
      <c r="AF467" t="s">
        <v>13</v>
      </c>
      <c r="AG467" t="str">
        <f>HYPERLINK("https://doi.org/10.1515/9781474442572")</f>
        <v>https://doi.org/10.1515/9781474442572</v>
      </c>
      <c r="AH467" t="str">
        <f>HYPERLINK("http://www.degruyter.com/isbn/9781474442572")</f>
        <v>http://www.degruyter.com/isbn/9781474442572</v>
      </c>
      <c r="AI467" t="s">
        <v>14</v>
      </c>
      <c r="AL467" t="s">
        <v>102</v>
      </c>
      <c r="AM467">
        <v>1</v>
      </c>
      <c r="AN467" s="2">
        <v>9781474442565</v>
      </c>
    </row>
    <row r="468" spans="1:40" x14ac:dyDescent="0.3">
      <c r="A468" t="s">
        <v>2494</v>
      </c>
      <c r="B468" t="s">
        <v>1</v>
      </c>
      <c r="C468" t="s">
        <v>2495</v>
      </c>
      <c r="E468" t="s">
        <v>2496</v>
      </c>
      <c r="F468" t="s">
        <v>5</v>
      </c>
      <c r="G468" t="s">
        <v>6</v>
      </c>
      <c r="L468" t="s">
        <v>7</v>
      </c>
      <c r="M468">
        <v>2019</v>
      </c>
      <c r="N468" s="1">
        <v>44644</v>
      </c>
      <c r="O468" t="s">
        <v>2497</v>
      </c>
      <c r="P468">
        <v>1</v>
      </c>
      <c r="S468">
        <v>217.95</v>
      </c>
      <c r="T468">
        <v>250</v>
      </c>
      <c r="U468">
        <v>190</v>
      </c>
      <c r="V468" t="s">
        <v>2498</v>
      </c>
      <c r="W468" t="s">
        <v>2499</v>
      </c>
      <c r="X468" t="s">
        <v>2500</v>
      </c>
      <c r="Y468" t="s">
        <v>2501</v>
      </c>
      <c r="AF468" t="s">
        <v>13</v>
      </c>
      <c r="AG468" t="str">
        <f>HYPERLINK("https://doi.org/10.1515/9781474448963")</f>
        <v>https://doi.org/10.1515/9781474448963</v>
      </c>
      <c r="AH468" t="str">
        <f>HYPERLINK("http://www.degruyter.com/isbn/9781474448963")</f>
        <v>http://www.degruyter.com/isbn/9781474448963</v>
      </c>
      <c r="AI468" t="s">
        <v>280</v>
      </c>
      <c r="AL468" t="s">
        <v>83</v>
      </c>
      <c r="AM468">
        <v>1</v>
      </c>
      <c r="AN468" s="2">
        <v>9781474448949</v>
      </c>
    </row>
    <row r="469" spans="1:40" x14ac:dyDescent="0.3">
      <c r="A469" t="s">
        <v>2502</v>
      </c>
      <c r="B469" t="s">
        <v>1</v>
      </c>
      <c r="C469" t="s">
        <v>2503</v>
      </c>
      <c r="E469" t="s">
        <v>2504</v>
      </c>
      <c r="F469" t="s">
        <v>5</v>
      </c>
      <c r="G469" t="s">
        <v>6</v>
      </c>
      <c r="L469" t="s">
        <v>7</v>
      </c>
      <c r="M469">
        <v>2013</v>
      </c>
      <c r="N469" s="1">
        <v>41325</v>
      </c>
      <c r="O469" t="s">
        <v>2505</v>
      </c>
      <c r="P469">
        <v>1</v>
      </c>
      <c r="S469">
        <v>253.95</v>
      </c>
      <c r="T469">
        <v>290</v>
      </c>
      <c r="U469">
        <v>220</v>
      </c>
      <c r="V469" t="s">
        <v>58</v>
      </c>
      <c r="W469" t="s">
        <v>59</v>
      </c>
      <c r="X469" t="s">
        <v>60</v>
      </c>
      <c r="Y469" t="s">
        <v>61</v>
      </c>
      <c r="AF469" t="s">
        <v>13</v>
      </c>
      <c r="AG469" t="str">
        <f>HYPERLINK("https://doi.org/10.1515/9780748646951?locatt=mode:legacy")</f>
        <v>https://doi.org/10.1515/9780748646951?locatt=mode:legacy</v>
      </c>
      <c r="AH469" t="str">
        <f>HYPERLINK("http://www.degruyter.com/isbn/9780748646951")</f>
        <v>http://www.degruyter.com/isbn/9780748646951</v>
      </c>
      <c r="AI469" t="s">
        <v>68</v>
      </c>
      <c r="AL469" t="s">
        <v>62</v>
      </c>
      <c r="AM469">
        <v>1</v>
      </c>
      <c r="AN469" s="2">
        <v>9780748646944</v>
      </c>
    </row>
    <row r="470" spans="1:40" x14ac:dyDescent="0.3">
      <c r="A470" t="s">
        <v>2506</v>
      </c>
      <c r="B470" t="s">
        <v>1</v>
      </c>
      <c r="C470" t="s">
        <v>2507</v>
      </c>
      <c r="E470" t="s">
        <v>2508</v>
      </c>
      <c r="F470" t="s">
        <v>5</v>
      </c>
      <c r="G470" t="s">
        <v>6</v>
      </c>
      <c r="L470" t="s">
        <v>7</v>
      </c>
      <c r="M470">
        <v>2012</v>
      </c>
      <c r="N470" s="1">
        <v>40968</v>
      </c>
      <c r="O470" t="s">
        <v>2229</v>
      </c>
      <c r="P470">
        <v>1</v>
      </c>
      <c r="S470">
        <v>217.95</v>
      </c>
      <c r="T470">
        <v>250</v>
      </c>
      <c r="U470">
        <v>190</v>
      </c>
      <c r="V470" t="s">
        <v>42</v>
      </c>
      <c r="W470" t="s">
        <v>116</v>
      </c>
      <c r="X470" t="s">
        <v>116</v>
      </c>
      <c r="Y470" t="s">
        <v>117</v>
      </c>
      <c r="AF470" t="s">
        <v>13</v>
      </c>
      <c r="AG470" t="str">
        <f>HYPERLINK("https://doi.org/10.1515/9780748646760")</f>
        <v>https://doi.org/10.1515/9780748646760</v>
      </c>
      <c r="AH470" t="str">
        <f>HYPERLINK("http://www.degruyter.com/isbn/9780748646760")</f>
        <v>http://www.degruyter.com/isbn/9780748646760</v>
      </c>
      <c r="AI470" t="s">
        <v>68</v>
      </c>
      <c r="AL470" t="s">
        <v>47</v>
      </c>
      <c r="AM470">
        <v>1</v>
      </c>
      <c r="AN470" s="2">
        <v>9780748646753</v>
      </c>
    </row>
    <row r="471" spans="1:40" x14ac:dyDescent="0.3">
      <c r="A471" t="s">
        <v>2509</v>
      </c>
      <c r="B471" t="s">
        <v>1</v>
      </c>
      <c r="C471" t="s">
        <v>2510</v>
      </c>
      <c r="D471" t="s">
        <v>2511</v>
      </c>
      <c r="E471" t="s">
        <v>2512</v>
      </c>
      <c r="F471" t="s">
        <v>5</v>
      </c>
      <c r="G471" t="s">
        <v>6</v>
      </c>
      <c r="L471" t="s">
        <v>7</v>
      </c>
      <c r="M471">
        <v>2018</v>
      </c>
      <c r="N471" s="1">
        <v>44644</v>
      </c>
      <c r="O471" t="s">
        <v>2513</v>
      </c>
      <c r="P471">
        <v>1</v>
      </c>
      <c r="S471">
        <v>217.95</v>
      </c>
      <c r="T471">
        <v>250</v>
      </c>
      <c r="U471">
        <v>190</v>
      </c>
      <c r="V471" t="s">
        <v>98</v>
      </c>
      <c r="W471" t="s">
        <v>99</v>
      </c>
      <c r="X471" t="s">
        <v>386</v>
      </c>
      <c r="Y471" t="s">
        <v>387</v>
      </c>
      <c r="AF471" t="s">
        <v>13</v>
      </c>
      <c r="AG471" t="str">
        <f>HYPERLINK("https://doi.org/10.1515/9781474435420")</f>
        <v>https://doi.org/10.1515/9781474435420</v>
      </c>
      <c r="AH471" t="str">
        <f>HYPERLINK("http://www.degruyter.com/isbn/9781474435420")</f>
        <v>http://www.degruyter.com/isbn/9781474435420</v>
      </c>
      <c r="AI471" t="s">
        <v>46</v>
      </c>
      <c r="AJ471" t="s">
        <v>35</v>
      </c>
      <c r="AL471" t="s">
        <v>2514</v>
      </c>
      <c r="AM471">
        <v>1</v>
      </c>
      <c r="AN471" s="2">
        <v>9781474435413</v>
      </c>
    </row>
    <row r="472" spans="1:40" x14ac:dyDescent="0.3">
      <c r="A472" t="s">
        <v>2515</v>
      </c>
      <c r="B472" t="s">
        <v>1</v>
      </c>
      <c r="C472" t="s">
        <v>2516</v>
      </c>
      <c r="D472" t="s">
        <v>2517</v>
      </c>
      <c r="E472" t="s">
        <v>2518</v>
      </c>
      <c r="F472" t="s">
        <v>5</v>
      </c>
      <c r="G472" t="s">
        <v>6</v>
      </c>
      <c r="L472" t="s">
        <v>7</v>
      </c>
      <c r="M472">
        <v>2000</v>
      </c>
      <c r="N472" s="1">
        <v>44599</v>
      </c>
      <c r="O472" t="s">
        <v>1839</v>
      </c>
      <c r="P472">
        <v>1</v>
      </c>
      <c r="S472">
        <v>217.95</v>
      </c>
      <c r="T472">
        <v>250</v>
      </c>
      <c r="U472">
        <v>190</v>
      </c>
      <c r="V472" t="s">
        <v>20</v>
      </c>
      <c r="W472" t="s">
        <v>21</v>
      </c>
      <c r="X472" t="s">
        <v>22</v>
      </c>
      <c r="Y472" t="s">
        <v>23</v>
      </c>
      <c r="AF472" t="s">
        <v>13</v>
      </c>
      <c r="AG472" t="str">
        <f>HYPERLINK("https://doi.org/10.1515/9781474472050")</f>
        <v>https://doi.org/10.1515/9781474472050</v>
      </c>
      <c r="AH472" t="str">
        <f>HYPERLINK("http://www.degruyter.com/isbn/9781474472050")</f>
        <v>http://www.degruyter.com/isbn/9781474472050</v>
      </c>
      <c r="AI472" t="s">
        <v>68</v>
      </c>
      <c r="AL472" t="s">
        <v>15</v>
      </c>
      <c r="AM472">
        <v>1</v>
      </c>
      <c r="AN472" s="2">
        <v>9780748613939</v>
      </c>
    </row>
    <row r="473" spans="1:40" x14ac:dyDescent="0.3">
      <c r="A473" t="s">
        <v>2519</v>
      </c>
      <c r="B473" t="s">
        <v>1</v>
      </c>
      <c r="C473" t="s">
        <v>2520</v>
      </c>
      <c r="E473" t="s">
        <v>2521</v>
      </c>
      <c r="F473" t="s">
        <v>5</v>
      </c>
      <c r="G473" t="s">
        <v>6</v>
      </c>
      <c r="L473" t="s">
        <v>7</v>
      </c>
      <c r="M473">
        <v>2011</v>
      </c>
      <c r="N473" s="1">
        <v>40658</v>
      </c>
      <c r="O473" t="s">
        <v>2522</v>
      </c>
      <c r="P473">
        <v>1</v>
      </c>
      <c r="S473">
        <v>209.95</v>
      </c>
      <c r="T473">
        <v>240</v>
      </c>
      <c r="U473">
        <v>180</v>
      </c>
      <c r="V473" t="s">
        <v>42</v>
      </c>
      <c r="W473" t="s">
        <v>43</v>
      </c>
      <c r="X473" t="s">
        <v>44</v>
      </c>
      <c r="Y473" t="s">
        <v>45</v>
      </c>
      <c r="AF473" t="s">
        <v>13</v>
      </c>
      <c r="AG473" t="str">
        <f>HYPERLINK("https://doi.org/10.1515/9780748646128?locatt=mode:legacy")</f>
        <v>https://doi.org/10.1515/9780748646128?locatt=mode:legacy</v>
      </c>
      <c r="AH473" t="str">
        <f>HYPERLINK("http://www.degruyter.com/isbn/9780748646128")</f>
        <v>http://www.degruyter.com/isbn/9780748646128</v>
      </c>
      <c r="AI473" t="s">
        <v>68</v>
      </c>
      <c r="AL473" t="s">
        <v>47</v>
      </c>
      <c r="AM473">
        <v>1</v>
      </c>
      <c r="AN473" s="2">
        <v>9780748638178</v>
      </c>
    </row>
    <row r="474" spans="1:40" x14ac:dyDescent="0.3">
      <c r="A474" t="s">
        <v>2523</v>
      </c>
      <c r="B474" t="s">
        <v>1</v>
      </c>
      <c r="C474" t="s">
        <v>2524</v>
      </c>
      <c r="D474" t="s">
        <v>2525</v>
      </c>
      <c r="E474" t="s">
        <v>2526</v>
      </c>
      <c r="F474" t="s">
        <v>5</v>
      </c>
      <c r="G474" t="s">
        <v>6</v>
      </c>
      <c r="L474" t="s">
        <v>7</v>
      </c>
      <c r="M474">
        <v>2016</v>
      </c>
      <c r="N474" s="1">
        <v>42422</v>
      </c>
      <c r="O474" t="s">
        <v>2527</v>
      </c>
      <c r="P474">
        <v>1</v>
      </c>
      <c r="S474">
        <v>253.95</v>
      </c>
      <c r="T474">
        <v>290</v>
      </c>
      <c r="U474">
        <v>220</v>
      </c>
      <c r="V474" t="s">
        <v>268</v>
      </c>
      <c r="W474" t="s">
        <v>269</v>
      </c>
      <c r="X474" t="s">
        <v>269</v>
      </c>
      <c r="Y474" t="s">
        <v>2528</v>
      </c>
      <c r="AF474" t="s">
        <v>13</v>
      </c>
      <c r="AG474" t="str">
        <f>HYPERLINK("https://doi.org/10.1515/9780748668991")</f>
        <v>https://doi.org/10.1515/9780748668991</v>
      </c>
      <c r="AH474" t="str">
        <f>HYPERLINK("http://www.degruyter.com/isbn/9780748668991")</f>
        <v>http://www.degruyter.com/isbn/9780748668991</v>
      </c>
      <c r="AI474" t="s">
        <v>1411</v>
      </c>
      <c r="AL474" t="s">
        <v>272</v>
      </c>
      <c r="AM474">
        <v>1</v>
      </c>
      <c r="AN474" s="2">
        <v>9780748668977</v>
      </c>
    </row>
    <row r="475" spans="1:40" x14ac:dyDescent="0.3">
      <c r="A475" t="s">
        <v>2529</v>
      </c>
      <c r="B475" t="s">
        <v>1</v>
      </c>
      <c r="C475" t="s">
        <v>2530</v>
      </c>
      <c r="D475" t="s">
        <v>2531</v>
      </c>
      <c r="E475" t="s">
        <v>2532</v>
      </c>
      <c r="F475" t="s">
        <v>5</v>
      </c>
      <c r="G475" t="s">
        <v>6</v>
      </c>
      <c r="L475" t="s">
        <v>7</v>
      </c>
      <c r="M475">
        <v>2012</v>
      </c>
      <c r="N475" s="1">
        <v>40921</v>
      </c>
      <c r="O475" t="s">
        <v>2533</v>
      </c>
      <c r="P475">
        <v>1</v>
      </c>
      <c r="S475">
        <v>253.95</v>
      </c>
      <c r="T475">
        <v>290</v>
      </c>
      <c r="U475">
        <v>220</v>
      </c>
      <c r="V475" t="s">
        <v>79</v>
      </c>
      <c r="W475" t="s">
        <v>209</v>
      </c>
      <c r="X475" t="s">
        <v>209</v>
      </c>
      <c r="Y475" t="s">
        <v>510</v>
      </c>
      <c r="AF475" t="s">
        <v>13</v>
      </c>
      <c r="AG475" t="str">
        <f>HYPERLINK("https://doi.org/10.1515/9780748645268")</f>
        <v>https://doi.org/10.1515/9780748645268</v>
      </c>
      <c r="AH475" t="str">
        <f>HYPERLINK("http://www.degruyter.com/isbn/9780748645268")</f>
        <v>http://www.degruyter.com/isbn/9780748645268</v>
      </c>
      <c r="AI475" t="s">
        <v>2534</v>
      </c>
      <c r="AL475" t="s">
        <v>83</v>
      </c>
      <c r="AM475">
        <v>1</v>
      </c>
      <c r="AN475" s="2">
        <v>9780748645251</v>
      </c>
    </row>
    <row r="476" spans="1:40" x14ac:dyDescent="0.3">
      <c r="A476" t="s">
        <v>2535</v>
      </c>
      <c r="B476" t="s">
        <v>1</v>
      </c>
      <c r="C476" t="s">
        <v>2536</v>
      </c>
      <c r="D476" t="s">
        <v>2537</v>
      </c>
      <c r="E476" t="s">
        <v>2538</v>
      </c>
      <c r="F476" t="s">
        <v>5</v>
      </c>
      <c r="G476" t="s">
        <v>6</v>
      </c>
      <c r="L476" t="s">
        <v>7</v>
      </c>
      <c r="M476">
        <v>2014</v>
      </c>
      <c r="N476" s="1">
        <v>41709</v>
      </c>
      <c r="O476" t="s">
        <v>2539</v>
      </c>
      <c r="P476">
        <v>1</v>
      </c>
      <c r="S476">
        <v>217.95</v>
      </c>
      <c r="T476">
        <v>250</v>
      </c>
      <c r="U476">
        <v>190</v>
      </c>
      <c r="V476" t="s">
        <v>42</v>
      </c>
      <c r="W476" t="s">
        <v>43</v>
      </c>
      <c r="X476" t="s">
        <v>44</v>
      </c>
      <c r="Y476" t="s">
        <v>45</v>
      </c>
      <c r="AF476" t="s">
        <v>13</v>
      </c>
      <c r="AG476" t="str">
        <f>HYPERLINK("https://doi.org/10.1515/9780748684038?locatt=mode:legacy")</f>
        <v>https://doi.org/10.1515/9780748684038?locatt=mode:legacy</v>
      </c>
      <c r="AH476" t="str">
        <f>HYPERLINK("http://www.degruyter.com/isbn/9780748684038")</f>
        <v>http://www.degruyter.com/isbn/9780748684038</v>
      </c>
      <c r="AI476" t="s">
        <v>34</v>
      </c>
      <c r="AL476" t="s">
        <v>47</v>
      </c>
      <c r="AM476">
        <v>1</v>
      </c>
      <c r="AN476" s="2">
        <v>9780748684021</v>
      </c>
    </row>
    <row r="477" spans="1:40" x14ac:dyDescent="0.3">
      <c r="A477" t="s">
        <v>2540</v>
      </c>
      <c r="B477" t="s">
        <v>1</v>
      </c>
      <c r="C477" t="s">
        <v>2189</v>
      </c>
      <c r="D477" t="s">
        <v>2541</v>
      </c>
      <c r="E477" t="s">
        <v>2190</v>
      </c>
      <c r="F477" t="s">
        <v>5</v>
      </c>
      <c r="G477" t="s">
        <v>6</v>
      </c>
      <c r="L477" t="s">
        <v>7</v>
      </c>
      <c r="M477">
        <v>2003</v>
      </c>
      <c r="N477" s="1">
        <v>37907</v>
      </c>
      <c r="O477" t="s">
        <v>2191</v>
      </c>
      <c r="P477">
        <v>1</v>
      </c>
      <c r="S477">
        <v>253.95</v>
      </c>
      <c r="T477">
        <v>290</v>
      </c>
      <c r="U477">
        <v>220</v>
      </c>
      <c r="V477" t="s">
        <v>58</v>
      </c>
      <c r="W477" t="s">
        <v>59</v>
      </c>
      <c r="X477" t="s">
        <v>60</v>
      </c>
      <c r="Y477" t="s">
        <v>169</v>
      </c>
      <c r="AF477" t="s">
        <v>13</v>
      </c>
      <c r="AG477" t="str">
        <f>HYPERLINK("https://doi.org/10.1515/9781474469647")</f>
        <v>https://doi.org/10.1515/9781474469647</v>
      </c>
      <c r="AH477" t="str">
        <f>HYPERLINK("http://www.degruyter.com/isbn/9781474469647")</f>
        <v>http://www.degruyter.com/isbn/9781474469647</v>
      </c>
      <c r="AI477" t="s">
        <v>68</v>
      </c>
      <c r="AL477" t="s">
        <v>62</v>
      </c>
      <c r="AM477">
        <v>1</v>
      </c>
      <c r="AN477" s="2">
        <v>9780748617913</v>
      </c>
    </row>
    <row r="478" spans="1:40" x14ac:dyDescent="0.3">
      <c r="A478" t="s">
        <v>2542</v>
      </c>
      <c r="B478" t="s">
        <v>1</v>
      </c>
      <c r="C478" t="s">
        <v>2543</v>
      </c>
      <c r="D478" t="s">
        <v>2544</v>
      </c>
      <c r="E478" t="s">
        <v>2545</v>
      </c>
      <c r="F478" t="s">
        <v>5</v>
      </c>
      <c r="G478" t="s">
        <v>6</v>
      </c>
      <c r="L478" t="s">
        <v>7</v>
      </c>
      <c r="M478">
        <v>2000</v>
      </c>
      <c r="N478" s="1">
        <v>36875</v>
      </c>
      <c r="O478" t="s">
        <v>2546</v>
      </c>
      <c r="P478">
        <v>1</v>
      </c>
      <c r="S478">
        <v>217.95</v>
      </c>
      <c r="T478">
        <v>250</v>
      </c>
      <c r="U478">
        <v>190</v>
      </c>
      <c r="V478" t="s">
        <v>98</v>
      </c>
      <c r="W478" t="s">
        <v>99</v>
      </c>
      <c r="X478" t="s">
        <v>100</v>
      </c>
      <c r="Y478" t="s">
        <v>937</v>
      </c>
      <c r="AF478" t="s">
        <v>13</v>
      </c>
      <c r="AG478" t="str">
        <f>HYPERLINK("https://doi.org/10.1515/9780585468013")</f>
        <v>https://doi.org/10.1515/9780585468013</v>
      </c>
      <c r="AH478" t="str">
        <f>HYPERLINK("http://www.degruyter.com/isbn/9780585468013")</f>
        <v>http://www.degruyter.com/isbn/9780585468013</v>
      </c>
      <c r="AI478" t="s">
        <v>68</v>
      </c>
      <c r="AL478" t="s">
        <v>102</v>
      </c>
      <c r="AM478">
        <v>1</v>
      </c>
      <c r="AN478" s="2">
        <v>9780748609352</v>
      </c>
    </row>
    <row r="479" spans="1:40" x14ac:dyDescent="0.3">
      <c r="A479" t="s">
        <v>2547</v>
      </c>
      <c r="B479" t="s">
        <v>1</v>
      </c>
      <c r="C479" t="s">
        <v>2548</v>
      </c>
      <c r="D479" t="s">
        <v>2549</v>
      </c>
      <c r="E479" t="s">
        <v>2550</v>
      </c>
      <c r="F479" t="s">
        <v>5</v>
      </c>
      <c r="G479" t="s">
        <v>6</v>
      </c>
      <c r="L479" t="s">
        <v>7</v>
      </c>
      <c r="M479">
        <v>2005</v>
      </c>
      <c r="N479" s="1">
        <v>38377</v>
      </c>
      <c r="O479" t="s">
        <v>2551</v>
      </c>
      <c r="P479">
        <v>1</v>
      </c>
      <c r="S479">
        <v>380.95</v>
      </c>
      <c r="T479">
        <v>430</v>
      </c>
      <c r="U479">
        <v>330</v>
      </c>
      <c r="V479" t="s">
        <v>89</v>
      </c>
      <c r="W479" t="s">
        <v>90</v>
      </c>
      <c r="X479" t="s">
        <v>91</v>
      </c>
      <c r="Y479" t="s">
        <v>717</v>
      </c>
      <c r="AF479" t="s">
        <v>13</v>
      </c>
      <c r="AG479" t="str">
        <f>HYPERLINK("https://doi.org/10.1515/9781474471428")</f>
        <v>https://doi.org/10.1515/9781474471428</v>
      </c>
      <c r="AH479" t="str">
        <f>HYPERLINK("http://www.degruyter.com/isbn/9781474471428")</f>
        <v>http://www.degruyter.com/isbn/9781474471428</v>
      </c>
      <c r="AI479" t="s">
        <v>68</v>
      </c>
      <c r="AL479" t="s">
        <v>83</v>
      </c>
      <c r="AM479">
        <v>1</v>
      </c>
      <c r="AN479" s="2">
        <v>9780748620906</v>
      </c>
    </row>
    <row r="480" spans="1:40" x14ac:dyDescent="0.3">
      <c r="A480" t="s">
        <v>2552</v>
      </c>
      <c r="B480" t="s">
        <v>1</v>
      </c>
      <c r="C480" t="s">
        <v>2553</v>
      </c>
      <c r="D480" t="s">
        <v>2554</v>
      </c>
      <c r="E480" t="s">
        <v>2555</v>
      </c>
      <c r="F480" t="s">
        <v>5</v>
      </c>
      <c r="G480" t="s">
        <v>6</v>
      </c>
      <c r="L480" t="s">
        <v>7</v>
      </c>
      <c r="M480">
        <v>1998</v>
      </c>
      <c r="N480" s="1">
        <v>44599</v>
      </c>
      <c r="O480" t="s">
        <v>2556</v>
      </c>
      <c r="P480">
        <v>1</v>
      </c>
      <c r="S480">
        <v>217.95</v>
      </c>
      <c r="T480">
        <v>250</v>
      </c>
      <c r="U480">
        <v>190</v>
      </c>
      <c r="V480" t="s">
        <v>42</v>
      </c>
      <c r="W480" t="s">
        <v>290</v>
      </c>
      <c r="X480" t="s">
        <v>290</v>
      </c>
      <c r="Y480" t="s">
        <v>291</v>
      </c>
      <c r="AF480" t="s">
        <v>13</v>
      </c>
      <c r="AG480" t="str">
        <f>HYPERLINK("https://doi.org/10.1515/9780585122779")</f>
        <v>https://doi.org/10.1515/9780585122779</v>
      </c>
      <c r="AH480" t="str">
        <f>HYPERLINK("http://www.degruyter.com/isbn/9780585122779")</f>
        <v>http://www.degruyter.com/isbn/9780585122779</v>
      </c>
      <c r="AI480" t="s">
        <v>24</v>
      </c>
      <c r="AL480" t="s">
        <v>47</v>
      </c>
      <c r="AM480">
        <v>1</v>
      </c>
      <c r="AN480" s="2">
        <v>9780748611126</v>
      </c>
    </row>
    <row r="481" spans="1:40" x14ac:dyDescent="0.3">
      <c r="A481" t="s">
        <v>2557</v>
      </c>
      <c r="B481" t="s">
        <v>1</v>
      </c>
      <c r="C481" t="s">
        <v>2558</v>
      </c>
      <c r="D481" t="s">
        <v>1672</v>
      </c>
      <c r="E481" t="s">
        <v>2559</v>
      </c>
      <c r="F481" t="s">
        <v>5</v>
      </c>
      <c r="G481" t="s">
        <v>6</v>
      </c>
      <c r="L481" t="s">
        <v>7</v>
      </c>
      <c r="M481">
        <v>2001</v>
      </c>
      <c r="N481" s="1">
        <v>44719</v>
      </c>
      <c r="O481" t="s">
        <v>2560</v>
      </c>
      <c r="P481">
        <v>1</v>
      </c>
      <c r="S481">
        <v>217.95</v>
      </c>
      <c r="T481">
        <v>250</v>
      </c>
      <c r="U481">
        <v>190</v>
      </c>
      <c r="V481" t="s">
        <v>58</v>
      </c>
      <c r="W481" t="s">
        <v>59</v>
      </c>
      <c r="X481" t="s">
        <v>60</v>
      </c>
      <c r="Y481" t="s">
        <v>399</v>
      </c>
      <c r="AF481" t="s">
        <v>13</v>
      </c>
      <c r="AG481" t="str">
        <f>HYPERLINK("https://doi.org/10.1515/9781474465403")</f>
        <v>https://doi.org/10.1515/9781474465403</v>
      </c>
      <c r="AH481" t="str">
        <f>HYPERLINK("http://www.degruyter.com/isbn/9781474465403")</f>
        <v>http://www.degruyter.com/isbn/9781474465403</v>
      </c>
      <c r="AI481" t="s">
        <v>68</v>
      </c>
      <c r="AL481" t="s">
        <v>62</v>
      </c>
      <c r="AM481">
        <v>1</v>
      </c>
      <c r="AN481" s="2">
        <v>9781902930244</v>
      </c>
    </row>
    <row r="482" spans="1:40" x14ac:dyDescent="0.3">
      <c r="A482" t="s">
        <v>2561</v>
      </c>
      <c r="B482" t="s">
        <v>1</v>
      </c>
      <c r="C482" t="s">
        <v>2562</v>
      </c>
      <c r="D482" t="s">
        <v>2563</v>
      </c>
      <c r="E482" t="s">
        <v>2564</v>
      </c>
      <c r="F482" t="s">
        <v>5</v>
      </c>
      <c r="G482" t="s">
        <v>6</v>
      </c>
      <c r="L482" t="s">
        <v>7</v>
      </c>
      <c r="M482">
        <v>2019</v>
      </c>
      <c r="N482" s="1">
        <v>44644</v>
      </c>
      <c r="O482" t="s">
        <v>2565</v>
      </c>
      <c r="P482">
        <v>1</v>
      </c>
      <c r="S482">
        <v>217.95</v>
      </c>
      <c r="T482">
        <v>250</v>
      </c>
      <c r="U482">
        <v>190</v>
      </c>
      <c r="V482" t="s">
        <v>305</v>
      </c>
      <c r="W482" t="s">
        <v>2566</v>
      </c>
      <c r="X482" t="s">
        <v>2567</v>
      </c>
      <c r="Y482" t="s">
        <v>2568</v>
      </c>
      <c r="AF482" t="s">
        <v>13</v>
      </c>
      <c r="AG482" t="str">
        <f>HYPERLINK("https://doi.org/10.1515/9781474409308")</f>
        <v>https://doi.org/10.1515/9781474409308</v>
      </c>
      <c r="AH482" t="str">
        <f>HYPERLINK("http://www.degruyter.com/isbn/9781474409308")</f>
        <v>http://www.degruyter.com/isbn/9781474409308</v>
      </c>
      <c r="AI482" t="s">
        <v>280</v>
      </c>
      <c r="AL482" t="s">
        <v>308</v>
      </c>
      <c r="AM482">
        <v>1</v>
      </c>
      <c r="AN482" s="2">
        <v>9781474409292</v>
      </c>
    </row>
    <row r="483" spans="1:40" x14ac:dyDescent="0.3">
      <c r="A483" t="s">
        <v>2569</v>
      </c>
      <c r="B483" t="s">
        <v>1</v>
      </c>
      <c r="C483" t="s">
        <v>2570</v>
      </c>
      <c r="D483" t="s">
        <v>2571</v>
      </c>
      <c r="E483" t="s">
        <v>2572</v>
      </c>
      <c r="F483" t="s">
        <v>5</v>
      </c>
      <c r="G483" t="s">
        <v>6</v>
      </c>
      <c r="L483" t="s">
        <v>7</v>
      </c>
      <c r="M483">
        <v>2017</v>
      </c>
      <c r="N483" s="1">
        <v>43084</v>
      </c>
      <c r="O483" t="s">
        <v>2573</v>
      </c>
      <c r="P483">
        <v>1</v>
      </c>
      <c r="S483">
        <v>217.95</v>
      </c>
      <c r="T483">
        <v>250</v>
      </c>
      <c r="U483">
        <v>190</v>
      </c>
      <c r="V483" t="s">
        <v>20</v>
      </c>
      <c r="W483" t="s">
        <v>21</v>
      </c>
      <c r="X483" t="s">
        <v>458</v>
      </c>
      <c r="Y483" t="s">
        <v>1816</v>
      </c>
      <c r="AF483" t="s">
        <v>13</v>
      </c>
      <c r="AG483" t="str">
        <f>HYPERLINK("https://doi.org/10.1515/9781474430630?locatt=mode:legacy")</f>
        <v>https://doi.org/10.1515/9781474430630?locatt=mode:legacy</v>
      </c>
      <c r="AH483" t="str">
        <f>HYPERLINK("http://www.degruyter.com/isbn/9781474430630")</f>
        <v>http://www.degruyter.com/isbn/9781474430630</v>
      </c>
      <c r="AI483" t="s">
        <v>222</v>
      </c>
      <c r="AL483" t="s">
        <v>15</v>
      </c>
      <c r="AM483">
        <v>1</v>
      </c>
      <c r="AN483" s="2">
        <v>9781474430616</v>
      </c>
    </row>
    <row r="484" spans="1:40" x14ac:dyDescent="0.3">
      <c r="A484" t="s">
        <v>2574</v>
      </c>
      <c r="B484" t="s">
        <v>1</v>
      </c>
      <c r="C484" t="s">
        <v>2575</v>
      </c>
      <c r="D484" t="s">
        <v>2576</v>
      </c>
      <c r="E484" t="s">
        <v>2577</v>
      </c>
      <c r="F484" t="s">
        <v>5</v>
      </c>
      <c r="G484" t="s">
        <v>6</v>
      </c>
      <c r="L484" t="s">
        <v>7</v>
      </c>
      <c r="M484">
        <v>2008</v>
      </c>
      <c r="N484" s="1">
        <v>39687</v>
      </c>
      <c r="O484" t="s">
        <v>2578</v>
      </c>
      <c r="P484">
        <v>1</v>
      </c>
      <c r="S484">
        <v>217.95</v>
      </c>
      <c r="T484">
        <v>250</v>
      </c>
      <c r="U484">
        <v>190</v>
      </c>
      <c r="V484" t="s">
        <v>58</v>
      </c>
      <c r="W484" t="s">
        <v>129</v>
      </c>
      <c r="X484" t="s">
        <v>1290</v>
      </c>
      <c r="Y484" t="s">
        <v>2579</v>
      </c>
      <c r="AF484" t="s">
        <v>13</v>
      </c>
      <c r="AG484" t="str">
        <f>HYPERLINK("https://doi.org/10.1515/9780748635467")</f>
        <v>https://doi.org/10.1515/9780748635467</v>
      </c>
      <c r="AH484" t="str">
        <f>HYPERLINK("http://www.degruyter.com/isbn/9780748635467")</f>
        <v>http://www.degruyter.com/isbn/9780748635467</v>
      </c>
      <c r="AI484" t="s">
        <v>68</v>
      </c>
      <c r="AL484" t="s">
        <v>62</v>
      </c>
      <c r="AM484">
        <v>1</v>
      </c>
      <c r="AN484" s="2">
        <v>9780748635443</v>
      </c>
    </row>
    <row r="485" spans="1:40" x14ac:dyDescent="0.3">
      <c r="A485" t="s">
        <v>2580</v>
      </c>
      <c r="B485" t="s">
        <v>1</v>
      </c>
      <c r="C485" t="s">
        <v>2581</v>
      </c>
      <c r="E485" t="s">
        <v>2582</v>
      </c>
      <c r="F485" t="s">
        <v>5</v>
      </c>
      <c r="G485" t="s">
        <v>6</v>
      </c>
      <c r="K485" t="s">
        <v>929</v>
      </c>
      <c r="L485" t="s">
        <v>7</v>
      </c>
      <c r="M485">
        <v>2018</v>
      </c>
      <c r="N485" s="1">
        <v>43257</v>
      </c>
      <c r="O485" t="s">
        <v>2583</v>
      </c>
      <c r="P485">
        <v>1</v>
      </c>
      <c r="V485" t="s">
        <v>9</v>
      </c>
      <c r="W485" t="s">
        <v>10</v>
      </c>
      <c r="X485" t="s">
        <v>11</v>
      </c>
      <c r="Y485" t="s">
        <v>12</v>
      </c>
      <c r="AF485" t="s">
        <v>13</v>
      </c>
      <c r="AG485" t="str">
        <f>HYPERLINK("https://doi.org/10.1515/9781474425278?locatt=mode:legacy")</f>
        <v>https://doi.org/10.1515/9781474425278?locatt=mode:legacy</v>
      </c>
      <c r="AH485" t="str">
        <f>HYPERLINK("http://www.degruyter.com/isbn/9781474425278")</f>
        <v>http://www.degruyter.com/isbn/9781474425278</v>
      </c>
      <c r="AI485" t="s">
        <v>46</v>
      </c>
      <c r="AM485">
        <v>1</v>
      </c>
      <c r="AN485" s="2"/>
    </row>
    <row r="486" spans="1:40" x14ac:dyDescent="0.3">
      <c r="A486" t="s">
        <v>2584</v>
      </c>
      <c r="B486" t="s">
        <v>1</v>
      </c>
      <c r="C486" t="s">
        <v>2585</v>
      </c>
      <c r="D486" t="s">
        <v>2586</v>
      </c>
      <c r="E486" t="s">
        <v>2587</v>
      </c>
      <c r="F486" t="s">
        <v>5</v>
      </c>
      <c r="G486" t="s">
        <v>6</v>
      </c>
      <c r="L486" t="s">
        <v>7</v>
      </c>
      <c r="M486">
        <v>2012</v>
      </c>
      <c r="N486" s="1">
        <v>40961</v>
      </c>
      <c r="O486" t="s">
        <v>2588</v>
      </c>
      <c r="P486">
        <v>1</v>
      </c>
      <c r="S486">
        <v>253.95</v>
      </c>
      <c r="T486">
        <v>290</v>
      </c>
      <c r="U486">
        <v>220</v>
      </c>
      <c r="V486" t="s">
        <v>79</v>
      </c>
      <c r="W486" t="s">
        <v>123</v>
      </c>
      <c r="X486" t="s">
        <v>123</v>
      </c>
      <c r="Y486" t="s">
        <v>124</v>
      </c>
      <c r="AF486" t="s">
        <v>13</v>
      </c>
      <c r="AG486" t="str">
        <f>HYPERLINK("https://doi.org/10.1515/9780748644001")</f>
        <v>https://doi.org/10.1515/9780748644001</v>
      </c>
      <c r="AH486" t="str">
        <f>HYPERLINK("http://www.degruyter.com/isbn/9780748644001")</f>
        <v>http://www.degruyter.com/isbn/9780748644001</v>
      </c>
      <c r="AI486" t="s">
        <v>68</v>
      </c>
      <c r="AL486" t="s">
        <v>83</v>
      </c>
      <c r="AM486">
        <v>1</v>
      </c>
      <c r="AN486" s="2">
        <v>9780748643998</v>
      </c>
    </row>
    <row r="487" spans="1:40" x14ac:dyDescent="0.3">
      <c r="A487" t="s">
        <v>2589</v>
      </c>
      <c r="B487" t="s">
        <v>1</v>
      </c>
      <c r="C487" t="s">
        <v>2590</v>
      </c>
      <c r="D487" t="s">
        <v>2591</v>
      </c>
      <c r="E487" t="s">
        <v>2592</v>
      </c>
      <c r="F487" t="s">
        <v>5</v>
      </c>
      <c r="G487" t="s">
        <v>6</v>
      </c>
      <c r="K487" t="s">
        <v>929</v>
      </c>
      <c r="L487" t="s">
        <v>7</v>
      </c>
      <c r="M487">
        <v>2016</v>
      </c>
      <c r="N487" s="1">
        <v>42387</v>
      </c>
      <c r="O487" t="s">
        <v>2593</v>
      </c>
      <c r="P487">
        <v>1</v>
      </c>
      <c r="V487" t="s">
        <v>89</v>
      </c>
      <c r="W487" t="s">
        <v>90</v>
      </c>
      <c r="X487" t="s">
        <v>91</v>
      </c>
      <c r="Y487" t="s">
        <v>717</v>
      </c>
      <c r="AF487" t="s">
        <v>13</v>
      </c>
      <c r="AG487" t="str">
        <f>HYPERLINK("https://doi.org/10.1515/9781474402262?locatt=mode:legacy")</f>
        <v>https://doi.org/10.1515/9781474402262?locatt=mode:legacy</v>
      </c>
      <c r="AH487" t="str">
        <f>HYPERLINK("http://www.degruyter.com/isbn/9781474402262")</f>
        <v>http://www.degruyter.com/isbn/9781474402262</v>
      </c>
      <c r="AI487" t="s">
        <v>180</v>
      </c>
      <c r="AM487">
        <v>1</v>
      </c>
      <c r="AN487" s="2"/>
    </row>
    <row r="488" spans="1:40" x14ac:dyDescent="0.3">
      <c r="A488" t="s">
        <v>2594</v>
      </c>
      <c r="B488" t="s">
        <v>1</v>
      </c>
      <c r="C488" t="s">
        <v>2595</v>
      </c>
      <c r="D488" t="s">
        <v>2596</v>
      </c>
      <c r="E488" t="s">
        <v>2597</v>
      </c>
      <c r="F488" t="s">
        <v>5</v>
      </c>
      <c r="G488" t="s">
        <v>6</v>
      </c>
      <c r="L488" t="s">
        <v>7</v>
      </c>
      <c r="M488">
        <v>1997</v>
      </c>
      <c r="N488" s="1">
        <v>44599</v>
      </c>
      <c r="O488" t="s">
        <v>2598</v>
      </c>
      <c r="P488">
        <v>1</v>
      </c>
      <c r="S488">
        <v>253.95</v>
      </c>
      <c r="T488">
        <v>290</v>
      </c>
      <c r="U488">
        <v>220</v>
      </c>
      <c r="V488" t="s">
        <v>79</v>
      </c>
      <c r="W488" t="s">
        <v>227</v>
      </c>
      <c r="X488" t="s">
        <v>2599</v>
      </c>
      <c r="Y488" t="s">
        <v>2600</v>
      </c>
      <c r="AF488" t="s">
        <v>13</v>
      </c>
      <c r="AG488" t="str">
        <f>HYPERLINK("https://doi.org/10.1515/9781474470742")</f>
        <v>https://doi.org/10.1515/9781474470742</v>
      </c>
      <c r="AH488" t="str">
        <f>HYPERLINK("http://www.degruyter.com/isbn/9781474470742")</f>
        <v>http://www.degruyter.com/isbn/9781474470742</v>
      </c>
      <c r="AI488" t="s">
        <v>24</v>
      </c>
      <c r="AL488" t="s">
        <v>83</v>
      </c>
      <c r="AM488">
        <v>1</v>
      </c>
      <c r="AN488" s="2">
        <v>9780748609017</v>
      </c>
    </row>
    <row r="489" spans="1:40" x14ac:dyDescent="0.3">
      <c r="A489" t="s">
        <v>2601</v>
      </c>
      <c r="B489" t="s">
        <v>1</v>
      </c>
      <c r="C489" t="s">
        <v>2602</v>
      </c>
      <c r="E489" t="s">
        <v>2603</v>
      </c>
      <c r="F489" t="s">
        <v>5</v>
      </c>
      <c r="G489" t="s">
        <v>6</v>
      </c>
      <c r="L489" t="s">
        <v>7</v>
      </c>
      <c r="M489">
        <v>2009</v>
      </c>
      <c r="N489" s="1">
        <v>39857</v>
      </c>
      <c r="O489" t="s">
        <v>2604</v>
      </c>
      <c r="P489">
        <v>1</v>
      </c>
      <c r="S489">
        <v>227.95</v>
      </c>
      <c r="T489">
        <v>260</v>
      </c>
      <c r="U489">
        <v>200</v>
      </c>
      <c r="V489" t="s">
        <v>9</v>
      </c>
      <c r="W489" t="s">
        <v>10</v>
      </c>
      <c r="X489" t="s">
        <v>11</v>
      </c>
      <c r="Y489" t="s">
        <v>12</v>
      </c>
      <c r="AF489" t="s">
        <v>13</v>
      </c>
      <c r="AG489" t="str">
        <f>HYPERLINK("https://doi.org/10.1515/9781474467766")</f>
        <v>https://doi.org/10.1515/9781474467766</v>
      </c>
      <c r="AH489" t="str">
        <f>HYPERLINK("http://www.degruyter.com/isbn/9781474467766")</f>
        <v>http://www.degruyter.com/isbn/9781474467766</v>
      </c>
      <c r="AI489" t="s">
        <v>68</v>
      </c>
      <c r="AL489" t="s">
        <v>15</v>
      </c>
      <c r="AM489">
        <v>1</v>
      </c>
      <c r="AN489" s="2">
        <v>9780748623990</v>
      </c>
    </row>
    <row r="490" spans="1:40" x14ac:dyDescent="0.3">
      <c r="A490" t="s">
        <v>2605</v>
      </c>
      <c r="B490" t="s">
        <v>1</v>
      </c>
      <c r="C490" t="s">
        <v>2606</v>
      </c>
      <c r="D490" t="s">
        <v>2607</v>
      </c>
      <c r="E490" t="s">
        <v>2608</v>
      </c>
      <c r="F490" t="s">
        <v>5</v>
      </c>
      <c r="G490" t="s">
        <v>6</v>
      </c>
      <c r="L490" t="s">
        <v>7</v>
      </c>
      <c r="M490">
        <v>2006</v>
      </c>
      <c r="N490" s="1">
        <v>39073</v>
      </c>
      <c r="O490" t="s">
        <v>2609</v>
      </c>
      <c r="P490">
        <v>1</v>
      </c>
      <c r="S490">
        <v>287.95</v>
      </c>
      <c r="T490">
        <v>330</v>
      </c>
      <c r="U490">
        <v>250</v>
      </c>
      <c r="V490" t="s">
        <v>297</v>
      </c>
      <c r="W490" t="s">
        <v>1925</v>
      </c>
      <c r="X490" t="s">
        <v>1925</v>
      </c>
      <c r="Y490" t="s">
        <v>1926</v>
      </c>
      <c r="AF490" t="s">
        <v>13</v>
      </c>
      <c r="AG490" t="str">
        <f>HYPERLINK("https://doi.org/10.1515/9780748630257")</f>
        <v>https://doi.org/10.1515/9780748630257</v>
      </c>
      <c r="AH490" t="str">
        <f>HYPERLINK("http://www.degruyter.com/isbn/9780748630257")</f>
        <v>http://www.degruyter.com/isbn/9780748630257</v>
      </c>
      <c r="AI490" t="s">
        <v>68</v>
      </c>
      <c r="AJ490" t="s">
        <v>35</v>
      </c>
      <c r="AL490" t="s">
        <v>718</v>
      </c>
      <c r="AM490">
        <v>1</v>
      </c>
      <c r="AN490" s="2">
        <v>9780748623914</v>
      </c>
    </row>
    <row r="491" spans="1:40" x14ac:dyDescent="0.3">
      <c r="A491" t="s">
        <v>2610</v>
      </c>
      <c r="B491" t="s">
        <v>1</v>
      </c>
      <c r="C491" t="s">
        <v>2611</v>
      </c>
      <c r="D491" t="s">
        <v>2612</v>
      </c>
      <c r="E491" t="s">
        <v>2613</v>
      </c>
      <c r="F491" t="s">
        <v>5</v>
      </c>
      <c r="G491" t="s">
        <v>6</v>
      </c>
      <c r="L491" t="s">
        <v>7</v>
      </c>
      <c r="M491">
        <v>2009</v>
      </c>
      <c r="N491" s="1">
        <v>39839</v>
      </c>
      <c r="O491" t="s">
        <v>2614</v>
      </c>
      <c r="P491">
        <v>1</v>
      </c>
      <c r="S491">
        <v>217.95</v>
      </c>
      <c r="T491">
        <v>250</v>
      </c>
      <c r="U491">
        <v>190</v>
      </c>
      <c r="V491" t="s">
        <v>58</v>
      </c>
      <c r="W491" t="s">
        <v>59</v>
      </c>
      <c r="X491" t="s">
        <v>60</v>
      </c>
      <c r="Y491" t="s">
        <v>169</v>
      </c>
      <c r="AF491" t="s">
        <v>13</v>
      </c>
      <c r="AG491" t="str">
        <f>HYPERLINK("https://doi.org/10.1515/9780748632312?locatt=mode:legacy")</f>
        <v>https://doi.org/10.1515/9780748632312?locatt=mode:legacy</v>
      </c>
      <c r="AH491" t="str">
        <f>HYPERLINK("http://www.degruyter.com/isbn/9780748632312")</f>
        <v>http://www.degruyter.com/isbn/9780748632312</v>
      </c>
      <c r="AI491" t="s">
        <v>68</v>
      </c>
      <c r="AL491" t="s">
        <v>62</v>
      </c>
      <c r="AM491">
        <v>1</v>
      </c>
      <c r="AN491" s="2">
        <v>9780748632794</v>
      </c>
    </row>
    <row r="492" spans="1:40" x14ac:dyDescent="0.3">
      <c r="A492" t="s">
        <v>2615</v>
      </c>
      <c r="B492" t="s">
        <v>1</v>
      </c>
      <c r="C492" t="s">
        <v>2616</v>
      </c>
      <c r="D492" t="s">
        <v>2617</v>
      </c>
      <c r="E492" t="s">
        <v>2618</v>
      </c>
      <c r="F492" t="s">
        <v>5</v>
      </c>
      <c r="G492" t="s">
        <v>6</v>
      </c>
      <c r="L492" t="s">
        <v>7</v>
      </c>
      <c r="M492">
        <v>2021</v>
      </c>
      <c r="N492" s="1">
        <v>44644</v>
      </c>
      <c r="O492" t="s">
        <v>2619</v>
      </c>
      <c r="P492">
        <v>1</v>
      </c>
      <c r="S492">
        <v>253.95</v>
      </c>
      <c r="T492">
        <v>290</v>
      </c>
      <c r="U492">
        <v>220</v>
      </c>
      <c r="V492" t="s">
        <v>58</v>
      </c>
      <c r="W492" t="s">
        <v>59</v>
      </c>
      <c r="X492" t="s">
        <v>60</v>
      </c>
      <c r="Y492" t="s">
        <v>2620</v>
      </c>
      <c r="AF492" t="s">
        <v>13</v>
      </c>
      <c r="AG492" t="str">
        <f>HYPERLINK("https://doi.org/10.1515/9781474447447")</f>
        <v>https://doi.org/10.1515/9781474447447</v>
      </c>
      <c r="AH492" t="str">
        <f>HYPERLINK("http://www.degruyter.com/isbn/9781474447447")</f>
        <v>http://www.degruyter.com/isbn/9781474447447</v>
      </c>
      <c r="AI492" t="s">
        <v>478</v>
      </c>
      <c r="AL492" t="s">
        <v>62</v>
      </c>
      <c r="AM492">
        <v>1</v>
      </c>
      <c r="AN492" s="2">
        <v>9781474447423</v>
      </c>
    </row>
    <row r="493" spans="1:40" x14ac:dyDescent="0.3">
      <c r="A493" t="s">
        <v>2621</v>
      </c>
      <c r="B493" t="s">
        <v>1</v>
      </c>
      <c r="C493" t="s">
        <v>2622</v>
      </c>
      <c r="E493" t="s">
        <v>2623</v>
      </c>
      <c r="F493" t="s">
        <v>5</v>
      </c>
      <c r="G493" t="s">
        <v>6</v>
      </c>
      <c r="L493" t="s">
        <v>7</v>
      </c>
      <c r="M493">
        <v>2008</v>
      </c>
      <c r="N493" s="1">
        <v>39564</v>
      </c>
      <c r="O493" t="s">
        <v>2624</v>
      </c>
      <c r="P493">
        <v>1</v>
      </c>
      <c r="S493">
        <v>243.95</v>
      </c>
      <c r="T493">
        <v>280</v>
      </c>
      <c r="U493">
        <v>210</v>
      </c>
      <c r="V493" t="s">
        <v>58</v>
      </c>
      <c r="W493" t="s">
        <v>129</v>
      </c>
      <c r="X493" t="s">
        <v>1290</v>
      </c>
      <c r="Y493" t="s">
        <v>1291</v>
      </c>
      <c r="AF493" t="s">
        <v>13</v>
      </c>
      <c r="AG493" t="str">
        <f>HYPERLINK("https://doi.org/10.1515/9780748631872?locatt=mode:legacy")</f>
        <v>https://doi.org/10.1515/9780748631872?locatt=mode:legacy</v>
      </c>
      <c r="AH493" t="str">
        <f>HYPERLINK("http://www.degruyter.com/isbn/9780748631872")</f>
        <v>http://www.degruyter.com/isbn/9780748631872</v>
      </c>
      <c r="AI493" t="s">
        <v>68</v>
      </c>
      <c r="AL493" t="s">
        <v>62</v>
      </c>
      <c r="AM493">
        <v>1</v>
      </c>
      <c r="AN493" s="2">
        <v>9780748628087</v>
      </c>
    </row>
    <row r="494" spans="1:40" x14ac:dyDescent="0.3">
      <c r="A494" t="s">
        <v>2625</v>
      </c>
      <c r="B494" t="s">
        <v>1</v>
      </c>
      <c r="C494" t="s">
        <v>2626</v>
      </c>
      <c r="E494" t="s">
        <v>2627</v>
      </c>
      <c r="F494" t="s">
        <v>5</v>
      </c>
      <c r="G494" t="s">
        <v>6</v>
      </c>
      <c r="L494" t="s">
        <v>7</v>
      </c>
      <c r="M494">
        <v>2018</v>
      </c>
      <c r="N494" s="1">
        <v>44656</v>
      </c>
      <c r="O494" t="s">
        <v>2628</v>
      </c>
      <c r="P494">
        <v>1</v>
      </c>
      <c r="S494">
        <v>227.95</v>
      </c>
      <c r="T494">
        <v>260</v>
      </c>
      <c r="U494">
        <v>200</v>
      </c>
      <c r="V494" t="s">
        <v>58</v>
      </c>
      <c r="W494" t="s">
        <v>59</v>
      </c>
      <c r="X494" t="s">
        <v>60</v>
      </c>
      <c r="Y494" t="s">
        <v>145</v>
      </c>
      <c r="AF494" t="s">
        <v>13</v>
      </c>
      <c r="AG494" t="str">
        <f>HYPERLINK("https://doi.org/10.1515/9781474425452")</f>
        <v>https://doi.org/10.1515/9781474425452</v>
      </c>
      <c r="AH494" t="str">
        <f>HYPERLINK("http://www.degruyter.com/isbn/9781474425452")</f>
        <v>http://www.degruyter.com/isbn/9781474425452</v>
      </c>
      <c r="AI494" t="s">
        <v>46</v>
      </c>
      <c r="AL494" t="s">
        <v>62</v>
      </c>
      <c r="AM494">
        <v>1</v>
      </c>
      <c r="AN494" s="2">
        <v>9781474425438</v>
      </c>
    </row>
    <row r="495" spans="1:40" x14ac:dyDescent="0.3">
      <c r="A495" t="s">
        <v>2629</v>
      </c>
      <c r="B495" t="s">
        <v>1</v>
      </c>
      <c r="C495" t="s">
        <v>2630</v>
      </c>
      <c r="D495" t="s">
        <v>2631</v>
      </c>
      <c r="E495" t="s">
        <v>2632</v>
      </c>
      <c r="F495" t="s">
        <v>5</v>
      </c>
      <c r="G495" t="s">
        <v>6</v>
      </c>
      <c r="L495" t="s">
        <v>7</v>
      </c>
      <c r="M495">
        <v>2020</v>
      </c>
      <c r="N495" s="1">
        <v>44656</v>
      </c>
      <c r="O495" t="s">
        <v>2633</v>
      </c>
      <c r="P495">
        <v>1</v>
      </c>
      <c r="S495">
        <v>217.95</v>
      </c>
      <c r="T495">
        <v>250</v>
      </c>
      <c r="U495">
        <v>190</v>
      </c>
      <c r="V495" t="s">
        <v>20</v>
      </c>
      <c r="W495" t="s">
        <v>21</v>
      </c>
      <c r="X495" t="s">
        <v>458</v>
      </c>
      <c r="Y495" t="s">
        <v>459</v>
      </c>
      <c r="AF495" t="s">
        <v>13</v>
      </c>
      <c r="AG495" t="str">
        <f>HYPERLINK("https://doi.org/10.1515/9781474409858?locatt=mode:legacy")</f>
        <v>https://doi.org/10.1515/9781474409858?locatt=mode:legacy</v>
      </c>
      <c r="AH495" t="str">
        <f>HYPERLINK("http://www.degruyter.com/isbn/9781474409858")</f>
        <v>http://www.degruyter.com/isbn/9781474409858</v>
      </c>
      <c r="AI495" t="s">
        <v>14</v>
      </c>
      <c r="AL495" t="s">
        <v>15</v>
      </c>
      <c r="AM495">
        <v>1</v>
      </c>
      <c r="AN495" s="2">
        <v>9781474409841</v>
      </c>
    </row>
    <row r="496" spans="1:40" x14ac:dyDescent="0.3">
      <c r="A496" t="s">
        <v>2634</v>
      </c>
      <c r="B496" t="s">
        <v>1</v>
      </c>
      <c r="C496" t="s">
        <v>2635</v>
      </c>
      <c r="D496" t="s">
        <v>2636</v>
      </c>
      <c r="E496" t="s">
        <v>2637</v>
      </c>
      <c r="F496" t="s">
        <v>5</v>
      </c>
      <c r="G496" t="s">
        <v>6</v>
      </c>
      <c r="L496" t="s">
        <v>7</v>
      </c>
      <c r="M496">
        <v>2018</v>
      </c>
      <c r="N496" s="1">
        <v>44644</v>
      </c>
      <c r="O496" t="s">
        <v>2638</v>
      </c>
      <c r="P496">
        <v>1</v>
      </c>
      <c r="S496">
        <v>217.95</v>
      </c>
      <c r="T496">
        <v>250</v>
      </c>
      <c r="U496">
        <v>190</v>
      </c>
      <c r="V496" t="s">
        <v>9</v>
      </c>
      <c r="W496" t="s">
        <v>10</v>
      </c>
      <c r="X496" t="s">
        <v>11</v>
      </c>
      <c r="Y496" t="s">
        <v>52</v>
      </c>
      <c r="AF496" t="s">
        <v>13</v>
      </c>
      <c r="AG496" t="str">
        <f>HYPERLINK("https://doi.org/10.1515/9781474426305")</f>
        <v>https://doi.org/10.1515/9781474426305</v>
      </c>
      <c r="AH496" t="str">
        <f>HYPERLINK("http://www.degruyter.com/isbn/9781474426305")</f>
        <v>http://www.degruyter.com/isbn/9781474426305</v>
      </c>
      <c r="AI496" t="s">
        <v>46</v>
      </c>
      <c r="AL496" t="s">
        <v>15</v>
      </c>
      <c r="AM496">
        <v>1</v>
      </c>
      <c r="AN496" s="2">
        <v>9781474426299</v>
      </c>
    </row>
    <row r="497" spans="1:40" x14ac:dyDescent="0.3">
      <c r="A497" t="s">
        <v>2639</v>
      </c>
      <c r="B497" t="s">
        <v>1</v>
      </c>
      <c r="C497" t="s">
        <v>2640</v>
      </c>
      <c r="E497" t="s">
        <v>2641</v>
      </c>
      <c r="F497" t="s">
        <v>5</v>
      </c>
      <c r="G497" t="s">
        <v>6</v>
      </c>
      <c r="L497" t="s">
        <v>7</v>
      </c>
      <c r="M497">
        <v>1997</v>
      </c>
      <c r="N497" s="1">
        <v>44599</v>
      </c>
      <c r="O497" t="s">
        <v>2642</v>
      </c>
      <c r="P497">
        <v>1</v>
      </c>
      <c r="S497">
        <v>217.95</v>
      </c>
      <c r="T497">
        <v>250</v>
      </c>
      <c r="U497">
        <v>190</v>
      </c>
      <c r="V497" t="s">
        <v>89</v>
      </c>
      <c r="W497" t="s">
        <v>90</v>
      </c>
      <c r="X497" t="s">
        <v>91</v>
      </c>
      <c r="Y497" t="s">
        <v>92</v>
      </c>
      <c r="AF497" t="s">
        <v>13</v>
      </c>
      <c r="AG497" t="str">
        <f>HYPERLINK("https://doi.org/10.1515/9781474469449")</f>
        <v>https://doi.org/10.1515/9781474469449</v>
      </c>
      <c r="AH497" t="str">
        <f>HYPERLINK("http://www.degruyter.com/isbn/9781474469449")</f>
        <v>http://www.degruyter.com/isbn/9781474469449</v>
      </c>
      <c r="AI497" t="s">
        <v>24</v>
      </c>
      <c r="AL497" t="s">
        <v>83</v>
      </c>
      <c r="AM497">
        <v>1</v>
      </c>
      <c r="AN497" s="2">
        <v>9780748607679</v>
      </c>
    </row>
    <row r="498" spans="1:40" x14ac:dyDescent="0.3">
      <c r="A498" t="s">
        <v>2643</v>
      </c>
      <c r="B498" t="s">
        <v>1</v>
      </c>
      <c r="C498" t="s">
        <v>2644</v>
      </c>
      <c r="D498" t="s">
        <v>2645</v>
      </c>
      <c r="E498" t="s">
        <v>2646</v>
      </c>
      <c r="F498" t="s">
        <v>5</v>
      </c>
      <c r="G498" t="s">
        <v>6</v>
      </c>
      <c r="L498" t="s">
        <v>7</v>
      </c>
      <c r="M498">
        <v>2011</v>
      </c>
      <c r="N498" s="1">
        <v>44622</v>
      </c>
      <c r="O498" t="s">
        <v>2647</v>
      </c>
      <c r="P498">
        <v>1</v>
      </c>
      <c r="S498">
        <v>217.95</v>
      </c>
      <c r="T498">
        <v>250</v>
      </c>
      <c r="U498">
        <v>190</v>
      </c>
      <c r="V498" t="s">
        <v>20</v>
      </c>
      <c r="W498" t="s">
        <v>21</v>
      </c>
      <c r="X498" t="s">
        <v>22</v>
      </c>
      <c r="Y498" t="s">
        <v>23</v>
      </c>
      <c r="AF498" t="s">
        <v>13</v>
      </c>
      <c r="AG498" t="str">
        <f>HYPERLINK("https://doi.org/10.1515/9780748699391")</f>
        <v>https://doi.org/10.1515/9780748699391</v>
      </c>
      <c r="AH498" t="str">
        <f>HYPERLINK("http://www.degruyter.com/isbn/9780748699391")</f>
        <v>http://www.degruyter.com/isbn/9780748699391</v>
      </c>
      <c r="AI498" t="s">
        <v>68</v>
      </c>
      <c r="AL498" t="s">
        <v>15</v>
      </c>
      <c r="AM498">
        <v>1</v>
      </c>
      <c r="AN498" s="2">
        <v>9781845861162</v>
      </c>
    </row>
    <row r="499" spans="1:40" x14ac:dyDescent="0.3">
      <c r="A499" t="s">
        <v>2648</v>
      </c>
      <c r="B499" t="s">
        <v>1</v>
      </c>
      <c r="C499" t="s">
        <v>2649</v>
      </c>
      <c r="D499" t="s">
        <v>2650</v>
      </c>
      <c r="E499" t="s">
        <v>2651</v>
      </c>
      <c r="F499" t="s">
        <v>5</v>
      </c>
      <c r="G499" t="s">
        <v>6</v>
      </c>
      <c r="L499" t="s">
        <v>7</v>
      </c>
      <c r="M499">
        <v>1995</v>
      </c>
      <c r="N499" s="1">
        <v>44599</v>
      </c>
      <c r="O499" t="s">
        <v>2652</v>
      </c>
      <c r="P499">
        <v>1</v>
      </c>
      <c r="S499">
        <v>453.95</v>
      </c>
      <c r="T499">
        <v>520</v>
      </c>
      <c r="U499">
        <v>400</v>
      </c>
      <c r="V499" t="s">
        <v>42</v>
      </c>
      <c r="W499" t="s">
        <v>43</v>
      </c>
      <c r="X499" t="s">
        <v>178</v>
      </c>
      <c r="Y499" t="s">
        <v>1745</v>
      </c>
      <c r="AF499" t="s">
        <v>13</v>
      </c>
      <c r="AG499" t="str">
        <f>HYPERLINK("https://www.degruyter.com/isbn/9781474472531")</f>
        <v>https://www.degruyter.com/isbn/9781474472531</v>
      </c>
      <c r="AH499" t="str">
        <f>HYPERLINK("http://www.degruyter.com/isbn/9781474472531")</f>
        <v>http://www.degruyter.com/isbn/9781474472531</v>
      </c>
      <c r="AI499" t="s">
        <v>24</v>
      </c>
      <c r="AL499" t="s">
        <v>47</v>
      </c>
      <c r="AM499">
        <v>1</v>
      </c>
      <c r="AN499" s="2">
        <v>9781853311550</v>
      </c>
    </row>
    <row r="500" spans="1:40" x14ac:dyDescent="0.3">
      <c r="A500" t="s">
        <v>2653</v>
      </c>
      <c r="B500" t="s">
        <v>1</v>
      </c>
      <c r="C500" t="s">
        <v>2654</v>
      </c>
      <c r="E500" t="s">
        <v>2655</v>
      </c>
      <c r="F500" t="s">
        <v>5</v>
      </c>
      <c r="G500" t="s">
        <v>6</v>
      </c>
      <c r="L500" t="s">
        <v>7</v>
      </c>
      <c r="M500">
        <v>2013</v>
      </c>
      <c r="N500" s="1">
        <v>41291</v>
      </c>
      <c r="O500" t="s">
        <v>2656</v>
      </c>
      <c r="P500">
        <v>1</v>
      </c>
      <c r="S500">
        <v>191.95</v>
      </c>
      <c r="T500">
        <v>220</v>
      </c>
      <c r="U500">
        <v>170</v>
      </c>
      <c r="V500" t="s">
        <v>42</v>
      </c>
      <c r="W500" t="s">
        <v>740</v>
      </c>
      <c r="X500" t="s">
        <v>741</v>
      </c>
      <c r="Y500" t="s">
        <v>742</v>
      </c>
      <c r="AF500" t="s">
        <v>13</v>
      </c>
      <c r="AG500" t="str">
        <f>HYPERLINK("https://doi.org/10.1515/9780748677153")</f>
        <v>https://doi.org/10.1515/9780748677153</v>
      </c>
      <c r="AH500" t="str">
        <f>HYPERLINK("http://www.degruyter.com/isbn/9780748677153")</f>
        <v>http://www.degruyter.com/isbn/9780748677153</v>
      </c>
      <c r="AI500" t="s">
        <v>68</v>
      </c>
      <c r="AL500" t="s">
        <v>47</v>
      </c>
      <c r="AM500">
        <v>1</v>
      </c>
      <c r="AN500" s="2">
        <v>9780748640980</v>
      </c>
    </row>
    <row r="501" spans="1:40" x14ac:dyDescent="0.3">
      <c r="A501" t="s">
        <v>2657</v>
      </c>
      <c r="B501" t="s">
        <v>1</v>
      </c>
      <c r="C501" t="s">
        <v>2658</v>
      </c>
      <c r="D501" t="s">
        <v>2659</v>
      </c>
      <c r="E501" t="s">
        <v>2660</v>
      </c>
      <c r="F501" t="s">
        <v>5</v>
      </c>
      <c r="G501" t="s">
        <v>6</v>
      </c>
      <c r="L501" t="s">
        <v>7</v>
      </c>
      <c r="M501">
        <v>2009</v>
      </c>
      <c r="N501" s="1">
        <v>40091</v>
      </c>
      <c r="O501" t="s">
        <v>2661</v>
      </c>
      <c r="P501">
        <v>1</v>
      </c>
      <c r="S501">
        <v>217.95</v>
      </c>
      <c r="T501">
        <v>250</v>
      </c>
      <c r="U501">
        <v>190</v>
      </c>
      <c r="V501" t="s">
        <v>42</v>
      </c>
      <c r="W501" t="s">
        <v>107</v>
      </c>
      <c r="X501" t="s">
        <v>108</v>
      </c>
      <c r="Y501" t="s">
        <v>109</v>
      </c>
      <c r="AF501" t="s">
        <v>13</v>
      </c>
      <c r="AG501" t="str">
        <f>HYPERLINK("https://doi.org/10.1515/9780748642106?locatt=mode:legacy")</f>
        <v>https://doi.org/10.1515/9780748642106?locatt=mode:legacy</v>
      </c>
      <c r="AH501" t="str">
        <f>HYPERLINK("http://www.degruyter.com/isbn/9780748642106")</f>
        <v>http://www.degruyter.com/isbn/9780748642106</v>
      </c>
      <c r="AI501" t="s">
        <v>68</v>
      </c>
      <c r="AL501" t="s">
        <v>47</v>
      </c>
      <c r="AM501">
        <v>1</v>
      </c>
      <c r="AN501" s="2">
        <v>9780748638734</v>
      </c>
    </row>
    <row r="502" spans="1:40" x14ac:dyDescent="0.3">
      <c r="A502" t="s">
        <v>2662</v>
      </c>
      <c r="B502" t="s">
        <v>1</v>
      </c>
      <c r="C502" t="s">
        <v>2663</v>
      </c>
      <c r="E502" t="s">
        <v>2664</v>
      </c>
      <c r="F502" t="s">
        <v>5</v>
      </c>
      <c r="G502" t="s">
        <v>6</v>
      </c>
      <c r="L502" t="s">
        <v>7</v>
      </c>
      <c r="M502">
        <v>2011</v>
      </c>
      <c r="N502" s="1">
        <v>40669</v>
      </c>
      <c r="O502" t="s">
        <v>2665</v>
      </c>
      <c r="P502">
        <v>1</v>
      </c>
      <c r="S502">
        <v>227.95</v>
      </c>
      <c r="T502">
        <v>260</v>
      </c>
      <c r="U502">
        <v>200</v>
      </c>
      <c r="V502" t="s">
        <v>9</v>
      </c>
      <c r="W502" t="s">
        <v>10</v>
      </c>
      <c r="X502" t="s">
        <v>11</v>
      </c>
      <c r="Y502" t="s">
        <v>12</v>
      </c>
      <c r="AF502" t="s">
        <v>13</v>
      </c>
      <c r="AG502" t="str">
        <f>HYPERLINK("https://doi.org/10.1515/9780748646289")</f>
        <v>https://doi.org/10.1515/9780748646289</v>
      </c>
      <c r="AH502" t="str">
        <f>HYPERLINK("http://www.degruyter.com/isbn/9780748646289")</f>
        <v>http://www.degruyter.com/isbn/9780748646289</v>
      </c>
      <c r="AI502" t="s">
        <v>68</v>
      </c>
      <c r="AL502" t="s">
        <v>15</v>
      </c>
      <c r="AM502">
        <v>1</v>
      </c>
      <c r="AN502" s="2">
        <v>9780748640249</v>
      </c>
    </row>
    <row r="503" spans="1:40" x14ac:dyDescent="0.3">
      <c r="A503" t="s">
        <v>2666</v>
      </c>
      <c r="B503" t="s">
        <v>1</v>
      </c>
      <c r="C503" t="s">
        <v>2667</v>
      </c>
      <c r="E503" t="s">
        <v>2668</v>
      </c>
      <c r="F503" t="s">
        <v>5</v>
      </c>
      <c r="G503" t="s">
        <v>6</v>
      </c>
      <c r="L503" t="s">
        <v>7</v>
      </c>
      <c r="M503">
        <v>2018</v>
      </c>
      <c r="N503" s="1">
        <v>44644</v>
      </c>
      <c r="O503" t="s">
        <v>2669</v>
      </c>
      <c r="P503">
        <v>1</v>
      </c>
      <c r="S503">
        <v>417.95</v>
      </c>
      <c r="T503">
        <v>480</v>
      </c>
      <c r="U503">
        <v>370</v>
      </c>
      <c r="V503" t="s">
        <v>42</v>
      </c>
      <c r="W503" t="s">
        <v>116</v>
      </c>
      <c r="X503" t="s">
        <v>116</v>
      </c>
      <c r="Y503" t="s">
        <v>117</v>
      </c>
      <c r="AF503" t="s">
        <v>13</v>
      </c>
      <c r="AG503" t="str">
        <f>HYPERLINK("https://doi.org/10.1515/9780748637041")</f>
        <v>https://doi.org/10.1515/9780748637041</v>
      </c>
      <c r="AH503" t="str">
        <f>HYPERLINK("http://www.degruyter.com/isbn/9780748637041")</f>
        <v>http://www.degruyter.com/isbn/9780748637041</v>
      </c>
      <c r="AI503" t="s">
        <v>46</v>
      </c>
      <c r="AL503" t="s">
        <v>47</v>
      </c>
      <c r="AM503">
        <v>1</v>
      </c>
      <c r="AN503" s="2">
        <v>9780748637027</v>
      </c>
    </row>
    <row r="504" spans="1:40" x14ac:dyDescent="0.3">
      <c r="A504" t="s">
        <v>2670</v>
      </c>
      <c r="B504" t="s">
        <v>1</v>
      </c>
      <c r="C504" t="s">
        <v>2671</v>
      </c>
      <c r="D504" t="s">
        <v>2672</v>
      </c>
      <c r="E504" t="s">
        <v>2673</v>
      </c>
      <c r="F504" t="s">
        <v>5</v>
      </c>
      <c r="G504" t="s">
        <v>6</v>
      </c>
      <c r="L504" t="s">
        <v>7</v>
      </c>
      <c r="M504">
        <v>2019</v>
      </c>
      <c r="N504" s="1">
        <v>44656</v>
      </c>
      <c r="O504" t="s">
        <v>2674</v>
      </c>
      <c r="P504">
        <v>1</v>
      </c>
      <c r="S504">
        <v>253.95</v>
      </c>
      <c r="T504">
        <v>290</v>
      </c>
      <c r="U504">
        <v>220</v>
      </c>
      <c r="V504" t="s">
        <v>20</v>
      </c>
      <c r="W504" t="s">
        <v>21</v>
      </c>
      <c r="X504" t="s">
        <v>458</v>
      </c>
      <c r="Y504" t="s">
        <v>459</v>
      </c>
      <c r="AF504" t="s">
        <v>13</v>
      </c>
      <c r="AG504" t="str">
        <f>HYPERLINK("https://doi.org/10.1515/9781474453974")</f>
        <v>https://doi.org/10.1515/9781474453974</v>
      </c>
      <c r="AH504" t="str">
        <f>HYPERLINK("http://www.degruyter.com/isbn/9781474453974")</f>
        <v>http://www.degruyter.com/isbn/9781474453974</v>
      </c>
      <c r="AI504" t="s">
        <v>280</v>
      </c>
      <c r="AJ504" t="s">
        <v>35</v>
      </c>
      <c r="AL504" t="s">
        <v>1346</v>
      </c>
      <c r="AM504">
        <v>1</v>
      </c>
      <c r="AN504" s="2">
        <v>9781474453950</v>
      </c>
    </row>
    <row r="505" spans="1:40" x14ac:dyDescent="0.3">
      <c r="A505" t="s">
        <v>2675</v>
      </c>
      <c r="B505" t="s">
        <v>1</v>
      </c>
      <c r="C505" t="s">
        <v>2676</v>
      </c>
      <c r="D505" t="s">
        <v>2677</v>
      </c>
      <c r="E505" t="s">
        <v>2678</v>
      </c>
      <c r="F505" t="s">
        <v>5</v>
      </c>
      <c r="G505" t="s">
        <v>6</v>
      </c>
      <c r="K505" t="s">
        <v>929</v>
      </c>
      <c r="L505" t="s">
        <v>7</v>
      </c>
      <c r="M505">
        <v>2016</v>
      </c>
      <c r="N505" s="1">
        <v>42460</v>
      </c>
      <c r="O505" t="s">
        <v>2679</v>
      </c>
      <c r="P505">
        <v>1</v>
      </c>
      <c r="V505" t="s">
        <v>9</v>
      </c>
      <c r="W505" t="s">
        <v>10</v>
      </c>
      <c r="X505" t="s">
        <v>11</v>
      </c>
      <c r="Y505" t="s">
        <v>45</v>
      </c>
      <c r="AF505" t="s">
        <v>13</v>
      </c>
      <c r="AG505" t="str">
        <f>HYPERLINK("https://doi.org/10.1515/9781474411431?locatt=mode:legacy")</f>
        <v>https://doi.org/10.1515/9781474411431?locatt=mode:legacy</v>
      </c>
      <c r="AH505" t="str">
        <f>HYPERLINK("http://www.degruyter.com/isbn/9781474411431")</f>
        <v>http://www.degruyter.com/isbn/9781474411431</v>
      </c>
      <c r="AI505" t="s">
        <v>180</v>
      </c>
      <c r="AM505">
        <v>1</v>
      </c>
      <c r="AN505" s="2"/>
    </row>
    <row r="506" spans="1:40" x14ac:dyDescent="0.3">
      <c r="A506" t="s">
        <v>2680</v>
      </c>
      <c r="B506" t="s">
        <v>1</v>
      </c>
      <c r="C506" t="s">
        <v>2681</v>
      </c>
      <c r="E506" t="s">
        <v>2682</v>
      </c>
      <c r="F506" t="s">
        <v>5</v>
      </c>
      <c r="G506" t="s">
        <v>6</v>
      </c>
      <c r="L506" t="s">
        <v>7</v>
      </c>
      <c r="M506">
        <v>1999</v>
      </c>
      <c r="N506" s="1">
        <v>44599</v>
      </c>
      <c r="O506" t="s">
        <v>2683</v>
      </c>
      <c r="P506">
        <v>1</v>
      </c>
      <c r="S506">
        <v>339.95</v>
      </c>
      <c r="T506">
        <v>390</v>
      </c>
      <c r="U506">
        <v>300</v>
      </c>
      <c r="V506" t="s">
        <v>58</v>
      </c>
      <c r="W506" t="s">
        <v>129</v>
      </c>
      <c r="X506" t="s">
        <v>504</v>
      </c>
      <c r="Y506" t="s">
        <v>505</v>
      </c>
      <c r="AF506" t="s">
        <v>13</v>
      </c>
      <c r="AG506" t="str">
        <f>HYPERLINK("https://doi.org/10.1515/9781474467889")</f>
        <v>https://doi.org/10.1515/9781474467889</v>
      </c>
      <c r="AH506" t="str">
        <f>HYPERLINK("http://www.degruyter.com/isbn/9781474467889")</f>
        <v>http://www.degruyter.com/isbn/9781474467889</v>
      </c>
      <c r="AI506" t="s">
        <v>24</v>
      </c>
      <c r="AL506" t="s">
        <v>62</v>
      </c>
      <c r="AM506">
        <v>1</v>
      </c>
      <c r="AN506" s="2">
        <v>9780748610754</v>
      </c>
    </row>
    <row r="507" spans="1:40" x14ac:dyDescent="0.3">
      <c r="A507" t="s">
        <v>2684</v>
      </c>
      <c r="B507" t="s">
        <v>1</v>
      </c>
      <c r="C507" t="s">
        <v>2685</v>
      </c>
      <c r="D507" t="s">
        <v>2686</v>
      </c>
      <c r="E507" t="s">
        <v>2687</v>
      </c>
      <c r="F507" t="s">
        <v>5</v>
      </c>
      <c r="G507" t="s">
        <v>6</v>
      </c>
      <c r="L507" t="s">
        <v>7</v>
      </c>
      <c r="M507">
        <v>2014</v>
      </c>
      <c r="N507" s="1">
        <v>41813</v>
      </c>
      <c r="O507" t="s">
        <v>2688</v>
      </c>
      <c r="P507">
        <v>1</v>
      </c>
      <c r="S507">
        <v>217.95</v>
      </c>
      <c r="T507">
        <v>250</v>
      </c>
      <c r="U507">
        <v>190</v>
      </c>
      <c r="V507" t="s">
        <v>42</v>
      </c>
      <c r="W507" t="s">
        <v>43</v>
      </c>
      <c r="X507" t="s">
        <v>44</v>
      </c>
      <c r="Y507" t="s">
        <v>45</v>
      </c>
      <c r="AF507" t="s">
        <v>13</v>
      </c>
      <c r="AG507" t="str">
        <f>HYPERLINK("https://doi.org/10.1515/9780748630202")</f>
        <v>https://doi.org/10.1515/9780748630202</v>
      </c>
      <c r="AH507" t="str">
        <f>HYPERLINK("http://www.degruyter.com/isbn/9780748630202")</f>
        <v>http://www.degruyter.com/isbn/9780748630202</v>
      </c>
      <c r="AI507" t="s">
        <v>34</v>
      </c>
      <c r="AL507" t="s">
        <v>47</v>
      </c>
      <c r="AM507">
        <v>1</v>
      </c>
      <c r="AN507" s="2">
        <v>9780748623839</v>
      </c>
    </row>
    <row r="508" spans="1:40" x14ac:dyDescent="0.3">
      <c r="A508" t="s">
        <v>2689</v>
      </c>
      <c r="B508" t="s">
        <v>1</v>
      </c>
      <c r="C508" t="s">
        <v>2690</v>
      </c>
      <c r="D508" t="s">
        <v>2691</v>
      </c>
      <c r="E508" t="s">
        <v>2692</v>
      </c>
      <c r="F508" t="s">
        <v>5</v>
      </c>
      <c r="G508" t="s">
        <v>6</v>
      </c>
      <c r="L508" t="s">
        <v>7</v>
      </c>
      <c r="M508">
        <v>2014</v>
      </c>
      <c r="N508" s="1">
        <v>41708</v>
      </c>
      <c r="O508" t="s">
        <v>2693</v>
      </c>
      <c r="P508">
        <v>1</v>
      </c>
      <c r="S508">
        <v>191.95</v>
      </c>
      <c r="T508">
        <v>220</v>
      </c>
      <c r="U508">
        <v>170</v>
      </c>
      <c r="V508" t="s">
        <v>98</v>
      </c>
      <c r="W508" t="s">
        <v>2283</v>
      </c>
      <c r="X508" t="s">
        <v>2694</v>
      </c>
      <c r="Y508" t="s">
        <v>2695</v>
      </c>
      <c r="AF508" t="s">
        <v>13</v>
      </c>
      <c r="AG508" t="str">
        <f>HYPERLINK("https://doi.org/10.1515/9780748674343")</f>
        <v>https://doi.org/10.1515/9780748674343</v>
      </c>
      <c r="AH508" t="str">
        <f>HYPERLINK("http://www.degruyter.com/isbn/9780748674343")</f>
        <v>http://www.degruyter.com/isbn/9780748674343</v>
      </c>
      <c r="AI508" t="s">
        <v>34</v>
      </c>
      <c r="AL508" t="s">
        <v>102</v>
      </c>
      <c r="AM508">
        <v>1</v>
      </c>
      <c r="AN508" s="2">
        <v>9780748674329</v>
      </c>
    </row>
    <row r="509" spans="1:40" x14ac:dyDescent="0.3">
      <c r="A509" t="s">
        <v>2696</v>
      </c>
      <c r="B509" t="s">
        <v>1</v>
      </c>
      <c r="C509" t="s">
        <v>2697</v>
      </c>
      <c r="D509" t="s">
        <v>2698</v>
      </c>
      <c r="E509" t="s">
        <v>2699</v>
      </c>
      <c r="F509" t="s">
        <v>5</v>
      </c>
      <c r="G509" t="s">
        <v>6</v>
      </c>
      <c r="L509" t="s">
        <v>7</v>
      </c>
      <c r="M509">
        <v>2009</v>
      </c>
      <c r="N509" s="1">
        <v>40043</v>
      </c>
      <c r="O509" t="s">
        <v>2700</v>
      </c>
      <c r="P509">
        <v>1</v>
      </c>
      <c r="S509">
        <v>253.95</v>
      </c>
      <c r="T509">
        <v>290</v>
      </c>
      <c r="U509">
        <v>220</v>
      </c>
      <c r="V509" t="s">
        <v>89</v>
      </c>
      <c r="W509" t="s">
        <v>90</v>
      </c>
      <c r="X509" t="s">
        <v>91</v>
      </c>
      <c r="Y509" t="s">
        <v>717</v>
      </c>
      <c r="AF509" t="s">
        <v>13</v>
      </c>
      <c r="AG509" t="str">
        <f>HYPERLINK("https://doi.org/10.1515/9780748637942")</f>
        <v>https://doi.org/10.1515/9780748637942</v>
      </c>
      <c r="AH509" t="str">
        <f>HYPERLINK("http://www.degruyter.com/isbn/9780748637942")</f>
        <v>http://www.degruyter.com/isbn/9780748637942</v>
      </c>
      <c r="AI509" t="s">
        <v>68</v>
      </c>
      <c r="AJ509" t="s">
        <v>35</v>
      </c>
      <c r="AL509" t="s">
        <v>718</v>
      </c>
      <c r="AM509">
        <v>1</v>
      </c>
      <c r="AN509" s="2">
        <v>9780748637928</v>
      </c>
    </row>
    <row r="510" spans="1:40" x14ac:dyDescent="0.3">
      <c r="A510" t="s">
        <v>2701</v>
      </c>
      <c r="B510" t="s">
        <v>1</v>
      </c>
      <c r="C510" t="s">
        <v>2702</v>
      </c>
      <c r="D510" t="s">
        <v>2703</v>
      </c>
      <c r="E510" t="s">
        <v>2704</v>
      </c>
      <c r="F510" t="s">
        <v>5</v>
      </c>
      <c r="G510" t="s">
        <v>6</v>
      </c>
      <c r="L510" t="s">
        <v>7</v>
      </c>
      <c r="M510">
        <v>2009</v>
      </c>
      <c r="N510" s="1">
        <v>39893</v>
      </c>
      <c r="O510" t="s">
        <v>2705</v>
      </c>
      <c r="P510">
        <v>1</v>
      </c>
      <c r="S510">
        <v>253.95</v>
      </c>
      <c r="T510">
        <v>290</v>
      </c>
      <c r="U510">
        <v>220</v>
      </c>
      <c r="V510" t="s">
        <v>20</v>
      </c>
      <c r="W510" t="s">
        <v>556</v>
      </c>
      <c r="X510" t="s">
        <v>1540</v>
      </c>
      <c r="Y510" t="s">
        <v>2706</v>
      </c>
      <c r="AF510" t="s">
        <v>13</v>
      </c>
      <c r="AG510" t="str">
        <f>HYPERLINK("https://doi.org/10.1515/9780748629732")</f>
        <v>https://doi.org/10.1515/9780748629732</v>
      </c>
      <c r="AH510" t="str">
        <f>HYPERLINK("http://www.degruyter.com/isbn/9780748629732")</f>
        <v>http://www.degruyter.com/isbn/9780748629732</v>
      </c>
      <c r="AI510" t="s">
        <v>68</v>
      </c>
      <c r="AL510" t="s">
        <v>15</v>
      </c>
      <c r="AM510">
        <v>1</v>
      </c>
      <c r="AN510" s="2">
        <v>9780748622511</v>
      </c>
    </row>
    <row r="511" spans="1:40" x14ac:dyDescent="0.3">
      <c r="A511" t="s">
        <v>2707</v>
      </c>
      <c r="B511" t="s">
        <v>1</v>
      </c>
      <c r="C511" t="s">
        <v>2708</v>
      </c>
      <c r="E511" t="s">
        <v>2709</v>
      </c>
      <c r="F511" t="s">
        <v>5</v>
      </c>
      <c r="G511" t="s">
        <v>6</v>
      </c>
      <c r="L511" t="s">
        <v>7</v>
      </c>
      <c r="M511">
        <v>2014</v>
      </c>
      <c r="N511" s="1">
        <v>41714</v>
      </c>
      <c r="O511" t="s">
        <v>2009</v>
      </c>
      <c r="P511">
        <v>1</v>
      </c>
      <c r="S511">
        <v>253.95</v>
      </c>
      <c r="T511">
        <v>290</v>
      </c>
      <c r="U511">
        <v>220</v>
      </c>
      <c r="V511" t="s">
        <v>20</v>
      </c>
      <c r="W511" t="s">
        <v>21</v>
      </c>
      <c r="X511" t="s">
        <v>458</v>
      </c>
      <c r="Y511" t="s">
        <v>459</v>
      </c>
      <c r="AF511" t="s">
        <v>13</v>
      </c>
      <c r="AG511" t="str">
        <f>HYPERLINK("https://doi.org/10.1515/9780748689651?locatt=mode:legacy")</f>
        <v>https://doi.org/10.1515/9780748689651?locatt=mode:legacy</v>
      </c>
      <c r="AH511" t="str">
        <f>HYPERLINK("http://www.degruyter.com/isbn/9780748689651")</f>
        <v>http://www.degruyter.com/isbn/9780748689651</v>
      </c>
      <c r="AI511" t="s">
        <v>34</v>
      </c>
      <c r="AL511" t="s">
        <v>15</v>
      </c>
      <c r="AM511">
        <v>1</v>
      </c>
      <c r="AN511" s="2">
        <v>9780748689644</v>
      </c>
    </row>
    <row r="512" spans="1:40" x14ac:dyDescent="0.3">
      <c r="A512" t="s">
        <v>2710</v>
      </c>
      <c r="B512" t="s">
        <v>1</v>
      </c>
      <c r="C512" t="s">
        <v>2711</v>
      </c>
      <c r="D512" t="s">
        <v>2712</v>
      </c>
      <c r="E512" t="s">
        <v>2713</v>
      </c>
      <c r="F512" t="s">
        <v>5</v>
      </c>
      <c r="G512" t="s">
        <v>6</v>
      </c>
      <c r="L512" t="s">
        <v>7</v>
      </c>
      <c r="M512">
        <v>2009</v>
      </c>
      <c r="N512" s="1">
        <v>40161</v>
      </c>
      <c r="O512" t="s">
        <v>2714</v>
      </c>
      <c r="P512">
        <v>1</v>
      </c>
      <c r="S512">
        <v>227.95</v>
      </c>
      <c r="T512">
        <v>260</v>
      </c>
      <c r="U512">
        <v>200</v>
      </c>
      <c r="V512" t="s">
        <v>9</v>
      </c>
      <c r="W512" t="s">
        <v>10</v>
      </c>
      <c r="X512" t="s">
        <v>11</v>
      </c>
      <c r="Y512" t="s">
        <v>12</v>
      </c>
      <c r="AF512" t="s">
        <v>13</v>
      </c>
      <c r="AG512" t="str">
        <f>HYPERLINK("https://doi.org/10.1515/9780748634484?locatt=mode:legacy")</f>
        <v>https://doi.org/10.1515/9780748634484?locatt=mode:legacy</v>
      </c>
      <c r="AH512" t="str">
        <f>HYPERLINK("http://www.degruyter.com/isbn/9780748634484")</f>
        <v>http://www.degruyter.com/isbn/9780748634484</v>
      </c>
      <c r="AI512" t="s">
        <v>68</v>
      </c>
      <c r="AL512" t="s">
        <v>15</v>
      </c>
      <c r="AM512">
        <v>1</v>
      </c>
      <c r="AN512" s="2">
        <v>9780748634460</v>
      </c>
    </row>
    <row r="513" spans="1:40" x14ac:dyDescent="0.3">
      <c r="A513" t="s">
        <v>2715</v>
      </c>
      <c r="B513" t="s">
        <v>1</v>
      </c>
      <c r="C513" t="s">
        <v>2716</v>
      </c>
      <c r="D513" t="s">
        <v>2717</v>
      </c>
      <c r="E513" t="s">
        <v>2718</v>
      </c>
      <c r="F513" t="s">
        <v>5</v>
      </c>
      <c r="G513" t="s">
        <v>6</v>
      </c>
      <c r="L513" t="s">
        <v>7</v>
      </c>
      <c r="M513">
        <v>2012</v>
      </c>
      <c r="N513" s="1">
        <v>40973</v>
      </c>
      <c r="O513" t="s">
        <v>2719</v>
      </c>
      <c r="P513">
        <v>1</v>
      </c>
      <c r="S513">
        <v>217.95</v>
      </c>
      <c r="T513">
        <v>250</v>
      </c>
      <c r="U513">
        <v>190</v>
      </c>
      <c r="V513" t="s">
        <v>42</v>
      </c>
      <c r="W513" t="s">
        <v>107</v>
      </c>
      <c r="X513" t="s">
        <v>108</v>
      </c>
      <c r="Y513" t="s">
        <v>109</v>
      </c>
      <c r="AF513" t="s">
        <v>13</v>
      </c>
      <c r="AG513" t="str">
        <f>HYPERLINK("https://doi.org/10.1515/9780748646708")</f>
        <v>https://doi.org/10.1515/9780748646708</v>
      </c>
      <c r="AH513" t="str">
        <f>HYPERLINK("http://www.degruyter.com/isbn/9780748646708")</f>
        <v>http://www.degruyter.com/isbn/9780748646708</v>
      </c>
      <c r="AI513" t="s">
        <v>68</v>
      </c>
      <c r="AL513" t="s">
        <v>47</v>
      </c>
      <c r="AM513">
        <v>1</v>
      </c>
      <c r="AN513" s="2">
        <v>9780748646692</v>
      </c>
    </row>
    <row r="514" spans="1:40" x14ac:dyDescent="0.3">
      <c r="A514" t="s">
        <v>2720</v>
      </c>
      <c r="B514" t="s">
        <v>1</v>
      </c>
      <c r="C514" t="s">
        <v>2721</v>
      </c>
      <c r="E514" t="s">
        <v>2722</v>
      </c>
      <c r="F514" t="s">
        <v>5</v>
      </c>
      <c r="G514" t="s">
        <v>6</v>
      </c>
      <c r="L514" t="s">
        <v>7</v>
      </c>
      <c r="M514">
        <v>2021</v>
      </c>
      <c r="N514" s="1">
        <v>44656</v>
      </c>
      <c r="O514" t="s">
        <v>2723</v>
      </c>
      <c r="P514">
        <v>1</v>
      </c>
      <c r="S514">
        <v>217.95</v>
      </c>
      <c r="T514">
        <v>250</v>
      </c>
      <c r="U514">
        <v>190</v>
      </c>
      <c r="V514" t="s">
        <v>58</v>
      </c>
      <c r="W514" t="s">
        <v>1135</v>
      </c>
      <c r="X514" t="s">
        <v>1136</v>
      </c>
      <c r="Y514" t="s">
        <v>2724</v>
      </c>
      <c r="AF514" t="s">
        <v>13</v>
      </c>
      <c r="AG514" t="str">
        <f>HYPERLINK("https://doi.org/10.1515/9781474485487")</f>
        <v>https://doi.org/10.1515/9781474485487</v>
      </c>
      <c r="AH514" t="str">
        <f>HYPERLINK("http://www.degruyter.com/isbn/9781474485487")</f>
        <v>http://www.degruyter.com/isbn/9781474485487</v>
      </c>
      <c r="AI514" t="s">
        <v>2725</v>
      </c>
      <c r="AL514" t="s">
        <v>62</v>
      </c>
      <c r="AM514">
        <v>1</v>
      </c>
      <c r="AN514" s="2">
        <v>9781474485463</v>
      </c>
    </row>
    <row r="515" spans="1:40" x14ac:dyDescent="0.3">
      <c r="A515" t="s">
        <v>2726</v>
      </c>
      <c r="B515" t="s">
        <v>1</v>
      </c>
      <c r="C515" t="s">
        <v>2727</v>
      </c>
      <c r="D515" t="s">
        <v>2728</v>
      </c>
      <c r="E515" t="s">
        <v>2729</v>
      </c>
      <c r="F515" t="s">
        <v>5</v>
      </c>
      <c r="G515" t="s">
        <v>6</v>
      </c>
      <c r="L515" t="s">
        <v>7</v>
      </c>
      <c r="M515">
        <v>2014</v>
      </c>
      <c r="N515" s="1">
        <v>41820</v>
      </c>
      <c r="O515" t="s">
        <v>2730</v>
      </c>
      <c r="P515">
        <v>1</v>
      </c>
      <c r="S515">
        <v>217.95</v>
      </c>
      <c r="T515">
        <v>250</v>
      </c>
      <c r="U515">
        <v>190</v>
      </c>
      <c r="V515" t="s">
        <v>20</v>
      </c>
      <c r="W515" t="s">
        <v>21</v>
      </c>
      <c r="X515" t="s">
        <v>458</v>
      </c>
      <c r="Y515" t="s">
        <v>459</v>
      </c>
      <c r="AF515" t="s">
        <v>13</v>
      </c>
      <c r="AG515" t="str">
        <f>HYPERLINK("https://doi.org/10.1515/9780748693047?locatt=mode:legacy")</f>
        <v>https://doi.org/10.1515/9780748693047?locatt=mode:legacy</v>
      </c>
      <c r="AH515" t="str">
        <f>HYPERLINK("http://www.degruyter.com/isbn/9780748693047")</f>
        <v>http://www.degruyter.com/isbn/9780748693047</v>
      </c>
      <c r="AI515" t="s">
        <v>34</v>
      </c>
      <c r="AL515" t="s">
        <v>15</v>
      </c>
      <c r="AM515">
        <v>1</v>
      </c>
      <c r="AN515" s="2">
        <v>9780748693023</v>
      </c>
    </row>
    <row r="516" spans="1:40" x14ac:dyDescent="0.3">
      <c r="A516" t="s">
        <v>2731</v>
      </c>
      <c r="B516" t="s">
        <v>1</v>
      </c>
      <c r="C516" t="s">
        <v>2732</v>
      </c>
      <c r="D516" t="s">
        <v>2733</v>
      </c>
      <c r="E516" t="s">
        <v>2734</v>
      </c>
      <c r="F516" t="s">
        <v>5</v>
      </c>
      <c r="G516" t="s">
        <v>6</v>
      </c>
      <c r="L516" t="s">
        <v>7</v>
      </c>
      <c r="M516">
        <v>2013</v>
      </c>
      <c r="N516" s="1">
        <v>41596</v>
      </c>
      <c r="O516" t="s">
        <v>2735</v>
      </c>
      <c r="P516">
        <v>1</v>
      </c>
      <c r="S516">
        <v>243.95</v>
      </c>
      <c r="T516">
        <v>280</v>
      </c>
      <c r="U516">
        <v>210</v>
      </c>
      <c r="V516" t="s">
        <v>42</v>
      </c>
      <c r="W516" t="s">
        <v>116</v>
      </c>
      <c r="X516" t="s">
        <v>116</v>
      </c>
      <c r="Y516" t="s">
        <v>117</v>
      </c>
      <c r="AF516" t="s">
        <v>13</v>
      </c>
      <c r="AG516" t="str">
        <f>HYPERLINK("https://doi.org/10.1515/9780748634354?locatt=mode:legacy")</f>
        <v>https://doi.org/10.1515/9780748634354?locatt=mode:legacy</v>
      </c>
      <c r="AH516" t="str">
        <f>HYPERLINK("http://www.degruyter.com/isbn/9780748634354")</f>
        <v>http://www.degruyter.com/isbn/9780748634354</v>
      </c>
      <c r="AI516" t="s">
        <v>68</v>
      </c>
      <c r="AL516" t="s">
        <v>47</v>
      </c>
      <c r="AM516">
        <v>1</v>
      </c>
      <c r="AN516" s="2">
        <v>9780748634347</v>
      </c>
    </row>
    <row r="517" spans="1:40" x14ac:dyDescent="0.3">
      <c r="A517" t="s">
        <v>2736</v>
      </c>
      <c r="B517" t="s">
        <v>1</v>
      </c>
      <c r="C517" t="s">
        <v>2737</v>
      </c>
      <c r="D517" t="s">
        <v>2738</v>
      </c>
      <c r="E517" t="s">
        <v>2739</v>
      </c>
      <c r="F517" t="s">
        <v>5</v>
      </c>
      <c r="G517" t="s">
        <v>6</v>
      </c>
      <c r="K517" t="s">
        <v>923</v>
      </c>
      <c r="L517" t="s">
        <v>7</v>
      </c>
      <c r="M517">
        <v>2015</v>
      </c>
      <c r="N517" s="1">
        <v>42349</v>
      </c>
      <c r="O517" t="s">
        <v>2740</v>
      </c>
      <c r="P517">
        <v>1</v>
      </c>
      <c r="V517" t="s">
        <v>9</v>
      </c>
      <c r="W517" t="s">
        <v>10</v>
      </c>
      <c r="X517" t="s">
        <v>11</v>
      </c>
      <c r="Y517" t="s">
        <v>12</v>
      </c>
      <c r="AF517" t="s">
        <v>13</v>
      </c>
      <c r="AG517" t="str">
        <f>HYPERLINK("https://doi.org/10.1515/9781474403283")</f>
        <v>https://doi.org/10.1515/9781474403283</v>
      </c>
      <c r="AH517" t="str">
        <f>HYPERLINK("http://www.degruyter.com/isbn/9781474403283")</f>
        <v>http://www.degruyter.com/isbn/9781474403283</v>
      </c>
      <c r="AI517" t="s">
        <v>34</v>
      </c>
      <c r="AM517">
        <v>1</v>
      </c>
      <c r="AN517" s="2"/>
    </row>
    <row r="518" spans="1:40" x14ac:dyDescent="0.3">
      <c r="A518" t="s">
        <v>2741</v>
      </c>
      <c r="B518" t="s">
        <v>1</v>
      </c>
      <c r="C518" t="s">
        <v>2742</v>
      </c>
      <c r="E518" t="s">
        <v>2743</v>
      </c>
      <c r="F518" t="s">
        <v>5</v>
      </c>
      <c r="G518" t="s">
        <v>6</v>
      </c>
      <c r="L518" t="s">
        <v>7</v>
      </c>
      <c r="M518">
        <v>2020</v>
      </c>
      <c r="N518" s="1">
        <v>44656</v>
      </c>
      <c r="O518" t="s">
        <v>2744</v>
      </c>
      <c r="P518">
        <v>1</v>
      </c>
      <c r="S518">
        <v>217.95</v>
      </c>
      <c r="T518">
        <v>250</v>
      </c>
      <c r="U518">
        <v>190</v>
      </c>
      <c r="V518" t="s">
        <v>58</v>
      </c>
      <c r="W518" t="s">
        <v>59</v>
      </c>
      <c r="X518" t="s">
        <v>60</v>
      </c>
      <c r="Y518" t="s">
        <v>1029</v>
      </c>
      <c r="AF518" t="s">
        <v>13</v>
      </c>
      <c r="AG518" t="str">
        <f>HYPERLINK("https://doi.org/10.1515/9781474454056?locatt=mode:legacy")</f>
        <v>https://doi.org/10.1515/9781474454056?locatt=mode:legacy</v>
      </c>
      <c r="AH518" t="str">
        <f>HYPERLINK("http://www.degruyter.com/isbn/9781474454056")</f>
        <v>http://www.degruyter.com/isbn/9781474454056</v>
      </c>
      <c r="AI518" t="s">
        <v>14</v>
      </c>
      <c r="AL518" t="s">
        <v>62</v>
      </c>
      <c r="AM518">
        <v>1</v>
      </c>
      <c r="AN518" s="2">
        <v>9781474454032</v>
      </c>
    </row>
    <row r="519" spans="1:40" x14ac:dyDescent="0.3">
      <c r="A519" t="s">
        <v>2745</v>
      </c>
      <c r="B519" t="s">
        <v>1</v>
      </c>
      <c r="C519" t="s">
        <v>2746</v>
      </c>
      <c r="E519" t="s">
        <v>2747</v>
      </c>
      <c r="F519" t="s">
        <v>5</v>
      </c>
      <c r="G519" t="s">
        <v>6</v>
      </c>
      <c r="L519" t="s">
        <v>7</v>
      </c>
      <c r="M519">
        <v>2013</v>
      </c>
      <c r="N519" s="1">
        <v>41415</v>
      </c>
      <c r="O519" t="s">
        <v>2748</v>
      </c>
      <c r="P519">
        <v>1</v>
      </c>
      <c r="S519">
        <v>227.95</v>
      </c>
      <c r="T519">
        <v>260</v>
      </c>
      <c r="U519">
        <v>200</v>
      </c>
      <c r="V519" t="s">
        <v>79</v>
      </c>
      <c r="W519" t="s">
        <v>209</v>
      </c>
      <c r="X519" t="s">
        <v>209</v>
      </c>
      <c r="Y519" t="s">
        <v>510</v>
      </c>
      <c r="AF519" t="s">
        <v>13</v>
      </c>
      <c r="AG519" t="str">
        <f>HYPERLINK("https://doi.org/10.1515/9780748682263")</f>
        <v>https://doi.org/10.1515/9780748682263</v>
      </c>
      <c r="AH519" t="str">
        <f>HYPERLINK("http://www.degruyter.com/isbn/9780748682263")</f>
        <v>http://www.degruyter.com/isbn/9780748682263</v>
      </c>
      <c r="AI519" t="s">
        <v>1661</v>
      </c>
      <c r="AL519" t="s">
        <v>83</v>
      </c>
      <c r="AM519">
        <v>1</v>
      </c>
      <c r="AN519" s="2">
        <v>9780748682249</v>
      </c>
    </row>
    <row r="520" spans="1:40" x14ac:dyDescent="0.3">
      <c r="A520" t="s">
        <v>2749</v>
      </c>
      <c r="B520" t="s">
        <v>1</v>
      </c>
      <c r="C520" t="s">
        <v>2750</v>
      </c>
      <c r="D520" t="s">
        <v>1146</v>
      </c>
      <c r="E520" t="s">
        <v>2751</v>
      </c>
      <c r="F520" t="s">
        <v>5</v>
      </c>
      <c r="G520" t="s">
        <v>6</v>
      </c>
      <c r="L520" t="s">
        <v>7</v>
      </c>
      <c r="M520">
        <v>1999</v>
      </c>
      <c r="N520" s="1">
        <v>44719</v>
      </c>
      <c r="O520" t="s">
        <v>2752</v>
      </c>
      <c r="P520">
        <v>1</v>
      </c>
      <c r="S520">
        <v>287.95</v>
      </c>
      <c r="T520">
        <v>330</v>
      </c>
      <c r="U520">
        <v>250</v>
      </c>
      <c r="V520" t="s">
        <v>9</v>
      </c>
      <c r="W520" t="s">
        <v>10</v>
      </c>
      <c r="X520" t="s">
        <v>11</v>
      </c>
      <c r="Y520" t="s">
        <v>12</v>
      </c>
      <c r="AF520" t="s">
        <v>13</v>
      </c>
      <c r="AG520" t="str">
        <f>HYPERLINK("https://doi.org/10.1515/9781474473224")</f>
        <v>https://doi.org/10.1515/9781474473224</v>
      </c>
      <c r="AH520" t="str">
        <f>HYPERLINK("http://www.degruyter.com/isbn/9781474473224")</f>
        <v>http://www.degruyter.com/isbn/9781474473224</v>
      </c>
      <c r="AI520" t="s">
        <v>2753</v>
      </c>
      <c r="AJ520" t="s">
        <v>35</v>
      </c>
      <c r="AL520" t="s">
        <v>53</v>
      </c>
      <c r="AM520">
        <v>1</v>
      </c>
      <c r="AN520" s="2">
        <v>9780748609598</v>
      </c>
    </row>
    <row r="521" spans="1:40" x14ac:dyDescent="0.3">
      <c r="A521" t="s">
        <v>2754</v>
      </c>
      <c r="B521" t="s">
        <v>1</v>
      </c>
      <c r="C521" t="s">
        <v>2755</v>
      </c>
      <c r="D521" t="s">
        <v>2756</v>
      </c>
      <c r="E521" t="s">
        <v>2757</v>
      </c>
      <c r="F521" t="s">
        <v>5</v>
      </c>
      <c r="G521" t="s">
        <v>6</v>
      </c>
      <c r="L521" t="s">
        <v>7</v>
      </c>
      <c r="M521">
        <v>1997</v>
      </c>
      <c r="N521" s="1">
        <v>44719</v>
      </c>
      <c r="O521" t="s">
        <v>2758</v>
      </c>
      <c r="P521">
        <v>1</v>
      </c>
      <c r="S521">
        <v>217.95</v>
      </c>
      <c r="T521">
        <v>250</v>
      </c>
      <c r="U521">
        <v>190</v>
      </c>
      <c r="V521" t="s">
        <v>42</v>
      </c>
      <c r="W521" t="s">
        <v>107</v>
      </c>
      <c r="X521" t="s">
        <v>108</v>
      </c>
      <c r="Y521" t="s">
        <v>109</v>
      </c>
      <c r="AF521" t="s">
        <v>13</v>
      </c>
      <c r="AG521" t="str">
        <f>HYPERLINK("https://doi.org/10.1515/9781474471664")</f>
        <v>https://doi.org/10.1515/9781474471664</v>
      </c>
      <c r="AH521" t="str">
        <f>HYPERLINK("http://www.degruyter.com/isbn/9781474471664")</f>
        <v>http://www.degruyter.com/isbn/9781474471664</v>
      </c>
      <c r="AI521" t="s">
        <v>24</v>
      </c>
      <c r="AL521" t="s">
        <v>47</v>
      </c>
      <c r="AM521">
        <v>1</v>
      </c>
      <c r="AN521" s="2">
        <v>9781853311765</v>
      </c>
    </row>
    <row r="522" spans="1:40" x14ac:dyDescent="0.3">
      <c r="A522" t="s">
        <v>2759</v>
      </c>
      <c r="B522" t="s">
        <v>1</v>
      </c>
      <c r="C522" t="s">
        <v>2760</v>
      </c>
      <c r="D522" t="s">
        <v>1146</v>
      </c>
      <c r="E522" t="s">
        <v>2761</v>
      </c>
      <c r="F522" t="s">
        <v>5</v>
      </c>
      <c r="G522" t="s">
        <v>6</v>
      </c>
      <c r="L522" t="s">
        <v>7</v>
      </c>
      <c r="M522">
        <v>2002</v>
      </c>
      <c r="N522" s="1">
        <v>37581</v>
      </c>
      <c r="O522" t="s">
        <v>2762</v>
      </c>
      <c r="P522">
        <v>1</v>
      </c>
      <c r="S522">
        <v>321.95</v>
      </c>
      <c r="T522">
        <v>370</v>
      </c>
      <c r="U522">
        <v>280</v>
      </c>
      <c r="V522" t="s">
        <v>42</v>
      </c>
      <c r="W522" t="s">
        <v>116</v>
      </c>
      <c r="X522" t="s">
        <v>116</v>
      </c>
      <c r="Y522" t="s">
        <v>117</v>
      </c>
      <c r="AF522" t="s">
        <v>13</v>
      </c>
      <c r="AG522" t="str">
        <f>HYPERLINK("https://doi.org/10.1515/9781474471312")</f>
        <v>https://doi.org/10.1515/9781474471312</v>
      </c>
      <c r="AH522" t="str">
        <f>HYPERLINK("http://www.degruyter.com/isbn/9781474471312")</f>
        <v>http://www.degruyter.com/isbn/9781474471312</v>
      </c>
      <c r="AI522" t="s">
        <v>68</v>
      </c>
      <c r="AL522" t="s">
        <v>47</v>
      </c>
      <c r="AM522">
        <v>1</v>
      </c>
      <c r="AN522" s="2">
        <v>9780748614783</v>
      </c>
    </row>
    <row r="523" spans="1:40" x14ac:dyDescent="0.3">
      <c r="A523" t="s">
        <v>2763</v>
      </c>
      <c r="B523" t="s">
        <v>1</v>
      </c>
      <c r="C523" t="s">
        <v>2764</v>
      </c>
      <c r="D523" t="s">
        <v>2765</v>
      </c>
      <c r="E523" t="s">
        <v>2766</v>
      </c>
      <c r="F523" t="s">
        <v>5</v>
      </c>
      <c r="G523" t="s">
        <v>6</v>
      </c>
      <c r="L523" t="s">
        <v>7</v>
      </c>
      <c r="M523">
        <v>2021</v>
      </c>
      <c r="N523" s="1">
        <v>44644</v>
      </c>
      <c r="O523" t="s">
        <v>2767</v>
      </c>
      <c r="P523">
        <v>1</v>
      </c>
      <c r="S523">
        <v>227.95</v>
      </c>
      <c r="T523">
        <v>260</v>
      </c>
      <c r="U523">
        <v>200</v>
      </c>
      <c r="V523" t="s">
        <v>9</v>
      </c>
      <c r="W523" t="s">
        <v>10</v>
      </c>
      <c r="X523" t="s">
        <v>11</v>
      </c>
      <c r="Y523" t="s">
        <v>52</v>
      </c>
      <c r="AF523" t="s">
        <v>13</v>
      </c>
      <c r="AG523" t="str">
        <f>HYPERLINK("https://doi.org/10.1515/9781474456920")</f>
        <v>https://doi.org/10.1515/9781474456920</v>
      </c>
      <c r="AH523" t="str">
        <f>HYPERLINK("http://www.degruyter.com/isbn/9781474456920")</f>
        <v>http://www.degruyter.com/isbn/9781474456920</v>
      </c>
      <c r="AI523" t="s">
        <v>216</v>
      </c>
      <c r="AL523" t="s">
        <v>15</v>
      </c>
      <c r="AM523">
        <v>1</v>
      </c>
      <c r="AN523" s="2">
        <v>9781474456906</v>
      </c>
    </row>
    <row r="524" spans="1:40" x14ac:dyDescent="0.3">
      <c r="A524" t="s">
        <v>2768</v>
      </c>
      <c r="B524" t="s">
        <v>1</v>
      </c>
      <c r="C524" t="s">
        <v>2769</v>
      </c>
      <c r="D524" t="s">
        <v>2770</v>
      </c>
      <c r="E524" t="s">
        <v>2771</v>
      </c>
      <c r="F524" t="s">
        <v>5</v>
      </c>
      <c r="G524" t="s">
        <v>6</v>
      </c>
      <c r="L524" t="s">
        <v>7</v>
      </c>
      <c r="M524">
        <v>2009</v>
      </c>
      <c r="N524" s="1">
        <v>40106</v>
      </c>
      <c r="O524" t="s">
        <v>2772</v>
      </c>
      <c r="P524">
        <v>1</v>
      </c>
      <c r="S524">
        <v>217.95</v>
      </c>
      <c r="T524">
        <v>250</v>
      </c>
      <c r="U524">
        <v>190</v>
      </c>
      <c r="V524" t="s">
        <v>9</v>
      </c>
      <c r="W524" t="s">
        <v>10</v>
      </c>
      <c r="X524" t="s">
        <v>596</v>
      </c>
      <c r="Y524" t="s">
        <v>2473</v>
      </c>
      <c r="AF524" t="s">
        <v>13</v>
      </c>
      <c r="AG524" t="str">
        <f>HYPERLINK("https://doi.org/10.1515/9780748633906?locatt=mode:legacy")</f>
        <v>https://doi.org/10.1515/9780748633906?locatt=mode:legacy</v>
      </c>
      <c r="AH524" t="str">
        <f>HYPERLINK("http://www.degruyter.com/isbn/9780748633906")</f>
        <v>http://www.degruyter.com/isbn/9780748633906</v>
      </c>
      <c r="AI524" t="s">
        <v>68</v>
      </c>
      <c r="AL524" t="s">
        <v>15</v>
      </c>
      <c r="AM524">
        <v>1</v>
      </c>
      <c r="AN524" s="2">
        <v>9780748633890</v>
      </c>
    </row>
    <row r="525" spans="1:40" x14ac:dyDescent="0.3">
      <c r="A525" t="s">
        <v>2773</v>
      </c>
      <c r="B525" t="s">
        <v>1</v>
      </c>
      <c r="C525" t="s">
        <v>2774</v>
      </c>
      <c r="E525" t="s">
        <v>2775</v>
      </c>
      <c r="F525" t="s">
        <v>5</v>
      </c>
      <c r="G525" t="s">
        <v>6</v>
      </c>
      <c r="K525" t="s">
        <v>929</v>
      </c>
      <c r="L525" t="s">
        <v>7</v>
      </c>
      <c r="M525">
        <v>2016</v>
      </c>
      <c r="N525" s="1">
        <v>42586</v>
      </c>
      <c r="O525" t="s">
        <v>2776</v>
      </c>
      <c r="P525">
        <v>1</v>
      </c>
      <c r="V525" t="s">
        <v>20</v>
      </c>
      <c r="W525" t="s">
        <v>21</v>
      </c>
      <c r="X525" t="s">
        <v>458</v>
      </c>
      <c r="Y525" t="s">
        <v>459</v>
      </c>
      <c r="AF525" t="s">
        <v>13</v>
      </c>
      <c r="AG525" t="str">
        <f>HYPERLINK("https://doi.org/10.1515/9781474408981?locatt=mode:legacy")</f>
        <v>https://doi.org/10.1515/9781474408981?locatt=mode:legacy</v>
      </c>
      <c r="AH525" t="str">
        <f>HYPERLINK("http://www.degruyter.com/isbn/9781474408981")</f>
        <v>http://www.degruyter.com/isbn/9781474408981</v>
      </c>
      <c r="AI525" t="s">
        <v>180</v>
      </c>
      <c r="AM525">
        <v>1</v>
      </c>
      <c r="AN525" s="2"/>
    </row>
    <row r="526" spans="1:40" x14ac:dyDescent="0.3">
      <c r="A526" t="s">
        <v>2777</v>
      </c>
      <c r="B526" t="s">
        <v>1</v>
      </c>
      <c r="C526" t="s">
        <v>2778</v>
      </c>
      <c r="D526" t="s">
        <v>2779</v>
      </c>
      <c r="E526" t="s">
        <v>2780</v>
      </c>
      <c r="F526" t="s">
        <v>5</v>
      </c>
      <c r="G526" t="s">
        <v>6</v>
      </c>
      <c r="L526" t="s">
        <v>7</v>
      </c>
      <c r="M526">
        <v>2005</v>
      </c>
      <c r="N526" s="1">
        <v>38548</v>
      </c>
      <c r="O526" t="s">
        <v>2781</v>
      </c>
      <c r="P526">
        <v>1</v>
      </c>
      <c r="S526">
        <v>243.95</v>
      </c>
      <c r="T526">
        <v>280</v>
      </c>
      <c r="U526">
        <v>210</v>
      </c>
      <c r="V526" t="s">
        <v>847</v>
      </c>
      <c r="W526" t="s">
        <v>2396</v>
      </c>
      <c r="X526" t="s">
        <v>2397</v>
      </c>
      <c r="Y526" t="s">
        <v>2782</v>
      </c>
      <c r="AF526" t="s">
        <v>13</v>
      </c>
      <c r="AG526" t="str">
        <f>HYPERLINK("https://doi.org/10.1515/9781474471640")</f>
        <v>https://doi.org/10.1515/9781474471640</v>
      </c>
      <c r="AH526" t="str">
        <f>HYPERLINK("http://www.degruyter.com/isbn/9781474471640")</f>
        <v>http://www.degruyter.com/isbn/9781474471640</v>
      </c>
      <c r="AI526" t="s">
        <v>68</v>
      </c>
      <c r="AL526" t="s">
        <v>1070</v>
      </c>
      <c r="AM526">
        <v>1</v>
      </c>
      <c r="AN526" s="2">
        <v>9780748614875</v>
      </c>
    </row>
    <row r="527" spans="1:40" x14ac:dyDescent="0.3">
      <c r="A527" t="s">
        <v>2783</v>
      </c>
      <c r="B527" t="s">
        <v>1</v>
      </c>
      <c r="C527" t="s">
        <v>2784</v>
      </c>
      <c r="D527" t="s">
        <v>2785</v>
      </c>
      <c r="E527" t="s">
        <v>2786</v>
      </c>
      <c r="F527" t="s">
        <v>5</v>
      </c>
      <c r="G527" t="s">
        <v>6</v>
      </c>
      <c r="L527" t="s">
        <v>7</v>
      </c>
      <c r="M527">
        <v>1998</v>
      </c>
      <c r="N527" s="1">
        <v>44719</v>
      </c>
      <c r="O527" t="s">
        <v>661</v>
      </c>
      <c r="P527">
        <v>1</v>
      </c>
      <c r="S527">
        <v>217.95</v>
      </c>
      <c r="T527">
        <v>250</v>
      </c>
      <c r="U527">
        <v>190</v>
      </c>
      <c r="V527" t="s">
        <v>79</v>
      </c>
      <c r="W527" t="s">
        <v>209</v>
      </c>
      <c r="X527" t="s">
        <v>209</v>
      </c>
      <c r="Y527" t="s">
        <v>510</v>
      </c>
      <c r="AF527" t="s">
        <v>13</v>
      </c>
      <c r="AG527" t="str">
        <f>HYPERLINK("https://doi.org/10.1515/9781474473644")</f>
        <v>https://doi.org/10.1515/9781474473644</v>
      </c>
      <c r="AH527" t="str">
        <f>HYPERLINK("http://www.degruyter.com/isbn/9781474473644")</f>
        <v>http://www.degruyter.com/isbn/9781474473644</v>
      </c>
      <c r="AI527" t="s">
        <v>24</v>
      </c>
      <c r="AL527" t="s">
        <v>83</v>
      </c>
      <c r="AM527">
        <v>1</v>
      </c>
      <c r="AN527" s="2">
        <v>9780748609642</v>
      </c>
    </row>
    <row r="528" spans="1:40" x14ac:dyDescent="0.3">
      <c r="A528">
        <v>286872</v>
      </c>
      <c r="B528" t="s">
        <v>1</v>
      </c>
      <c r="C528" t="s">
        <v>2787</v>
      </c>
      <c r="D528" t="s">
        <v>186</v>
      </c>
      <c r="E528" t="s">
        <v>2787</v>
      </c>
      <c r="F528" t="s">
        <v>5</v>
      </c>
      <c r="G528" t="s">
        <v>6</v>
      </c>
      <c r="L528" t="s">
        <v>7</v>
      </c>
      <c r="M528">
        <v>2018</v>
      </c>
      <c r="N528" s="1">
        <v>44502</v>
      </c>
      <c r="P528">
        <v>1</v>
      </c>
      <c r="S528">
        <v>17697.59</v>
      </c>
      <c r="T528">
        <v>20500</v>
      </c>
      <c r="U528">
        <v>15048.95</v>
      </c>
      <c r="V528" t="s">
        <v>187</v>
      </c>
      <c r="W528" t="s">
        <v>187</v>
      </c>
      <c r="X528" t="s">
        <v>187</v>
      </c>
      <c r="Y528" t="s">
        <v>188</v>
      </c>
      <c r="AF528" t="s">
        <v>189</v>
      </c>
      <c r="AL528" t="s">
        <v>190</v>
      </c>
      <c r="AM528">
        <v>1</v>
      </c>
      <c r="AN528" s="2"/>
    </row>
    <row r="529" spans="1:40" x14ac:dyDescent="0.3">
      <c r="A529" t="s">
        <v>2788</v>
      </c>
      <c r="B529" t="s">
        <v>1</v>
      </c>
      <c r="C529" t="s">
        <v>2789</v>
      </c>
      <c r="D529" t="s">
        <v>1146</v>
      </c>
      <c r="E529" t="s">
        <v>2790</v>
      </c>
      <c r="F529" t="s">
        <v>5</v>
      </c>
      <c r="G529" t="s">
        <v>6</v>
      </c>
      <c r="L529" t="s">
        <v>7</v>
      </c>
      <c r="M529">
        <v>2000</v>
      </c>
      <c r="N529" s="1">
        <v>44719</v>
      </c>
      <c r="O529" t="s">
        <v>2791</v>
      </c>
      <c r="P529">
        <v>1</v>
      </c>
      <c r="S529">
        <v>217.95</v>
      </c>
      <c r="T529">
        <v>250</v>
      </c>
      <c r="U529">
        <v>190</v>
      </c>
      <c r="V529" t="s">
        <v>79</v>
      </c>
      <c r="W529" t="s">
        <v>123</v>
      </c>
      <c r="X529" t="s">
        <v>123</v>
      </c>
      <c r="Y529" t="s">
        <v>124</v>
      </c>
      <c r="AF529" t="s">
        <v>13</v>
      </c>
      <c r="AG529" t="str">
        <f>HYPERLINK("https://doi.org/10.1515/9781474470476")</f>
        <v>https://doi.org/10.1515/9781474470476</v>
      </c>
      <c r="AH529" t="str">
        <f>HYPERLINK("http://www.degruyter.com/isbn/9781474470476")</f>
        <v>http://www.degruyter.com/isbn/9781474470476</v>
      </c>
      <c r="AI529" t="s">
        <v>68</v>
      </c>
      <c r="AL529" t="s">
        <v>83</v>
      </c>
      <c r="AM529">
        <v>1</v>
      </c>
      <c r="AN529" s="2">
        <v>9780748614417</v>
      </c>
    </row>
    <row r="530" spans="1:40" x14ac:dyDescent="0.3">
      <c r="A530" t="s">
        <v>2792</v>
      </c>
      <c r="B530" t="s">
        <v>1</v>
      </c>
      <c r="C530" t="s">
        <v>2793</v>
      </c>
      <c r="D530" t="s">
        <v>2794</v>
      </c>
      <c r="E530" t="s">
        <v>2795</v>
      </c>
      <c r="F530" t="s">
        <v>5</v>
      </c>
      <c r="G530" t="s">
        <v>6</v>
      </c>
      <c r="L530" t="s">
        <v>7</v>
      </c>
      <c r="M530">
        <v>2021</v>
      </c>
      <c r="N530" s="1">
        <v>44656</v>
      </c>
      <c r="O530" t="s">
        <v>1469</v>
      </c>
      <c r="P530">
        <v>1</v>
      </c>
      <c r="S530">
        <v>253.95</v>
      </c>
      <c r="T530">
        <v>290</v>
      </c>
      <c r="U530">
        <v>220</v>
      </c>
      <c r="V530" t="s">
        <v>42</v>
      </c>
      <c r="W530" t="s">
        <v>116</v>
      </c>
      <c r="X530" t="s">
        <v>116</v>
      </c>
      <c r="Y530" t="s">
        <v>2796</v>
      </c>
      <c r="AF530" t="s">
        <v>13</v>
      </c>
      <c r="AG530" t="str">
        <f>HYPERLINK("https://doi.org/10.1515/9781474487900")</f>
        <v>https://doi.org/10.1515/9781474487900</v>
      </c>
      <c r="AH530" t="str">
        <f>HYPERLINK("http://www.degruyter.com/isbn/9781474487900")</f>
        <v>http://www.degruyter.com/isbn/9781474487900</v>
      </c>
      <c r="AI530" t="s">
        <v>110</v>
      </c>
      <c r="AJ530" t="s">
        <v>35</v>
      </c>
      <c r="AL530" t="s">
        <v>520</v>
      </c>
      <c r="AM530">
        <v>1</v>
      </c>
      <c r="AN530" s="2">
        <v>9781474487887</v>
      </c>
    </row>
    <row r="531" spans="1:40" x14ac:dyDescent="0.3">
      <c r="A531" t="s">
        <v>2797</v>
      </c>
      <c r="B531" t="s">
        <v>1</v>
      </c>
      <c r="C531" t="s">
        <v>2798</v>
      </c>
      <c r="D531" t="s">
        <v>2799</v>
      </c>
      <c r="E531" t="s">
        <v>2800</v>
      </c>
      <c r="F531" t="s">
        <v>5</v>
      </c>
      <c r="G531" t="s">
        <v>6</v>
      </c>
      <c r="L531" t="s">
        <v>7</v>
      </c>
      <c r="M531">
        <v>2019</v>
      </c>
      <c r="N531" s="1">
        <v>44656</v>
      </c>
      <c r="O531" t="s">
        <v>2801</v>
      </c>
      <c r="P531">
        <v>1</v>
      </c>
      <c r="S531">
        <v>417.95</v>
      </c>
      <c r="T531">
        <v>480</v>
      </c>
      <c r="U531">
        <v>370</v>
      </c>
      <c r="V531" t="s">
        <v>42</v>
      </c>
      <c r="W531" t="s">
        <v>107</v>
      </c>
      <c r="X531" t="s">
        <v>108</v>
      </c>
      <c r="Y531" t="s">
        <v>109</v>
      </c>
      <c r="AF531" t="s">
        <v>13</v>
      </c>
      <c r="AG531" t="str">
        <f>HYPERLINK("https://doi.org/10.1515/9781474443210")</f>
        <v>https://doi.org/10.1515/9781474443210</v>
      </c>
      <c r="AH531" t="str">
        <f>HYPERLINK("http://www.degruyter.com/isbn/9781474443210")</f>
        <v>http://www.degruyter.com/isbn/9781474443210</v>
      </c>
      <c r="AI531" t="s">
        <v>2802</v>
      </c>
      <c r="AL531" t="s">
        <v>47</v>
      </c>
      <c r="AM531">
        <v>1</v>
      </c>
      <c r="AN531" s="2">
        <v>9781474443197</v>
      </c>
    </row>
    <row r="532" spans="1:40" x14ac:dyDescent="0.3">
      <c r="A532" t="s">
        <v>2803</v>
      </c>
      <c r="B532" t="s">
        <v>1</v>
      </c>
      <c r="C532" t="s">
        <v>2804</v>
      </c>
      <c r="D532" t="s">
        <v>2805</v>
      </c>
      <c r="E532" t="s">
        <v>2806</v>
      </c>
      <c r="F532" t="s">
        <v>5</v>
      </c>
      <c r="G532" t="s">
        <v>6</v>
      </c>
      <c r="L532" t="s">
        <v>7</v>
      </c>
      <c r="M532">
        <v>2006</v>
      </c>
      <c r="N532" s="1">
        <v>38810</v>
      </c>
      <c r="O532" t="s">
        <v>2807</v>
      </c>
      <c r="P532">
        <v>1</v>
      </c>
      <c r="S532">
        <v>227.95</v>
      </c>
      <c r="T532">
        <v>260</v>
      </c>
      <c r="U532">
        <v>200</v>
      </c>
      <c r="V532" t="s">
        <v>79</v>
      </c>
      <c r="W532" t="s">
        <v>209</v>
      </c>
      <c r="X532" t="s">
        <v>209</v>
      </c>
      <c r="Y532" t="s">
        <v>510</v>
      </c>
      <c r="AF532" t="s">
        <v>13</v>
      </c>
      <c r="AG532" t="str">
        <f>HYPERLINK("https://doi.org/10.1515/9780748626731?locatt=mode:legacy")</f>
        <v>https://doi.org/10.1515/9780748626731?locatt=mode:legacy</v>
      </c>
      <c r="AH532" t="str">
        <f>HYPERLINK("http://www.degruyter.com/isbn/9780748626731")</f>
        <v>http://www.degruyter.com/isbn/9780748626731</v>
      </c>
      <c r="AI532" t="s">
        <v>68</v>
      </c>
      <c r="AL532" t="s">
        <v>83</v>
      </c>
      <c r="AM532">
        <v>1</v>
      </c>
      <c r="AN532" s="2">
        <v>9780748623433</v>
      </c>
    </row>
    <row r="533" spans="1:40" x14ac:dyDescent="0.3">
      <c r="A533" t="s">
        <v>2808</v>
      </c>
      <c r="B533" t="s">
        <v>1</v>
      </c>
      <c r="C533" t="s">
        <v>2809</v>
      </c>
      <c r="D533" t="s">
        <v>2810</v>
      </c>
      <c r="E533" t="s">
        <v>2811</v>
      </c>
      <c r="F533" t="s">
        <v>5</v>
      </c>
      <c r="G533" t="s">
        <v>6</v>
      </c>
      <c r="L533" t="s">
        <v>7</v>
      </c>
      <c r="M533">
        <v>2020</v>
      </c>
      <c r="N533" s="1">
        <v>44644</v>
      </c>
      <c r="O533" t="s">
        <v>2812</v>
      </c>
      <c r="P533">
        <v>1</v>
      </c>
      <c r="S533">
        <v>227.95</v>
      </c>
      <c r="T533">
        <v>260</v>
      </c>
      <c r="U533">
        <v>200</v>
      </c>
      <c r="V533" t="s">
        <v>42</v>
      </c>
      <c r="W533" t="s">
        <v>1379</v>
      </c>
      <c r="X533" t="s">
        <v>1380</v>
      </c>
      <c r="Y533" t="s">
        <v>1381</v>
      </c>
      <c r="AF533" t="s">
        <v>13</v>
      </c>
      <c r="AG533" t="str">
        <f>HYPERLINK("https://doi.org/10.1515/9781474463058")</f>
        <v>https://doi.org/10.1515/9781474463058</v>
      </c>
      <c r="AH533" t="str">
        <f>HYPERLINK("http://www.degruyter.com/isbn/9781474463058")</f>
        <v>http://www.degruyter.com/isbn/9781474463058</v>
      </c>
      <c r="AI533" t="s">
        <v>14</v>
      </c>
      <c r="AL533" t="s">
        <v>47</v>
      </c>
      <c r="AM533">
        <v>1</v>
      </c>
      <c r="AN533" s="2">
        <v>9781474463034</v>
      </c>
    </row>
    <row r="534" spans="1:40" x14ac:dyDescent="0.3">
      <c r="A534" t="s">
        <v>2813</v>
      </c>
      <c r="B534" t="s">
        <v>1</v>
      </c>
      <c r="C534" t="s">
        <v>2814</v>
      </c>
      <c r="E534" t="s">
        <v>2815</v>
      </c>
      <c r="F534" t="s">
        <v>5</v>
      </c>
      <c r="G534" t="s">
        <v>6</v>
      </c>
      <c r="L534" t="s">
        <v>7</v>
      </c>
      <c r="M534">
        <v>2014</v>
      </c>
      <c r="N534" s="1">
        <v>41775</v>
      </c>
      <c r="O534" t="s">
        <v>2816</v>
      </c>
      <c r="P534">
        <v>1</v>
      </c>
      <c r="S534">
        <v>217.95</v>
      </c>
      <c r="T534">
        <v>250</v>
      </c>
      <c r="U534">
        <v>190</v>
      </c>
      <c r="V534" t="s">
        <v>9</v>
      </c>
      <c r="W534" t="s">
        <v>2817</v>
      </c>
      <c r="X534" t="s">
        <v>2818</v>
      </c>
      <c r="Y534" t="s">
        <v>2819</v>
      </c>
      <c r="AF534" t="s">
        <v>13</v>
      </c>
      <c r="AG534" t="str">
        <f>HYPERLINK("https://doi.org/10.1515/9780748656431")</f>
        <v>https://doi.org/10.1515/9780748656431</v>
      </c>
      <c r="AH534" t="str">
        <f>HYPERLINK("http://www.degruyter.com/isbn/9780748656431")</f>
        <v>http://www.degruyter.com/isbn/9780748656431</v>
      </c>
      <c r="AI534" t="s">
        <v>34</v>
      </c>
      <c r="AL534" t="s">
        <v>15</v>
      </c>
      <c r="AM534">
        <v>1</v>
      </c>
      <c r="AN534" s="2">
        <v>9780748656424</v>
      </c>
    </row>
    <row r="535" spans="1:40" x14ac:dyDescent="0.3">
      <c r="A535" t="s">
        <v>2820</v>
      </c>
      <c r="B535" t="s">
        <v>1</v>
      </c>
      <c r="C535" t="s">
        <v>2821</v>
      </c>
      <c r="E535" t="s">
        <v>2822</v>
      </c>
      <c r="F535" t="s">
        <v>5</v>
      </c>
      <c r="G535" t="s">
        <v>6</v>
      </c>
      <c r="L535" t="s">
        <v>7</v>
      </c>
      <c r="M535">
        <v>2008</v>
      </c>
      <c r="N535" s="1">
        <v>39498</v>
      </c>
      <c r="O535" t="s">
        <v>2823</v>
      </c>
      <c r="P535">
        <v>1</v>
      </c>
      <c r="S535">
        <v>253.95</v>
      </c>
      <c r="T535">
        <v>290</v>
      </c>
      <c r="U535">
        <v>220</v>
      </c>
      <c r="V535" t="s">
        <v>79</v>
      </c>
      <c r="W535" t="s">
        <v>138</v>
      </c>
      <c r="X535" t="s">
        <v>138</v>
      </c>
      <c r="Y535" t="s">
        <v>2824</v>
      </c>
      <c r="AF535" t="s">
        <v>13</v>
      </c>
      <c r="AG535" t="str">
        <f>HYPERLINK("https://doi.org/10.1515/9780748680689")</f>
        <v>https://doi.org/10.1515/9780748680689</v>
      </c>
      <c r="AH535" t="str">
        <f>HYPERLINK("http://www.degruyter.com/isbn/9780748680689")</f>
        <v>http://www.degruyter.com/isbn/9780748680689</v>
      </c>
      <c r="AI535" t="s">
        <v>68</v>
      </c>
      <c r="AL535" t="s">
        <v>83</v>
      </c>
      <c r="AM535">
        <v>1</v>
      </c>
      <c r="AN535" s="2">
        <v>9780748626076</v>
      </c>
    </row>
    <row r="536" spans="1:40" x14ac:dyDescent="0.3">
      <c r="A536" t="s">
        <v>2825</v>
      </c>
      <c r="B536" t="s">
        <v>1</v>
      </c>
      <c r="C536" t="s">
        <v>2826</v>
      </c>
      <c r="E536" t="s">
        <v>2827</v>
      </c>
      <c r="F536" t="s">
        <v>5</v>
      </c>
      <c r="G536" t="s">
        <v>6</v>
      </c>
      <c r="L536" t="s">
        <v>7</v>
      </c>
      <c r="M536">
        <v>2019</v>
      </c>
      <c r="N536" s="1">
        <v>44656</v>
      </c>
      <c r="O536" t="s">
        <v>2828</v>
      </c>
      <c r="P536">
        <v>1</v>
      </c>
      <c r="S536">
        <v>217.95</v>
      </c>
      <c r="T536">
        <v>250</v>
      </c>
      <c r="U536">
        <v>190</v>
      </c>
      <c r="V536" t="s">
        <v>9</v>
      </c>
      <c r="W536" t="s">
        <v>10</v>
      </c>
      <c r="X536" t="s">
        <v>11</v>
      </c>
      <c r="Y536" t="s">
        <v>12</v>
      </c>
      <c r="AF536" t="s">
        <v>13</v>
      </c>
      <c r="AG536" t="str">
        <f>HYPERLINK("https://doi.org/10.1515/9781474455725?locatt=mode:legacy")</f>
        <v>https://doi.org/10.1515/9781474455725?locatt=mode:legacy</v>
      </c>
      <c r="AH536" t="str">
        <f>HYPERLINK("http://www.degruyter.com/isbn/9781474455725")</f>
        <v>http://www.degruyter.com/isbn/9781474455725</v>
      </c>
      <c r="AI536" t="s">
        <v>2802</v>
      </c>
      <c r="AL536" t="s">
        <v>15</v>
      </c>
      <c r="AM536">
        <v>1</v>
      </c>
      <c r="AN536" s="2">
        <v>9781474455701</v>
      </c>
    </row>
    <row r="537" spans="1:40" x14ac:dyDescent="0.3">
      <c r="A537" t="s">
        <v>2829</v>
      </c>
      <c r="B537" t="s">
        <v>1</v>
      </c>
      <c r="C537" t="s">
        <v>2830</v>
      </c>
      <c r="E537" t="s">
        <v>2831</v>
      </c>
      <c r="F537" t="s">
        <v>5</v>
      </c>
      <c r="G537" t="s">
        <v>6</v>
      </c>
      <c r="L537" t="s">
        <v>7</v>
      </c>
      <c r="M537">
        <v>2004</v>
      </c>
      <c r="N537" s="1">
        <v>44599</v>
      </c>
      <c r="O537" t="s">
        <v>2832</v>
      </c>
      <c r="P537">
        <v>1</v>
      </c>
      <c r="S537">
        <v>217.95</v>
      </c>
      <c r="T537">
        <v>250</v>
      </c>
      <c r="U537">
        <v>190</v>
      </c>
      <c r="V537" t="s">
        <v>9</v>
      </c>
      <c r="W537" t="s">
        <v>10</v>
      </c>
      <c r="X537" t="s">
        <v>11</v>
      </c>
      <c r="Y537" t="s">
        <v>2833</v>
      </c>
      <c r="AF537" t="s">
        <v>13</v>
      </c>
      <c r="AG537" t="str">
        <f>HYPERLINK("https://doi.org/10.1515/9781474471602")</f>
        <v>https://doi.org/10.1515/9781474471602</v>
      </c>
      <c r="AH537" t="str">
        <f>HYPERLINK("http://www.degruyter.com/isbn/9781474471602")</f>
        <v>http://www.degruyter.com/isbn/9781474471602</v>
      </c>
      <c r="AI537" t="s">
        <v>68</v>
      </c>
      <c r="AL537" t="s">
        <v>15</v>
      </c>
      <c r="AM537">
        <v>1</v>
      </c>
      <c r="AN537" s="2">
        <v>9780748617890</v>
      </c>
    </row>
    <row r="538" spans="1:40" x14ac:dyDescent="0.3">
      <c r="A538" t="s">
        <v>2834</v>
      </c>
      <c r="B538" t="s">
        <v>1</v>
      </c>
      <c r="C538" t="s">
        <v>2835</v>
      </c>
      <c r="D538" t="s">
        <v>2836</v>
      </c>
      <c r="E538" t="s">
        <v>2837</v>
      </c>
      <c r="F538" t="s">
        <v>5</v>
      </c>
      <c r="G538" t="s">
        <v>6</v>
      </c>
      <c r="L538" t="s">
        <v>7</v>
      </c>
      <c r="M538">
        <v>2014</v>
      </c>
      <c r="N538" s="1">
        <v>41813</v>
      </c>
      <c r="O538" t="s">
        <v>2838</v>
      </c>
      <c r="P538">
        <v>1</v>
      </c>
      <c r="S538">
        <v>217.95</v>
      </c>
      <c r="T538">
        <v>250</v>
      </c>
      <c r="U538">
        <v>190</v>
      </c>
      <c r="V538" t="s">
        <v>42</v>
      </c>
      <c r="W538" t="s">
        <v>43</v>
      </c>
      <c r="X538" t="s">
        <v>44</v>
      </c>
      <c r="Y538" t="s">
        <v>45</v>
      </c>
      <c r="AF538" t="s">
        <v>13</v>
      </c>
      <c r="AG538" t="str">
        <f>HYPERLINK("https://doi.org/10.1515/9780748695676")</f>
        <v>https://doi.org/10.1515/9780748695676</v>
      </c>
      <c r="AH538" t="str">
        <f>HYPERLINK("http://www.degruyter.com/isbn/9780748695676")</f>
        <v>http://www.degruyter.com/isbn/9780748695676</v>
      </c>
      <c r="AI538" t="s">
        <v>34</v>
      </c>
      <c r="AL538" t="s">
        <v>47</v>
      </c>
      <c r="AM538">
        <v>1</v>
      </c>
      <c r="AN538" s="2">
        <v>9780748695652</v>
      </c>
    </row>
    <row r="539" spans="1:40" x14ac:dyDescent="0.3">
      <c r="A539" t="s">
        <v>2839</v>
      </c>
      <c r="B539" t="s">
        <v>1</v>
      </c>
      <c r="C539" t="s">
        <v>2840</v>
      </c>
      <c r="D539" t="s">
        <v>2841</v>
      </c>
      <c r="E539" t="s">
        <v>2842</v>
      </c>
      <c r="F539" t="s">
        <v>5</v>
      </c>
      <c r="G539" t="s">
        <v>6</v>
      </c>
      <c r="L539" t="s">
        <v>7</v>
      </c>
      <c r="M539">
        <v>2018</v>
      </c>
      <c r="N539" s="1">
        <v>44634</v>
      </c>
      <c r="O539" t="s">
        <v>2843</v>
      </c>
      <c r="P539">
        <v>1</v>
      </c>
      <c r="S539">
        <v>321.95</v>
      </c>
      <c r="T539">
        <v>370</v>
      </c>
      <c r="U539">
        <v>280</v>
      </c>
      <c r="V539" t="s">
        <v>268</v>
      </c>
      <c r="W539" t="s">
        <v>269</v>
      </c>
      <c r="X539" t="s">
        <v>269</v>
      </c>
      <c r="Y539" t="s">
        <v>374</v>
      </c>
      <c r="AF539" t="s">
        <v>13</v>
      </c>
      <c r="AG539" t="str">
        <f>HYPERLINK("https://doi.org/10.1515/9781474433754")</f>
        <v>https://doi.org/10.1515/9781474433754</v>
      </c>
      <c r="AH539" t="str">
        <f>HYPERLINK("http://www.degruyter.com/isbn/9781474433754")</f>
        <v>http://www.degruyter.com/isbn/9781474433754</v>
      </c>
      <c r="AI539" t="s">
        <v>2844</v>
      </c>
      <c r="AL539" t="s">
        <v>272</v>
      </c>
      <c r="AM539">
        <v>1</v>
      </c>
      <c r="AN539" s="2">
        <v>9781474433730</v>
      </c>
    </row>
    <row r="540" spans="1:40" x14ac:dyDescent="0.3">
      <c r="A540" t="s">
        <v>2845</v>
      </c>
      <c r="B540" t="s">
        <v>1</v>
      </c>
      <c r="C540" t="s">
        <v>2846</v>
      </c>
      <c r="E540" t="s">
        <v>2847</v>
      </c>
      <c r="F540" t="s">
        <v>5</v>
      </c>
      <c r="G540" t="s">
        <v>6</v>
      </c>
      <c r="L540" t="s">
        <v>7</v>
      </c>
      <c r="M540">
        <v>2017</v>
      </c>
      <c r="N540" s="1">
        <v>42844</v>
      </c>
      <c r="O540" t="s">
        <v>354</v>
      </c>
      <c r="P540">
        <v>1</v>
      </c>
      <c r="S540">
        <v>227.95</v>
      </c>
      <c r="T540">
        <v>260</v>
      </c>
      <c r="U540">
        <v>200</v>
      </c>
      <c r="V540" t="s">
        <v>79</v>
      </c>
      <c r="W540" t="s">
        <v>783</v>
      </c>
      <c r="X540" t="s">
        <v>783</v>
      </c>
      <c r="Y540" t="s">
        <v>784</v>
      </c>
      <c r="AF540" t="s">
        <v>13</v>
      </c>
      <c r="AG540" t="str">
        <f>HYPERLINK("https://doi.org/10.1515/9781474422796")</f>
        <v>https://doi.org/10.1515/9781474422796</v>
      </c>
      <c r="AH540" t="str">
        <f>HYPERLINK("http://www.degruyter.com/isbn/9781474422796")</f>
        <v>http://www.degruyter.com/isbn/9781474422796</v>
      </c>
      <c r="AI540" t="s">
        <v>222</v>
      </c>
      <c r="AL540" t="s">
        <v>83</v>
      </c>
      <c r="AM540">
        <v>1</v>
      </c>
      <c r="AN540" s="2">
        <v>9781474422772</v>
      </c>
    </row>
    <row r="541" spans="1:40" x14ac:dyDescent="0.3">
      <c r="A541" t="s">
        <v>2848</v>
      </c>
      <c r="B541" t="s">
        <v>1</v>
      </c>
      <c r="C541" t="s">
        <v>2849</v>
      </c>
      <c r="D541" t="s">
        <v>2850</v>
      </c>
      <c r="E541" t="s">
        <v>2851</v>
      </c>
      <c r="F541" t="s">
        <v>5</v>
      </c>
      <c r="G541" t="s">
        <v>6</v>
      </c>
      <c r="L541" t="s">
        <v>7</v>
      </c>
      <c r="M541">
        <v>1999</v>
      </c>
      <c r="N541" s="1">
        <v>44607</v>
      </c>
      <c r="O541" t="s">
        <v>1839</v>
      </c>
      <c r="P541">
        <v>1</v>
      </c>
      <c r="S541">
        <v>217.95</v>
      </c>
      <c r="T541">
        <v>250</v>
      </c>
      <c r="U541">
        <v>190</v>
      </c>
      <c r="V541" t="s">
        <v>20</v>
      </c>
      <c r="W541" t="s">
        <v>21</v>
      </c>
      <c r="X541" t="s">
        <v>22</v>
      </c>
      <c r="Y541" t="s">
        <v>23</v>
      </c>
      <c r="AF541" t="s">
        <v>13</v>
      </c>
      <c r="AG541" t="str">
        <f>HYPERLINK("https://doi.org/10.1515/9781474472067")</f>
        <v>https://doi.org/10.1515/9781474472067</v>
      </c>
      <c r="AH541" t="str">
        <f>HYPERLINK("http://www.degruyter.com/isbn/9781474472067")</f>
        <v>http://www.degruyter.com/isbn/9781474472067</v>
      </c>
      <c r="AI541" t="s">
        <v>24</v>
      </c>
      <c r="AL541" t="s">
        <v>15</v>
      </c>
      <c r="AM541">
        <v>1</v>
      </c>
      <c r="AN541" s="2">
        <v>9780748662449</v>
      </c>
    </row>
    <row r="542" spans="1:40" x14ac:dyDescent="0.3">
      <c r="A542" t="s">
        <v>2852</v>
      </c>
      <c r="B542" t="s">
        <v>1</v>
      </c>
      <c r="C542" t="s">
        <v>2853</v>
      </c>
      <c r="D542" t="s">
        <v>2854</v>
      </c>
      <c r="E542" t="s">
        <v>2855</v>
      </c>
      <c r="F542" t="s">
        <v>5</v>
      </c>
      <c r="G542" t="s">
        <v>6</v>
      </c>
      <c r="L542" t="s">
        <v>7</v>
      </c>
      <c r="M542">
        <v>2004</v>
      </c>
      <c r="N542" s="1">
        <v>44719</v>
      </c>
      <c r="O542" t="s">
        <v>2856</v>
      </c>
      <c r="P542">
        <v>1</v>
      </c>
      <c r="S542">
        <v>217.95</v>
      </c>
      <c r="T542">
        <v>250</v>
      </c>
      <c r="U542">
        <v>190</v>
      </c>
      <c r="V542" t="s">
        <v>58</v>
      </c>
      <c r="W542" t="s">
        <v>129</v>
      </c>
      <c r="X542" t="s">
        <v>130</v>
      </c>
      <c r="Y542" t="s">
        <v>546</v>
      </c>
      <c r="AF542" t="s">
        <v>13</v>
      </c>
      <c r="AG542" t="str">
        <f>HYPERLINK("https://doi.org/10.1515/9781474471558")</f>
        <v>https://doi.org/10.1515/9781474471558</v>
      </c>
      <c r="AH542" t="str">
        <f>HYPERLINK("http://www.degruyter.com/isbn/9781474471558")</f>
        <v>http://www.degruyter.com/isbn/9781474471558</v>
      </c>
      <c r="AI542" t="s">
        <v>68</v>
      </c>
      <c r="AL542" t="s">
        <v>62</v>
      </c>
      <c r="AM542">
        <v>1</v>
      </c>
      <c r="AN542" s="2">
        <v>9780748617852</v>
      </c>
    </row>
    <row r="543" spans="1:40" x14ac:dyDescent="0.3">
      <c r="A543" t="s">
        <v>2857</v>
      </c>
      <c r="B543" t="s">
        <v>1</v>
      </c>
      <c r="C543" t="s">
        <v>2858</v>
      </c>
      <c r="D543" t="s">
        <v>2859</v>
      </c>
      <c r="E543" t="s">
        <v>2860</v>
      </c>
      <c r="F543" t="s">
        <v>5</v>
      </c>
      <c r="G543" t="s">
        <v>6</v>
      </c>
      <c r="L543" t="s">
        <v>7</v>
      </c>
      <c r="M543">
        <v>2006</v>
      </c>
      <c r="N543" s="1">
        <v>38887</v>
      </c>
      <c r="O543" t="s">
        <v>2861</v>
      </c>
      <c r="P543">
        <v>1</v>
      </c>
      <c r="S543">
        <v>261.95</v>
      </c>
      <c r="T543">
        <v>300</v>
      </c>
      <c r="U543">
        <v>230</v>
      </c>
      <c r="V543" t="s">
        <v>58</v>
      </c>
      <c r="W543" t="s">
        <v>129</v>
      </c>
      <c r="X543" t="s">
        <v>130</v>
      </c>
      <c r="Y543" t="s">
        <v>1826</v>
      </c>
      <c r="AF543" t="s">
        <v>13</v>
      </c>
      <c r="AG543" t="str">
        <f>HYPERLINK("https://doi.org/10.1515/9780748626984")</f>
        <v>https://doi.org/10.1515/9780748626984</v>
      </c>
      <c r="AH543" t="str">
        <f>HYPERLINK("http://www.degruyter.com/isbn/9780748626984")</f>
        <v>http://www.degruyter.com/isbn/9780748626984</v>
      </c>
      <c r="AI543" t="s">
        <v>68</v>
      </c>
      <c r="AL543" t="s">
        <v>62</v>
      </c>
      <c r="AM543">
        <v>1</v>
      </c>
      <c r="AN543" s="2">
        <v>9780748623372</v>
      </c>
    </row>
    <row r="544" spans="1:40" x14ac:dyDescent="0.3">
      <c r="A544" t="s">
        <v>2862</v>
      </c>
      <c r="B544" t="s">
        <v>1</v>
      </c>
      <c r="C544" t="s">
        <v>2863</v>
      </c>
      <c r="D544" t="s">
        <v>2864</v>
      </c>
      <c r="E544" t="s">
        <v>2865</v>
      </c>
      <c r="F544" t="s">
        <v>5</v>
      </c>
      <c r="G544" t="s">
        <v>6</v>
      </c>
      <c r="L544" t="s">
        <v>7</v>
      </c>
      <c r="M544">
        <v>2000</v>
      </c>
      <c r="N544" s="1">
        <v>44607</v>
      </c>
      <c r="O544" t="s">
        <v>2866</v>
      </c>
      <c r="P544">
        <v>1</v>
      </c>
      <c r="S544">
        <v>217.95</v>
      </c>
      <c r="T544">
        <v>250</v>
      </c>
      <c r="U544">
        <v>190</v>
      </c>
      <c r="V544" t="s">
        <v>20</v>
      </c>
      <c r="W544" t="s">
        <v>21</v>
      </c>
      <c r="X544" t="s">
        <v>22</v>
      </c>
      <c r="Y544" t="s">
        <v>23</v>
      </c>
      <c r="AF544" t="s">
        <v>13</v>
      </c>
      <c r="AG544" t="str">
        <f>HYPERLINK("https://doi.org/10.1515/9781474468985")</f>
        <v>https://doi.org/10.1515/9781474468985</v>
      </c>
      <c r="AH544" t="str">
        <f>HYPERLINK("http://www.degruyter.com/isbn/9781474468985")</f>
        <v>http://www.degruyter.com/isbn/9781474468985</v>
      </c>
      <c r="AI544" t="s">
        <v>68</v>
      </c>
      <c r="AL544" t="s">
        <v>15</v>
      </c>
      <c r="AM544">
        <v>1</v>
      </c>
      <c r="AN544" s="2">
        <v>9781902930107</v>
      </c>
    </row>
    <row r="545" spans="1:40" x14ac:dyDescent="0.3">
      <c r="A545" t="s">
        <v>2867</v>
      </c>
      <c r="B545" t="s">
        <v>1</v>
      </c>
      <c r="C545" t="s">
        <v>2868</v>
      </c>
      <c r="E545" t="s">
        <v>2869</v>
      </c>
      <c r="F545" t="s">
        <v>5</v>
      </c>
      <c r="G545" t="s">
        <v>6</v>
      </c>
      <c r="L545" t="s">
        <v>7</v>
      </c>
      <c r="M545">
        <v>2021</v>
      </c>
      <c r="N545" s="1">
        <v>44644</v>
      </c>
      <c r="O545" t="s">
        <v>2870</v>
      </c>
      <c r="P545">
        <v>1</v>
      </c>
      <c r="S545">
        <v>253.95</v>
      </c>
      <c r="T545">
        <v>290</v>
      </c>
      <c r="U545">
        <v>220</v>
      </c>
      <c r="V545" t="s">
        <v>42</v>
      </c>
      <c r="W545" t="s">
        <v>116</v>
      </c>
      <c r="X545" t="s">
        <v>116</v>
      </c>
      <c r="Y545" t="s">
        <v>117</v>
      </c>
      <c r="AF545" t="s">
        <v>13</v>
      </c>
      <c r="AG545" t="str">
        <f>HYPERLINK("https://doi.org/10.1515/9781474430159")</f>
        <v>https://doi.org/10.1515/9781474430159</v>
      </c>
      <c r="AH545" t="str">
        <f>HYPERLINK("http://www.degruyter.com/isbn/9781474430159")</f>
        <v>http://www.degruyter.com/isbn/9781474430159</v>
      </c>
      <c r="AI545" t="s">
        <v>1561</v>
      </c>
      <c r="AL545" t="s">
        <v>47</v>
      </c>
      <c r="AM545">
        <v>1</v>
      </c>
      <c r="AN545" s="2">
        <v>9781474430142</v>
      </c>
    </row>
    <row r="546" spans="1:40" x14ac:dyDescent="0.3">
      <c r="A546" t="s">
        <v>2871</v>
      </c>
      <c r="B546" t="s">
        <v>1</v>
      </c>
      <c r="C546" t="s">
        <v>2872</v>
      </c>
      <c r="E546" t="s">
        <v>2873</v>
      </c>
      <c r="F546" t="s">
        <v>5</v>
      </c>
      <c r="G546" t="s">
        <v>6</v>
      </c>
      <c r="L546" t="s">
        <v>7</v>
      </c>
      <c r="M546">
        <v>1998</v>
      </c>
      <c r="N546" s="1">
        <v>44592</v>
      </c>
      <c r="O546" t="s">
        <v>2874</v>
      </c>
      <c r="P546">
        <v>1</v>
      </c>
      <c r="S546">
        <v>217.95</v>
      </c>
      <c r="T546">
        <v>250</v>
      </c>
      <c r="U546">
        <v>190</v>
      </c>
      <c r="V546" t="s">
        <v>58</v>
      </c>
      <c r="W546" t="s">
        <v>59</v>
      </c>
      <c r="X546" t="s">
        <v>60</v>
      </c>
      <c r="Y546" t="s">
        <v>61</v>
      </c>
      <c r="AF546" t="s">
        <v>13</v>
      </c>
      <c r="AG546" t="str">
        <f>HYPERLINK("https://doi.org/10.1515/9781474468152")</f>
        <v>https://doi.org/10.1515/9781474468152</v>
      </c>
      <c r="AH546" t="str">
        <f>HYPERLINK("http://www.degruyter.com/isbn/9781474468152")</f>
        <v>http://www.degruyter.com/isbn/9781474468152</v>
      </c>
      <c r="AI546" t="s">
        <v>24</v>
      </c>
      <c r="AL546" t="s">
        <v>62</v>
      </c>
      <c r="AM546">
        <v>1</v>
      </c>
      <c r="AN546" s="2">
        <v>9780748609895</v>
      </c>
    </row>
    <row r="547" spans="1:40" x14ac:dyDescent="0.3">
      <c r="A547">
        <v>286870</v>
      </c>
      <c r="B547" t="s">
        <v>1</v>
      </c>
      <c r="C547" t="s">
        <v>2875</v>
      </c>
      <c r="D547" t="s">
        <v>186</v>
      </c>
      <c r="E547" t="s">
        <v>2875</v>
      </c>
      <c r="F547" t="s">
        <v>5</v>
      </c>
      <c r="G547" t="s">
        <v>6</v>
      </c>
      <c r="L547" t="s">
        <v>7</v>
      </c>
      <c r="M547">
        <v>2019</v>
      </c>
      <c r="N547" s="1">
        <v>44502</v>
      </c>
      <c r="P547">
        <v>1</v>
      </c>
      <c r="S547">
        <v>17697.59</v>
      </c>
      <c r="T547">
        <v>20500</v>
      </c>
      <c r="U547">
        <v>15048.95</v>
      </c>
      <c r="V547" t="s">
        <v>187</v>
      </c>
      <c r="W547" t="s">
        <v>187</v>
      </c>
      <c r="X547" t="s">
        <v>187</v>
      </c>
      <c r="Y547" t="s">
        <v>188</v>
      </c>
      <c r="AF547" t="s">
        <v>189</v>
      </c>
      <c r="AL547" t="s">
        <v>190</v>
      </c>
      <c r="AM547">
        <v>1</v>
      </c>
      <c r="AN547" s="2"/>
    </row>
    <row r="548" spans="1:40" x14ac:dyDescent="0.3">
      <c r="A548">
        <v>286878</v>
      </c>
      <c r="B548" t="s">
        <v>1</v>
      </c>
      <c r="C548" t="s">
        <v>2876</v>
      </c>
      <c r="D548" t="s">
        <v>186</v>
      </c>
      <c r="E548" t="s">
        <v>2876</v>
      </c>
      <c r="F548" t="s">
        <v>5</v>
      </c>
      <c r="G548" t="s">
        <v>6</v>
      </c>
      <c r="L548" t="s">
        <v>7</v>
      </c>
      <c r="M548">
        <v>2015</v>
      </c>
      <c r="N548" s="1">
        <v>44502</v>
      </c>
      <c r="P548">
        <v>1</v>
      </c>
      <c r="S548">
        <v>2313636</v>
      </c>
      <c r="T548">
        <v>26800</v>
      </c>
      <c r="U548">
        <v>19677.900000000001</v>
      </c>
      <c r="V548" t="s">
        <v>187</v>
      </c>
      <c r="W548" t="s">
        <v>187</v>
      </c>
      <c r="X548" t="s">
        <v>187</v>
      </c>
      <c r="Y548" t="s">
        <v>188</v>
      </c>
      <c r="AF548" t="s">
        <v>189</v>
      </c>
      <c r="AL548" t="s">
        <v>190</v>
      </c>
      <c r="AM548">
        <v>1</v>
      </c>
      <c r="AN548" s="2"/>
    </row>
    <row r="549" spans="1:40" x14ac:dyDescent="0.3">
      <c r="A549" t="s">
        <v>2877</v>
      </c>
      <c r="B549" t="s">
        <v>1</v>
      </c>
      <c r="C549" t="s">
        <v>2878</v>
      </c>
      <c r="D549" t="s">
        <v>2879</v>
      </c>
      <c r="E549" t="s">
        <v>2880</v>
      </c>
      <c r="F549" t="s">
        <v>5</v>
      </c>
      <c r="G549" t="s">
        <v>6</v>
      </c>
      <c r="L549" t="s">
        <v>7</v>
      </c>
      <c r="M549">
        <v>2015</v>
      </c>
      <c r="N549" s="1">
        <v>42047</v>
      </c>
      <c r="O549" t="s">
        <v>2881</v>
      </c>
      <c r="P549">
        <v>1</v>
      </c>
      <c r="S549">
        <v>253.95</v>
      </c>
      <c r="T549">
        <v>290</v>
      </c>
      <c r="U549">
        <v>220</v>
      </c>
      <c r="V549" t="s">
        <v>268</v>
      </c>
      <c r="W549" t="s">
        <v>269</v>
      </c>
      <c r="X549" t="s">
        <v>269</v>
      </c>
      <c r="Y549" t="s">
        <v>2882</v>
      </c>
      <c r="AF549" t="s">
        <v>13</v>
      </c>
      <c r="AG549" t="str">
        <f>HYPERLINK("https://doi.org/10.1515/9780748696673")</f>
        <v>https://doi.org/10.1515/9780748696673</v>
      </c>
      <c r="AH549" t="str">
        <f>HYPERLINK("http://www.degruyter.com/isbn/9780748696673")</f>
        <v>http://www.degruyter.com/isbn/9780748696673</v>
      </c>
      <c r="AI549" t="s">
        <v>2883</v>
      </c>
      <c r="AL549" t="s">
        <v>272</v>
      </c>
      <c r="AM549">
        <v>1</v>
      </c>
      <c r="AN549" s="2">
        <v>9780748696666</v>
      </c>
    </row>
    <row r="550" spans="1:40" x14ac:dyDescent="0.3">
      <c r="A550" t="s">
        <v>2884</v>
      </c>
      <c r="B550" t="s">
        <v>1</v>
      </c>
      <c r="C550" t="s">
        <v>2885</v>
      </c>
      <c r="D550" t="s">
        <v>2886</v>
      </c>
      <c r="E550" t="s">
        <v>2887</v>
      </c>
      <c r="F550" t="s">
        <v>5</v>
      </c>
      <c r="G550" t="s">
        <v>6</v>
      </c>
      <c r="L550" t="s">
        <v>7</v>
      </c>
      <c r="M550">
        <v>2015</v>
      </c>
      <c r="N550" s="1">
        <v>42066</v>
      </c>
      <c r="O550" t="s">
        <v>2888</v>
      </c>
      <c r="P550">
        <v>1</v>
      </c>
      <c r="S550">
        <v>217.95</v>
      </c>
      <c r="T550">
        <v>250</v>
      </c>
      <c r="U550">
        <v>190</v>
      </c>
      <c r="V550" t="s">
        <v>42</v>
      </c>
      <c r="W550" t="s">
        <v>116</v>
      </c>
      <c r="X550" t="s">
        <v>116</v>
      </c>
      <c r="Y550" t="s">
        <v>117</v>
      </c>
      <c r="AF550" t="s">
        <v>13</v>
      </c>
      <c r="AG550" t="str">
        <f>HYPERLINK("https://doi.org/10.1515/9780748692064")</f>
        <v>https://doi.org/10.1515/9780748692064</v>
      </c>
      <c r="AH550" t="str">
        <f>HYPERLINK("http://www.degruyter.com/isbn/9780748692064")</f>
        <v>http://www.degruyter.com/isbn/9780748692064</v>
      </c>
      <c r="AI550" t="s">
        <v>34</v>
      </c>
      <c r="AL550" t="s">
        <v>47</v>
      </c>
      <c r="AM550">
        <v>1</v>
      </c>
      <c r="AN550" s="2">
        <v>9780748691234</v>
      </c>
    </row>
    <row r="551" spans="1:40" x14ac:dyDescent="0.3">
      <c r="A551" t="s">
        <v>2889</v>
      </c>
      <c r="B551" t="s">
        <v>1</v>
      </c>
      <c r="C551" t="s">
        <v>2890</v>
      </c>
      <c r="D551" t="s">
        <v>2891</v>
      </c>
      <c r="E551" t="s">
        <v>2892</v>
      </c>
      <c r="F551" t="s">
        <v>5</v>
      </c>
      <c r="G551" t="s">
        <v>6</v>
      </c>
      <c r="L551" t="s">
        <v>7</v>
      </c>
      <c r="M551">
        <v>1999</v>
      </c>
      <c r="N551" s="1">
        <v>44599</v>
      </c>
      <c r="O551" t="s">
        <v>2893</v>
      </c>
      <c r="P551">
        <v>1</v>
      </c>
      <c r="S551">
        <v>243.95</v>
      </c>
      <c r="T551">
        <v>280</v>
      </c>
      <c r="U551">
        <v>210</v>
      </c>
      <c r="V551" t="s">
        <v>58</v>
      </c>
      <c r="W551" t="s">
        <v>59</v>
      </c>
      <c r="X551" t="s">
        <v>60</v>
      </c>
      <c r="Y551" t="s">
        <v>145</v>
      </c>
      <c r="AF551" t="s">
        <v>13</v>
      </c>
      <c r="AG551" t="str">
        <f>HYPERLINK("https://doi.org/10.1515/9781474472180")</f>
        <v>https://doi.org/10.1515/9781474472180</v>
      </c>
      <c r="AH551" t="str">
        <f>HYPERLINK("http://www.degruyter.com/isbn/9781474472180")</f>
        <v>http://www.degruyter.com/isbn/9781474472180</v>
      </c>
      <c r="AI551" t="s">
        <v>24</v>
      </c>
      <c r="AL551" t="s">
        <v>62</v>
      </c>
      <c r="AM551">
        <v>1</v>
      </c>
      <c r="AN551" s="2">
        <v>9780748610242</v>
      </c>
    </row>
    <row r="552" spans="1:40" x14ac:dyDescent="0.3">
      <c r="A552" t="s">
        <v>2894</v>
      </c>
      <c r="B552" t="s">
        <v>1</v>
      </c>
      <c r="C552" t="s">
        <v>2895</v>
      </c>
      <c r="E552" t="s">
        <v>2896</v>
      </c>
      <c r="F552" t="s">
        <v>5</v>
      </c>
      <c r="G552" t="s">
        <v>6</v>
      </c>
      <c r="L552" t="s">
        <v>7</v>
      </c>
      <c r="M552">
        <v>2017</v>
      </c>
      <c r="N552" s="1">
        <v>42888</v>
      </c>
      <c r="O552" t="s">
        <v>2897</v>
      </c>
      <c r="P552">
        <v>1</v>
      </c>
      <c r="S552">
        <v>217.95</v>
      </c>
      <c r="T552">
        <v>250</v>
      </c>
      <c r="U552">
        <v>190</v>
      </c>
      <c r="V552" t="s">
        <v>9</v>
      </c>
      <c r="W552" t="s">
        <v>10</v>
      </c>
      <c r="X552" t="s">
        <v>11</v>
      </c>
      <c r="Y552" t="s">
        <v>52</v>
      </c>
      <c r="AF552" t="s">
        <v>13</v>
      </c>
      <c r="AG552" t="str">
        <f>HYPERLINK("https://doi.org/10.1515/9781474409407?locatt=mode:legacy")</f>
        <v>https://doi.org/10.1515/9781474409407?locatt=mode:legacy</v>
      </c>
      <c r="AH552" t="str">
        <f>HYPERLINK("http://www.degruyter.com/isbn/9781474409407")</f>
        <v>http://www.degruyter.com/isbn/9781474409407</v>
      </c>
      <c r="AI552" t="s">
        <v>222</v>
      </c>
      <c r="AL552" t="s">
        <v>15</v>
      </c>
      <c r="AM552">
        <v>1</v>
      </c>
      <c r="AN552" s="2">
        <v>9781474409391</v>
      </c>
    </row>
    <row r="553" spans="1:40" x14ac:dyDescent="0.3">
      <c r="A553" t="s">
        <v>2898</v>
      </c>
      <c r="B553" t="s">
        <v>1</v>
      </c>
      <c r="C553" t="s">
        <v>2899</v>
      </c>
      <c r="D553" t="s">
        <v>2900</v>
      </c>
      <c r="E553" t="s">
        <v>2901</v>
      </c>
      <c r="F553" t="s">
        <v>5</v>
      </c>
      <c r="G553" t="s">
        <v>6</v>
      </c>
      <c r="L553" t="s">
        <v>7</v>
      </c>
      <c r="M553">
        <v>2000</v>
      </c>
      <c r="N553" s="1">
        <v>44719</v>
      </c>
      <c r="O553" t="s">
        <v>2902</v>
      </c>
      <c r="P553">
        <v>1</v>
      </c>
      <c r="S553">
        <v>217.95</v>
      </c>
      <c r="T553">
        <v>250</v>
      </c>
      <c r="U553">
        <v>190</v>
      </c>
      <c r="V553" t="s">
        <v>20</v>
      </c>
      <c r="W553" t="s">
        <v>21</v>
      </c>
      <c r="X553" t="s">
        <v>22</v>
      </c>
      <c r="Y553" t="s">
        <v>23</v>
      </c>
      <c r="AF553" t="s">
        <v>13</v>
      </c>
      <c r="AG553" t="str">
        <f>HYPERLINK("https://doi.org/10.1515/9781474471060")</f>
        <v>https://doi.org/10.1515/9781474471060</v>
      </c>
      <c r="AH553" t="str">
        <f>HYPERLINK("http://www.degruyter.com/isbn/9781474471060")</f>
        <v>http://www.degruyter.com/isbn/9781474471060</v>
      </c>
      <c r="AI553" t="s">
        <v>68</v>
      </c>
      <c r="AL553" t="s">
        <v>15</v>
      </c>
      <c r="AM553">
        <v>1</v>
      </c>
      <c r="AN553" s="2">
        <v>9780748613441</v>
      </c>
    </row>
    <row r="554" spans="1:40" x14ac:dyDescent="0.3">
      <c r="A554" t="s">
        <v>2903</v>
      </c>
      <c r="B554" t="s">
        <v>1</v>
      </c>
      <c r="C554" t="s">
        <v>2904</v>
      </c>
      <c r="E554" t="s">
        <v>2905</v>
      </c>
      <c r="F554" t="s">
        <v>5</v>
      </c>
      <c r="G554" t="s">
        <v>6</v>
      </c>
      <c r="L554" t="s">
        <v>7</v>
      </c>
      <c r="M554">
        <v>2012</v>
      </c>
      <c r="N554" s="1">
        <v>41127</v>
      </c>
      <c r="O554" t="s">
        <v>2906</v>
      </c>
      <c r="P554">
        <v>1</v>
      </c>
      <c r="S554">
        <v>217.95</v>
      </c>
      <c r="T554">
        <v>250</v>
      </c>
      <c r="U554">
        <v>190</v>
      </c>
      <c r="V554" t="s">
        <v>42</v>
      </c>
      <c r="W554" t="s">
        <v>43</v>
      </c>
      <c r="X554" t="s">
        <v>44</v>
      </c>
      <c r="Y554" t="s">
        <v>45</v>
      </c>
      <c r="AF554" t="s">
        <v>13</v>
      </c>
      <c r="AG554" t="str">
        <f>HYPERLINK("https://doi.org/10.1515/9780748643479?locatt=mode:legacy")</f>
        <v>https://doi.org/10.1515/9780748643479?locatt=mode:legacy</v>
      </c>
      <c r="AH554" t="str">
        <f>HYPERLINK("http://www.degruyter.com/isbn/9780748643479")</f>
        <v>http://www.degruyter.com/isbn/9780748643479</v>
      </c>
      <c r="AI554" t="s">
        <v>68</v>
      </c>
      <c r="AL554" t="s">
        <v>47</v>
      </c>
      <c r="AM554">
        <v>1</v>
      </c>
      <c r="AN554" s="2">
        <v>9780748643462</v>
      </c>
    </row>
    <row r="555" spans="1:40" x14ac:dyDescent="0.3">
      <c r="A555" t="s">
        <v>2907</v>
      </c>
      <c r="B555" t="s">
        <v>1</v>
      </c>
      <c r="C555" t="s">
        <v>2908</v>
      </c>
      <c r="D555" t="s">
        <v>2909</v>
      </c>
      <c r="E555" t="s">
        <v>2910</v>
      </c>
      <c r="F555" t="s">
        <v>5</v>
      </c>
      <c r="G555" t="s">
        <v>6</v>
      </c>
      <c r="L555" t="s">
        <v>7</v>
      </c>
      <c r="M555">
        <v>2014</v>
      </c>
      <c r="N555" s="1">
        <v>41813</v>
      </c>
      <c r="O555" t="s">
        <v>2911</v>
      </c>
      <c r="P555">
        <v>1</v>
      </c>
      <c r="S555">
        <v>217.95</v>
      </c>
      <c r="T555">
        <v>250</v>
      </c>
      <c r="U555">
        <v>190</v>
      </c>
      <c r="V555" t="s">
        <v>79</v>
      </c>
      <c r="W555" t="s">
        <v>123</v>
      </c>
      <c r="X555" t="s">
        <v>123</v>
      </c>
      <c r="Y555" t="s">
        <v>124</v>
      </c>
      <c r="AF555" t="s">
        <v>13</v>
      </c>
      <c r="AG555" t="str">
        <f>HYPERLINK("https://doi.org/10.1515/9780748682980?locatt=mode:legacy")</f>
        <v>https://doi.org/10.1515/9780748682980?locatt=mode:legacy</v>
      </c>
      <c r="AH555" t="str">
        <f>HYPERLINK("http://www.degruyter.com/isbn/9780748682980")</f>
        <v>http://www.degruyter.com/isbn/9780748682980</v>
      </c>
      <c r="AI555" t="s">
        <v>34</v>
      </c>
      <c r="AL555" t="s">
        <v>83</v>
      </c>
      <c r="AM555">
        <v>1</v>
      </c>
      <c r="AN555" s="2">
        <v>9780748682973</v>
      </c>
    </row>
    <row r="556" spans="1:40" x14ac:dyDescent="0.3">
      <c r="A556" t="s">
        <v>2912</v>
      </c>
      <c r="B556" t="s">
        <v>1</v>
      </c>
      <c r="C556" t="s">
        <v>2913</v>
      </c>
      <c r="D556" t="s">
        <v>2914</v>
      </c>
      <c r="E556" t="s">
        <v>2915</v>
      </c>
      <c r="F556" t="s">
        <v>5</v>
      </c>
      <c r="G556" t="s">
        <v>6</v>
      </c>
      <c r="L556" t="s">
        <v>7</v>
      </c>
      <c r="M556">
        <v>2008</v>
      </c>
      <c r="N556" s="1">
        <v>39567</v>
      </c>
      <c r="O556" t="s">
        <v>2916</v>
      </c>
      <c r="P556">
        <v>1</v>
      </c>
      <c r="S556">
        <v>253.95</v>
      </c>
      <c r="T556">
        <v>290</v>
      </c>
      <c r="U556">
        <v>220</v>
      </c>
      <c r="V556" t="s">
        <v>20</v>
      </c>
      <c r="W556" t="s">
        <v>21</v>
      </c>
      <c r="X556" t="s">
        <v>575</v>
      </c>
      <c r="Y556" t="s">
        <v>576</v>
      </c>
      <c r="AF556" t="s">
        <v>13</v>
      </c>
      <c r="AG556" t="str">
        <f>HYPERLINK("https://doi.org/10.1515/9780748631292")</f>
        <v>https://doi.org/10.1515/9780748631292</v>
      </c>
      <c r="AH556" t="str">
        <f>HYPERLINK("http://www.degruyter.com/isbn/9780748631292")</f>
        <v>http://www.degruyter.com/isbn/9780748631292</v>
      </c>
      <c r="AI556" t="s">
        <v>68</v>
      </c>
      <c r="AL556" t="s">
        <v>15</v>
      </c>
      <c r="AM556">
        <v>1</v>
      </c>
      <c r="AN556" s="2">
        <v>9780748625963</v>
      </c>
    </row>
    <row r="557" spans="1:40" x14ac:dyDescent="0.3">
      <c r="A557" t="s">
        <v>2917</v>
      </c>
      <c r="B557" t="s">
        <v>1</v>
      </c>
      <c r="C557" t="s">
        <v>2918</v>
      </c>
      <c r="D557" t="s">
        <v>2919</v>
      </c>
      <c r="E557" t="s">
        <v>2920</v>
      </c>
      <c r="F557" t="s">
        <v>5</v>
      </c>
      <c r="G557" t="s">
        <v>6</v>
      </c>
      <c r="L557" t="s">
        <v>7</v>
      </c>
      <c r="M557">
        <v>2020</v>
      </c>
      <c r="N557" s="1">
        <v>44644</v>
      </c>
      <c r="O557" t="s">
        <v>2921</v>
      </c>
      <c r="P557">
        <v>1</v>
      </c>
      <c r="S557">
        <v>217.95</v>
      </c>
      <c r="T557">
        <v>250</v>
      </c>
      <c r="U557">
        <v>190</v>
      </c>
      <c r="V557" t="s">
        <v>9</v>
      </c>
      <c r="W557" t="s">
        <v>10</v>
      </c>
      <c r="X557" t="s">
        <v>11</v>
      </c>
      <c r="Y557" t="s">
        <v>12</v>
      </c>
      <c r="AF557" t="s">
        <v>13</v>
      </c>
      <c r="AG557" t="str">
        <f>HYPERLINK("https://doi.org/10.1515/9781474480550")</f>
        <v>https://doi.org/10.1515/9781474480550</v>
      </c>
      <c r="AH557" t="str">
        <f>HYPERLINK("http://www.degruyter.com/isbn/9781474480550")</f>
        <v>http://www.degruyter.com/isbn/9781474480550</v>
      </c>
      <c r="AI557" t="s">
        <v>14</v>
      </c>
      <c r="AL557" t="s">
        <v>15</v>
      </c>
      <c r="AM557">
        <v>1</v>
      </c>
      <c r="AN557" s="2">
        <v>9781474480536</v>
      </c>
    </row>
    <row r="558" spans="1:40" x14ac:dyDescent="0.3">
      <c r="A558" t="s">
        <v>2922</v>
      </c>
      <c r="B558" t="s">
        <v>1</v>
      </c>
      <c r="C558" t="s">
        <v>2923</v>
      </c>
      <c r="D558" t="s">
        <v>2924</v>
      </c>
      <c r="E558" t="s">
        <v>2925</v>
      </c>
      <c r="F558" t="s">
        <v>5</v>
      </c>
      <c r="G558" t="s">
        <v>6</v>
      </c>
      <c r="L558" t="s">
        <v>7</v>
      </c>
      <c r="M558">
        <v>2007</v>
      </c>
      <c r="N558" s="1">
        <v>39092</v>
      </c>
      <c r="O558" t="s">
        <v>2926</v>
      </c>
      <c r="P558">
        <v>1</v>
      </c>
      <c r="S558">
        <v>217.95</v>
      </c>
      <c r="T558">
        <v>250</v>
      </c>
      <c r="U558">
        <v>190</v>
      </c>
      <c r="V558" t="s">
        <v>58</v>
      </c>
      <c r="W558" t="s">
        <v>59</v>
      </c>
      <c r="X558" t="s">
        <v>60</v>
      </c>
      <c r="Y558" t="s">
        <v>73</v>
      </c>
      <c r="AF558" t="s">
        <v>13</v>
      </c>
      <c r="AG558" t="str">
        <f>HYPERLINK("https://doi.org/10.1515/9780748630769")</f>
        <v>https://doi.org/10.1515/9780748630769</v>
      </c>
      <c r="AH558" t="str">
        <f>HYPERLINK("http://www.degruyter.com/isbn/9780748630769")</f>
        <v>http://www.degruyter.com/isbn/9780748630769</v>
      </c>
      <c r="AI558" t="s">
        <v>68</v>
      </c>
      <c r="AL558" t="s">
        <v>62</v>
      </c>
      <c r="AM558">
        <v>1</v>
      </c>
      <c r="AN558" s="2">
        <v>9780748625116</v>
      </c>
    </row>
    <row r="559" spans="1:40" x14ac:dyDescent="0.3">
      <c r="A559" t="s">
        <v>2927</v>
      </c>
      <c r="B559" t="s">
        <v>1</v>
      </c>
      <c r="C559" t="s">
        <v>2928</v>
      </c>
      <c r="D559" t="s">
        <v>2929</v>
      </c>
      <c r="E559" t="s">
        <v>2930</v>
      </c>
      <c r="F559" t="s">
        <v>5</v>
      </c>
      <c r="G559" t="s">
        <v>6</v>
      </c>
      <c r="L559" t="s">
        <v>7</v>
      </c>
      <c r="M559">
        <v>2016</v>
      </c>
      <c r="N559" s="1">
        <v>42388</v>
      </c>
      <c r="O559" t="s">
        <v>2931</v>
      </c>
      <c r="P559">
        <v>1</v>
      </c>
      <c r="S559">
        <v>209.95</v>
      </c>
      <c r="T559">
        <v>240</v>
      </c>
      <c r="U559">
        <v>180</v>
      </c>
      <c r="V559" t="s">
        <v>42</v>
      </c>
      <c r="W559" t="s">
        <v>116</v>
      </c>
      <c r="X559" t="s">
        <v>116</v>
      </c>
      <c r="Y559" t="s">
        <v>117</v>
      </c>
      <c r="AF559" t="s">
        <v>13</v>
      </c>
      <c r="AG559" t="str">
        <f>HYPERLINK("https://doi.org/10.1515/9781474409919")</f>
        <v>https://doi.org/10.1515/9781474409919</v>
      </c>
      <c r="AH559" t="str">
        <f>HYPERLINK("http://www.degruyter.com/isbn/9781474409919")</f>
        <v>http://www.degruyter.com/isbn/9781474409919</v>
      </c>
      <c r="AI559" t="s">
        <v>180</v>
      </c>
      <c r="AL559" t="s">
        <v>47</v>
      </c>
      <c r="AM559">
        <v>1</v>
      </c>
      <c r="AN559" s="2">
        <v>9781474409902</v>
      </c>
    </row>
    <row r="560" spans="1:40" x14ac:dyDescent="0.3">
      <c r="A560" t="s">
        <v>2932</v>
      </c>
      <c r="B560" t="s">
        <v>1</v>
      </c>
      <c r="C560" t="s">
        <v>2933</v>
      </c>
      <c r="D560" t="s">
        <v>2934</v>
      </c>
      <c r="E560" t="s">
        <v>2935</v>
      </c>
      <c r="F560" t="s">
        <v>5</v>
      </c>
      <c r="G560" t="s">
        <v>6</v>
      </c>
      <c r="L560" t="s">
        <v>7</v>
      </c>
      <c r="M560">
        <v>2013</v>
      </c>
      <c r="N560" s="1">
        <v>41387</v>
      </c>
      <c r="O560" t="s">
        <v>2936</v>
      </c>
      <c r="P560">
        <v>1</v>
      </c>
      <c r="S560">
        <v>253.95</v>
      </c>
      <c r="T560">
        <v>290</v>
      </c>
      <c r="U560">
        <v>220</v>
      </c>
      <c r="V560" t="s">
        <v>20</v>
      </c>
      <c r="W560" t="s">
        <v>21</v>
      </c>
      <c r="X560" t="s">
        <v>839</v>
      </c>
      <c r="Y560" t="s">
        <v>1850</v>
      </c>
      <c r="AF560" t="s">
        <v>13</v>
      </c>
      <c r="AG560" t="str">
        <f>HYPERLINK("https://doi.org/10.1515/9780748665792")</f>
        <v>https://doi.org/10.1515/9780748665792</v>
      </c>
      <c r="AH560" t="str">
        <f>HYPERLINK("http://www.degruyter.com/isbn/9780748665792")</f>
        <v>http://www.degruyter.com/isbn/9780748665792</v>
      </c>
      <c r="AI560" t="s">
        <v>68</v>
      </c>
      <c r="AL560" t="s">
        <v>15</v>
      </c>
      <c r="AM560">
        <v>1</v>
      </c>
      <c r="AN560" s="2">
        <v>9780748665785</v>
      </c>
    </row>
    <row r="561" spans="1:40" x14ac:dyDescent="0.3">
      <c r="A561" t="s">
        <v>2937</v>
      </c>
      <c r="B561" t="s">
        <v>1</v>
      </c>
      <c r="C561" t="s">
        <v>2938</v>
      </c>
      <c r="D561" t="s">
        <v>2939</v>
      </c>
      <c r="E561" t="s">
        <v>2940</v>
      </c>
      <c r="F561" t="s">
        <v>5</v>
      </c>
      <c r="G561" t="s">
        <v>6</v>
      </c>
      <c r="K561" t="s">
        <v>923</v>
      </c>
      <c r="L561" t="s">
        <v>7</v>
      </c>
      <c r="M561">
        <v>2012</v>
      </c>
      <c r="N561" s="1">
        <v>41003</v>
      </c>
      <c r="O561" t="s">
        <v>2941</v>
      </c>
      <c r="P561">
        <v>1</v>
      </c>
      <c r="V561" t="s">
        <v>42</v>
      </c>
      <c r="W561" t="s">
        <v>290</v>
      </c>
      <c r="X561" t="s">
        <v>290</v>
      </c>
      <c r="Y561" t="s">
        <v>515</v>
      </c>
      <c r="AF561" t="s">
        <v>13</v>
      </c>
      <c r="AG561" t="str">
        <f>HYPERLINK("https://doi.org/10.1515/9780748649082")</f>
        <v>https://doi.org/10.1515/9780748649082</v>
      </c>
      <c r="AH561" t="str">
        <f>HYPERLINK("http://www.degruyter.com/isbn/9780748649082")</f>
        <v>http://www.degruyter.com/isbn/9780748649082</v>
      </c>
      <c r="AI561" t="s">
        <v>2942</v>
      </c>
      <c r="AJ561" t="s">
        <v>35</v>
      </c>
      <c r="AM561">
        <v>1</v>
      </c>
      <c r="AN561" s="2"/>
    </row>
    <row r="562" spans="1:40" x14ac:dyDescent="0.3">
      <c r="A562" t="s">
        <v>2943</v>
      </c>
      <c r="B562" t="s">
        <v>1</v>
      </c>
      <c r="C562" t="s">
        <v>2944</v>
      </c>
      <c r="E562" t="s">
        <v>2945</v>
      </c>
      <c r="F562" t="s">
        <v>5</v>
      </c>
      <c r="G562" t="s">
        <v>6</v>
      </c>
      <c r="L562" t="s">
        <v>7</v>
      </c>
      <c r="M562">
        <v>2011</v>
      </c>
      <c r="N562" s="1">
        <v>40569</v>
      </c>
      <c r="O562" t="s">
        <v>2946</v>
      </c>
      <c r="P562">
        <v>1</v>
      </c>
      <c r="S562">
        <v>217.95</v>
      </c>
      <c r="T562">
        <v>250</v>
      </c>
      <c r="U562">
        <v>190</v>
      </c>
      <c r="V562" t="s">
        <v>98</v>
      </c>
      <c r="W562" t="s">
        <v>99</v>
      </c>
      <c r="X562" t="s">
        <v>386</v>
      </c>
      <c r="Y562" t="s">
        <v>387</v>
      </c>
      <c r="AF562" t="s">
        <v>13</v>
      </c>
      <c r="AG562" t="str">
        <f>HYPERLINK("https://doi.org/10.1515/9780748644902?locatt=mode:legacy")</f>
        <v>https://doi.org/10.1515/9780748644902?locatt=mode:legacy</v>
      </c>
      <c r="AH562" t="str">
        <f>HYPERLINK("http://www.degruyter.com/isbn/9780748644902")</f>
        <v>http://www.degruyter.com/isbn/9780748644902</v>
      </c>
      <c r="AI562" t="s">
        <v>68</v>
      </c>
      <c r="AL562" t="s">
        <v>102</v>
      </c>
      <c r="AM562">
        <v>1</v>
      </c>
      <c r="AN562" s="2">
        <v>9780748641970</v>
      </c>
    </row>
    <row r="563" spans="1:40" x14ac:dyDescent="0.3">
      <c r="A563" t="s">
        <v>2947</v>
      </c>
      <c r="B563" t="s">
        <v>1</v>
      </c>
      <c r="C563" t="s">
        <v>2948</v>
      </c>
      <c r="D563" t="s">
        <v>2949</v>
      </c>
      <c r="E563" t="s">
        <v>2950</v>
      </c>
      <c r="F563" t="s">
        <v>5</v>
      </c>
      <c r="G563" t="s">
        <v>6</v>
      </c>
      <c r="L563" t="s">
        <v>7</v>
      </c>
      <c r="M563">
        <v>2020</v>
      </c>
      <c r="N563" s="1">
        <v>44656</v>
      </c>
      <c r="O563" t="s">
        <v>2951</v>
      </c>
      <c r="P563">
        <v>1</v>
      </c>
      <c r="S563">
        <v>217.95</v>
      </c>
      <c r="T563">
        <v>250</v>
      </c>
      <c r="U563">
        <v>190</v>
      </c>
      <c r="V563" t="s">
        <v>58</v>
      </c>
      <c r="W563" t="s">
        <v>59</v>
      </c>
      <c r="X563" t="s">
        <v>60</v>
      </c>
      <c r="Y563" t="s">
        <v>1171</v>
      </c>
      <c r="AF563" t="s">
        <v>13</v>
      </c>
      <c r="AG563" t="str">
        <f>HYPERLINK("https://doi.org/10.1515/9781474446242")</f>
        <v>https://doi.org/10.1515/9781474446242</v>
      </c>
      <c r="AH563" t="str">
        <f>HYPERLINK("http://www.degruyter.com/isbn/9781474446242")</f>
        <v>http://www.degruyter.com/isbn/9781474446242</v>
      </c>
      <c r="AI563" t="s">
        <v>14</v>
      </c>
      <c r="AL563" t="s">
        <v>62</v>
      </c>
      <c r="AM563">
        <v>1</v>
      </c>
      <c r="AN563" s="2">
        <v>9781474446228</v>
      </c>
    </row>
    <row r="564" spans="1:40" x14ac:dyDescent="0.3">
      <c r="A564" t="s">
        <v>2952</v>
      </c>
      <c r="B564" t="s">
        <v>1</v>
      </c>
      <c r="C564" t="s">
        <v>2953</v>
      </c>
      <c r="D564" t="s">
        <v>2954</v>
      </c>
      <c r="E564" t="s">
        <v>2955</v>
      </c>
      <c r="F564" t="s">
        <v>5</v>
      </c>
      <c r="G564" t="s">
        <v>6</v>
      </c>
      <c r="L564" t="s">
        <v>7</v>
      </c>
      <c r="M564">
        <v>2002</v>
      </c>
      <c r="N564" s="1">
        <v>37544</v>
      </c>
      <c r="O564" t="s">
        <v>1650</v>
      </c>
      <c r="P564">
        <v>1</v>
      </c>
      <c r="S564">
        <v>147.94999999999999</v>
      </c>
      <c r="T564">
        <v>170</v>
      </c>
      <c r="U564">
        <v>130</v>
      </c>
      <c r="V564" t="s">
        <v>42</v>
      </c>
      <c r="W564" t="s">
        <v>116</v>
      </c>
      <c r="X564" t="s">
        <v>116</v>
      </c>
      <c r="Y564" t="s">
        <v>117</v>
      </c>
      <c r="AF564" t="s">
        <v>13</v>
      </c>
      <c r="AG564" t="str">
        <f>HYPERLINK("https://doi.org/10.1515/9781474469395")</f>
        <v>https://doi.org/10.1515/9781474469395</v>
      </c>
      <c r="AH564" t="str">
        <f>HYPERLINK("http://www.degruyter.com/isbn/9781474469395")</f>
        <v>http://www.degruyter.com/isbn/9781474469395</v>
      </c>
      <c r="AI564" t="s">
        <v>68</v>
      </c>
      <c r="AL564" t="s">
        <v>47</v>
      </c>
      <c r="AM564">
        <v>1</v>
      </c>
      <c r="AN564" s="2">
        <v>9780748616831</v>
      </c>
    </row>
    <row r="565" spans="1:40" x14ac:dyDescent="0.3">
      <c r="A565" t="s">
        <v>2956</v>
      </c>
      <c r="B565" t="s">
        <v>1</v>
      </c>
      <c r="C565" t="s">
        <v>2957</v>
      </c>
      <c r="E565" t="s">
        <v>2958</v>
      </c>
      <c r="F565" t="s">
        <v>5</v>
      </c>
      <c r="G565" t="s">
        <v>6</v>
      </c>
      <c r="L565" t="s">
        <v>7</v>
      </c>
      <c r="M565">
        <v>2010</v>
      </c>
      <c r="N565" s="1">
        <v>40364</v>
      </c>
      <c r="O565" t="s">
        <v>2959</v>
      </c>
      <c r="P565">
        <v>1</v>
      </c>
      <c r="S565">
        <v>217.95</v>
      </c>
      <c r="T565">
        <v>250</v>
      </c>
      <c r="U565">
        <v>190</v>
      </c>
      <c r="V565" t="s">
        <v>42</v>
      </c>
      <c r="W565" t="s">
        <v>290</v>
      </c>
      <c r="X565" t="s">
        <v>290</v>
      </c>
      <c r="Y565" t="s">
        <v>291</v>
      </c>
      <c r="AF565" t="s">
        <v>13</v>
      </c>
      <c r="AG565" t="str">
        <f>HYPERLINK("https://doi.org/10.1515/9780748636761?locatt=mode:legacy")</f>
        <v>https://doi.org/10.1515/9780748636761?locatt=mode:legacy</v>
      </c>
      <c r="AH565" t="str">
        <f>HYPERLINK("http://www.degruyter.com/isbn/9780748636761")</f>
        <v>http://www.degruyter.com/isbn/9780748636761</v>
      </c>
      <c r="AI565" t="s">
        <v>68</v>
      </c>
      <c r="AL565" t="s">
        <v>47</v>
      </c>
      <c r="AM565">
        <v>1</v>
      </c>
      <c r="AN565" s="2">
        <v>9780748636754</v>
      </c>
    </row>
    <row r="566" spans="1:40" x14ac:dyDescent="0.3">
      <c r="A566" t="s">
        <v>2960</v>
      </c>
      <c r="B566" t="s">
        <v>1</v>
      </c>
      <c r="C566" t="s">
        <v>2961</v>
      </c>
      <c r="D566" t="s">
        <v>2962</v>
      </c>
      <c r="E566" t="s">
        <v>2963</v>
      </c>
      <c r="F566" t="s">
        <v>5</v>
      </c>
      <c r="G566" t="s">
        <v>6</v>
      </c>
      <c r="L566" t="s">
        <v>7</v>
      </c>
      <c r="M566">
        <v>2020</v>
      </c>
      <c r="N566" s="1">
        <v>44656</v>
      </c>
      <c r="O566" t="s">
        <v>2964</v>
      </c>
      <c r="P566">
        <v>1</v>
      </c>
      <c r="S566">
        <v>217.95</v>
      </c>
      <c r="T566">
        <v>250</v>
      </c>
      <c r="U566">
        <v>190</v>
      </c>
      <c r="V566" t="s">
        <v>9</v>
      </c>
      <c r="W566" t="s">
        <v>10</v>
      </c>
      <c r="X566" t="s">
        <v>11</v>
      </c>
      <c r="Y566" t="s">
        <v>52</v>
      </c>
      <c r="AF566" t="s">
        <v>13</v>
      </c>
      <c r="AG566" t="str">
        <f>HYPERLINK("https://doi.org/10.1515/9781474440745")</f>
        <v>https://doi.org/10.1515/9781474440745</v>
      </c>
      <c r="AH566" t="str">
        <f>HYPERLINK("http://www.degruyter.com/isbn/9781474440745")</f>
        <v>http://www.degruyter.com/isbn/9781474440745</v>
      </c>
      <c r="AI566" t="s">
        <v>14</v>
      </c>
      <c r="AL566" t="s">
        <v>15</v>
      </c>
      <c r="AM566">
        <v>1</v>
      </c>
      <c r="AN566" s="2">
        <v>9781474440721</v>
      </c>
    </row>
    <row r="567" spans="1:40" x14ac:dyDescent="0.3">
      <c r="A567" t="s">
        <v>2965</v>
      </c>
      <c r="B567" t="s">
        <v>1</v>
      </c>
      <c r="C567" t="s">
        <v>2966</v>
      </c>
      <c r="E567" t="s">
        <v>2967</v>
      </c>
      <c r="F567" t="s">
        <v>5</v>
      </c>
      <c r="G567" t="s">
        <v>6</v>
      </c>
      <c r="L567" t="s">
        <v>7</v>
      </c>
      <c r="M567">
        <v>2019</v>
      </c>
      <c r="N567" s="1">
        <v>44644</v>
      </c>
      <c r="O567" t="s">
        <v>2968</v>
      </c>
      <c r="P567">
        <v>1</v>
      </c>
      <c r="S567">
        <v>217.95</v>
      </c>
      <c r="T567">
        <v>250</v>
      </c>
      <c r="U567">
        <v>190</v>
      </c>
      <c r="V567" t="s">
        <v>42</v>
      </c>
      <c r="W567" t="s">
        <v>43</v>
      </c>
      <c r="X567" t="s">
        <v>44</v>
      </c>
      <c r="Y567" t="s">
        <v>45</v>
      </c>
      <c r="AF567" t="s">
        <v>13</v>
      </c>
      <c r="AG567" t="str">
        <f>HYPERLINK("https://doi.org/10.1515/9781474423427")</f>
        <v>https://doi.org/10.1515/9781474423427</v>
      </c>
      <c r="AH567" t="str">
        <f>HYPERLINK("http://www.degruyter.com/isbn/9781474423427")</f>
        <v>http://www.degruyter.com/isbn/9781474423427</v>
      </c>
      <c r="AI567" t="s">
        <v>280</v>
      </c>
      <c r="AL567" t="s">
        <v>47</v>
      </c>
      <c r="AM567">
        <v>1</v>
      </c>
      <c r="AN567" s="2">
        <v>9781474423410</v>
      </c>
    </row>
    <row r="568" spans="1:40" x14ac:dyDescent="0.3">
      <c r="A568" t="s">
        <v>2969</v>
      </c>
      <c r="B568" t="s">
        <v>1</v>
      </c>
      <c r="C568" t="s">
        <v>2970</v>
      </c>
      <c r="D568" t="s">
        <v>2971</v>
      </c>
      <c r="E568" t="s">
        <v>2972</v>
      </c>
      <c r="F568" t="s">
        <v>5</v>
      </c>
      <c r="G568" t="s">
        <v>6</v>
      </c>
      <c r="L568" t="s">
        <v>7</v>
      </c>
      <c r="M568">
        <v>2017</v>
      </c>
      <c r="N568" s="1">
        <v>42989</v>
      </c>
      <c r="O568" t="s">
        <v>2973</v>
      </c>
      <c r="P568">
        <v>1</v>
      </c>
      <c r="S568">
        <v>253.95</v>
      </c>
      <c r="T568">
        <v>290</v>
      </c>
      <c r="U568">
        <v>220</v>
      </c>
      <c r="V568" t="s">
        <v>305</v>
      </c>
      <c r="W568" t="s">
        <v>306</v>
      </c>
      <c r="X568" t="s">
        <v>306</v>
      </c>
      <c r="Y568" t="s">
        <v>1313</v>
      </c>
      <c r="AF568" t="s">
        <v>13</v>
      </c>
      <c r="AG568" t="str">
        <f>HYPERLINK("https://doi.org/10.1515/9781474421065")</f>
        <v>https://doi.org/10.1515/9781474421065</v>
      </c>
      <c r="AH568" t="str">
        <f>HYPERLINK("http://www.degruyter.com/isbn/9781474421065")</f>
        <v>http://www.degruyter.com/isbn/9781474421065</v>
      </c>
      <c r="AI568" t="s">
        <v>222</v>
      </c>
      <c r="AL568" t="s">
        <v>308</v>
      </c>
      <c r="AM568">
        <v>1</v>
      </c>
      <c r="AN568" s="2">
        <v>9781474421041</v>
      </c>
    </row>
    <row r="569" spans="1:40" x14ac:dyDescent="0.3">
      <c r="A569" t="s">
        <v>2974</v>
      </c>
      <c r="B569" t="s">
        <v>1</v>
      </c>
      <c r="C569" t="s">
        <v>2975</v>
      </c>
      <c r="D569" t="s">
        <v>2976</v>
      </c>
      <c r="E569" t="s">
        <v>2977</v>
      </c>
      <c r="F569" t="s">
        <v>5</v>
      </c>
      <c r="G569" t="s">
        <v>6</v>
      </c>
      <c r="L569" t="s">
        <v>7</v>
      </c>
      <c r="M569">
        <v>2016</v>
      </c>
      <c r="N569" s="1">
        <v>42639</v>
      </c>
      <c r="O569" t="s">
        <v>2978</v>
      </c>
      <c r="P569">
        <v>1</v>
      </c>
      <c r="S569">
        <v>243.95</v>
      </c>
      <c r="T569">
        <v>280</v>
      </c>
      <c r="U569">
        <v>210</v>
      </c>
      <c r="V569" t="s">
        <v>20</v>
      </c>
      <c r="W569" t="s">
        <v>21</v>
      </c>
      <c r="X569" t="s">
        <v>458</v>
      </c>
      <c r="Y569" t="s">
        <v>459</v>
      </c>
      <c r="AF569" t="s">
        <v>13</v>
      </c>
      <c r="AG569" t="str">
        <f>HYPERLINK("https://doi.org/10.1515/9781474416986?locatt=mode:legacy")</f>
        <v>https://doi.org/10.1515/9781474416986?locatt=mode:legacy</v>
      </c>
      <c r="AH569" t="str">
        <f>HYPERLINK("http://www.degruyter.com/isbn/9781474416986")</f>
        <v>http://www.degruyter.com/isbn/9781474416986</v>
      </c>
      <c r="AI569" t="s">
        <v>180</v>
      </c>
      <c r="AJ569" t="s">
        <v>35</v>
      </c>
      <c r="AL569" t="s">
        <v>1346</v>
      </c>
      <c r="AM569">
        <v>1</v>
      </c>
      <c r="AN569" s="2">
        <v>9781474416962</v>
      </c>
    </row>
    <row r="570" spans="1:40" x14ac:dyDescent="0.3">
      <c r="A570" t="s">
        <v>2979</v>
      </c>
      <c r="B570" t="s">
        <v>1</v>
      </c>
      <c r="C570" t="s">
        <v>2980</v>
      </c>
      <c r="E570" t="s">
        <v>2981</v>
      </c>
      <c r="F570" t="s">
        <v>5</v>
      </c>
      <c r="G570" t="s">
        <v>6</v>
      </c>
      <c r="L570" t="s">
        <v>7</v>
      </c>
      <c r="M570">
        <v>2000</v>
      </c>
      <c r="N570" s="1">
        <v>44607</v>
      </c>
      <c r="O570" t="s">
        <v>1960</v>
      </c>
      <c r="P570">
        <v>1</v>
      </c>
      <c r="S570">
        <v>217.95</v>
      </c>
      <c r="T570">
        <v>250</v>
      </c>
      <c r="U570">
        <v>190</v>
      </c>
      <c r="V570" t="s">
        <v>9</v>
      </c>
      <c r="W570" t="s">
        <v>10</v>
      </c>
      <c r="X570" t="s">
        <v>11</v>
      </c>
      <c r="Y570" t="s">
        <v>12</v>
      </c>
      <c r="AF570" t="s">
        <v>13</v>
      </c>
      <c r="AG570" t="str">
        <f>HYPERLINK("https://doi.org/10.1515/9781474471480")</f>
        <v>https://doi.org/10.1515/9781474471480</v>
      </c>
      <c r="AH570" t="str">
        <f>HYPERLINK("http://www.degruyter.com/isbn/9781474471480")</f>
        <v>http://www.degruyter.com/isbn/9781474471480</v>
      </c>
      <c r="AI570" t="s">
        <v>68</v>
      </c>
      <c r="AL570" t="s">
        <v>15</v>
      </c>
      <c r="AM570">
        <v>1</v>
      </c>
      <c r="AN570" s="2">
        <v>9780748611997</v>
      </c>
    </row>
    <row r="571" spans="1:40" x14ac:dyDescent="0.3">
      <c r="A571" t="s">
        <v>2982</v>
      </c>
      <c r="B571" t="s">
        <v>1</v>
      </c>
      <c r="C571" t="s">
        <v>2983</v>
      </c>
      <c r="D571" t="s">
        <v>2984</v>
      </c>
      <c r="E571" t="s">
        <v>2985</v>
      </c>
      <c r="F571" t="s">
        <v>5</v>
      </c>
      <c r="G571" t="s">
        <v>6</v>
      </c>
      <c r="L571" t="s">
        <v>7</v>
      </c>
      <c r="M571">
        <v>2019</v>
      </c>
      <c r="N571" s="1">
        <v>44656</v>
      </c>
      <c r="O571" t="s">
        <v>2986</v>
      </c>
      <c r="P571">
        <v>1</v>
      </c>
      <c r="S571">
        <v>217.95</v>
      </c>
      <c r="T571">
        <v>250</v>
      </c>
      <c r="U571">
        <v>190</v>
      </c>
      <c r="V571" t="s">
        <v>79</v>
      </c>
      <c r="W571" t="s">
        <v>80</v>
      </c>
      <c r="X571" t="s">
        <v>80</v>
      </c>
      <c r="Y571" t="s">
        <v>81</v>
      </c>
      <c r="AF571" t="s">
        <v>13</v>
      </c>
      <c r="AG571" t="str">
        <f>HYPERLINK("https://doi.org/10.1515/9781474439138?locatt=mode:legacy")</f>
        <v>https://doi.org/10.1515/9781474439138?locatt=mode:legacy</v>
      </c>
      <c r="AH571" t="str">
        <f>HYPERLINK("http://www.degruyter.com/isbn/9781474439138")</f>
        <v>http://www.degruyter.com/isbn/9781474439138</v>
      </c>
      <c r="AI571" t="s">
        <v>280</v>
      </c>
      <c r="AL571" t="s">
        <v>83</v>
      </c>
      <c r="AM571">
        <v>1</v>
      </c>
      <c r="AN571" s="2">
        <v>9781474439114</v>
      </c>
    </row>
    <row r="572" spans="1:40" x14ac:dyDescent="0.3">
      <c r="A572" t="s">
        <v>2987</v>
      </c>
      <c r="B572" t="s">
        <v>1</v>
      </c>
      <c r="C572" t="s">
        <v>2988</v>
      </c>
      <c r="D572" t="s">
        <v>2989</v>
      </c>
      <c r="E572" t="s">
        <v>2990</v>
      </c>
      <c r="F572" t="s">
        <v>5</v>
      </c>
      <c r="G572" t="s">
        <v>6</v>
      </c>
      <c r="K572" t="s">
        <v>929</v>
      </c>
      <c r="L572" t="s">
        <v>7</v>
      </c>
      <c r="M572">
        <v>2018</v>
      </c>
      <c r="N572" s="1">
        <v>43313</v>
      </c>
      <c r="O572" t="s">
        <v>2991</v>
      </c>
      <c r="P572">
        <v>1</v>
      </c>
      <c r="V572" t="s">
        <v>9</v>
      </c>
      <c r="W572" t="s">
        <v>10</v>
      </c>
      <c r="X572" t="s">
        <v>11</v>
      </c>
      <c r="Y572" t="s">
        <v>52</v>
      </c>
      <c r="AF572" t="s">
        <v>13</v>
      </c>
      <c r="AG572" t="str">
        <f>HYPERLINK("https://doi.org/10.1515/9781474430319?locatt=mode:legacy")</f>
        <v>https://doi.org/10.1515/9781474430319?locatt=mode:legacy</v>
      </c>
      <c r="AH572" t="str">
        <f>HYPERLINK("http://www.degruyter.com/isbn/9781474430319")</f>
        <v>http://www.degruyter.com/isbn/9781474430319</v>
      </c>
      <c r="AI572" t="s">
        <v>46</v>
      </c>
      <c r="AM572">
        <v>1</v>
      </c>
      <c r="AN572" s="2"/>
    </row>
    <row r="573" spans="1:40" x14ac:dyDescent="0.3">
      <c r="A573" t="s">
        <v>2992</v>
      </c>
      <c r="B573" t="s">
        <v>1</v>
      </c>
      <c r="C573" t="s">
        <v>2993</v>
      </c>
      <c r="D573" t="s">
        <v>2994</v>
      </c>
      <c r="E573" t="s">
        <v>2995</v>
      </c>
      <c r="F573" t="s">
        <v>5</v>
      </c>
      <c r="G573" t="s">
        <v>6</v>
      </c>
      <c r="L573" t="s">
        <v>7</v>
      </c>
      <c r="M573">
        <v>1997</v>
      </c>
      <c r="N573" s="1">
        <v>44599</v>
      </c>
      <c r="O573" t="s">
        <v>2996</v>
      </c>
      <c r="P573">
        <v>1</v>
      </c>
      <c r="S573">
        <v>347.95</v>
      </c>
      <c r="T573">
        <v>400</v>
      </c>
      <c r="U573">
        <v>310</v>
      </c>
      <c r="V573" t="s">
        <v>20</v>
      </c>
      <c r="W573" t="s">
        <v>21</v>
      </c>
      <c r="X573" t="s">
        <v>575</v>
      </c>
      <c r="Y573" t="s">
        <v>576</v>
      </c>
      <c r="AF573" t="s">
        <v>13</v>
      </c>
      <c r="AG573" t="str">
        <f>HYPERLINK("https://doi.org/10.1515/9781474472562")</f>
        <v>https://doi.org/10.1515/9781474472562</v>
      </c>
      <c r="AH573" t="str">
        <f>HYPERLINK("http://www.degruyter.com/isbn/9781474472562")</f>
        <v>http://www.degruyter.com/isbn/9781474472562</v>
      </c>
      <c r="AI573" t="s">
        <v>24</v>
      </c>
      <c r="AL573" t="s">
        <v>15</v>
      </c>
      <c r="AM573">
        <v>1</v>
      </c>
      <c r="AN573" s="2">
        <v>9780748606467</v>
      </c>
    </row>
    <row r="574" spans="1:40" x14ac:dyDescent="0.3">
      <c r="A574" t="s">
        <v>2997</v>
      </c>
      <c r="B574" t="s">
        <v>1</v>
      </c>
      <c r="C574" t="s">
        <v>2998</v>
      </c>
      <c r="D574" t="s">
        <v>2999</v>
      </c>
      <c r="E574" t="s">
        <v>3000</v>
      </c>
      <c r="F574" t="s">
        <v>5</v>
      </c>
      <c r="G574" t="s">
        <v>6</v>
      </c>
      <c r="L574" t="s">
        <v>7</v>
      </c>
      <c r="M574">
        <v>2000</v>
      </c>
      <c r="N574" s="1">
        <v>36687</v>
      </c>
      <c r="O574" t="s">
        <v>3001</v>
      </c>
      <c r="P574">
        <v>1</v>
      </c>
      <c r="S574">
        <v>253.95</v>
      </c>
      <c r="T574">
        <v>290</v>
      </c>
      <c r="U574">
        <v>220</v>
      </c>
      <c r="V574" t="s">
        <v>20</v>
      </c>
      <c r="W574" t="s">
        <v>21</v>
      </c>
      <c r="X574" t="s">
        <v>22</v>
      </c>
      <c r="Y574" t="s">
        <v>23</v>
      </c>
      <c r="AF574" t="s">
        <v>13</v>
      </c>
      <c r="AG574" t="str">
        <f>HYPERLINK("https://doi.org/10.1515/9781474408370")</f>
        <v>https://doi.org/10.1515/9781474408370</v>
      </c>
      <c r="AH574" t="str">
        <f>HYPERLINK("http://www.degruyter.com/isbn/9781474408370")</f>
        <v>http://www.degruyter.com/isbn/9781474408370</v>
      </c>
      <c r="AI574" t="s">
        <v>68</v>
      </c>
      <c r="AL574" t="s">
        <v>15</v>
      </c>
      <c r="AM574">
        <v>1</v>
      </c>
      <c r="AN574" s="2">
        <v>9781902930176</v>
      </c>
    </row>
    <row r="575" spans="1:40" x14ac:dyDescent="0.3">
      <c r="A575" t="s">
        <v>3002</v>
      </c>
      <c r="B575" t="s">
        <v>1</v>
      </c>
      <c r="C575" t="s">
        <v>3003</v>
      </c>
      <c r="D575" t="s">
        <v>3004</v>
      </c>
      <c r="E575" t="s">
        <v>3005</v>
      </c>
      <c r="F575" t="s">
        <v>5</v>
      </c>
      <c r="G575" t="s">
        <v>6</v>
      </c>
      <c r="L575" t="s">
        <v>7</v>
      </c>
      <c r="M575">
        <v>2013</v>
      </c>
      <c r="N575" s="1">
        <v>41351</v>
      </c>
      <c r="O575" t="s">
        <v>3006</v>
      </c>
      <c r="P575">
        <v>1</v>
      </c>
      <c r="S575">
        <v>253.95</v>
      </c>
      <c r="T575">
        <v>290</v>
      </c>
      <c r="U575">
        <v>220</v>
      </c>
      <c r="V575" t="s">
        <v>20</v>
      </c>
      <c r="W575" t="s">
        <v>21</v>
      </c>
      <c r="X575" t="s">
        <v>458</v>
      </c>
      <c r="Y575" t="s">
        <v>459</v>
      </c>
      <c r="AF575" t="s">
        <v>13</v>
      </c>
      <c r="AG575" t="str">
        <f>HYPERLINK("https://doi.org/10.1515/9780748676040")</f>
        <v>https://doi.org/10.1515/9780748676040</v>
      </c>
      <c r="AH575" t="str">
        <f>HYPERLINK("http://www.degruyter.com/isbn/9780748676040")</f>
        <v>http://www.degruyter.com/isbn/9780748676040</v>
      </c>
      <c r="AI575" t="s">
        <v>3007</v>
      </c>
      <c r="AL575" t="s">
        <v>15</v>
      </c>
      <c r="AM575">
        <v>1</v>
      </c>
      <c r="AN575" s="2">
        <v>9780748676033</v>
      </c>
    </row>
    <row r="576" spans="1:40" x14ac:dyDescent="0.3">
      <c r="A576" t="s">
        <v>3008</v>
      </c>
      <c r="B576" t="s">
        <v>1</v>
      </c>
      <c r="C576" t="s">
        <v>3009</v>
      </c>
      <c r="D576" t="s">
        <v>3010</v>
      </c>
      <c r="E576" t="s">
        <v>3011</v>
      </c>
      <c r="F576" t="s">
        <v>5</v>
      </c>
      <c r="G576" t="s">
        <v>6</v>
      </c>
      <c r="L576" t="s">
        <v>7</v>
      </c>
      <c r="M576">
        <v>2013</v>
      </c>
      <c r="N576" s="1">
        <v>41408</v>
      </c>
      <c r="O576" t="s">
        <v>3012</v>
      </c>
      <c r="P576">
        <v>1</v>
      </c>
      <c r="S576">
        <v>191.95</v>
      </c>
      <c r="T576">
        <v>220</v>
      </c>
      <c r="U576">
        <v>170</v>
      </c>
      <c r="V576" t="s">
        <v>20</v>
      </c>
      <c r="W576" t="s">
        <v>21</v>
      </c>
      <c r="X576" t="s">
        <v>22</v>
      </c>
      <c r="Y576" t="s">
        <v>23</v>
      </c>
      <c r="AF576" t="s">
        <v>13</v>
      </c>
      <c r="AG576" t="str">
        <f>HYPERLINK("https://doi.org/10.1515/9780748647408?locatt=mode:legacy")</f>
        <v>https://doi.org/10.1515/9780748647408?locatt=mode:legacy</v>
      </c>
      <c r="AH576" t="str">
        <f>HYPERLINK("http://www.degruyter.com/isbn/9780748647408")</f>
        <v>http://www.degruyter.com/isbn/9780748647408</v>
      </c>
      <c r="AI576" t="s">
        <v>68</v>
      </c>
      <c r="AL576" t="s">
        <v>15</v>
      </c>
      <c r="AM576">
        <v>1</v>
      </c>
      <c r="AN576" s="2">
        <v>9780748647392</v>
      </c>
    </row>
    <row r="577" spans="1:40" x14ac:dyDescent="0.3">
      <c r="A577" t="s">
        <v>3013</v>
      </c>
      <c r="B577" t="s">
        <v>1</v>
      </c>
      <c r="C577" t="s">
        <v>3014</v>
      </c>
      <c r="D577" t="s">
        <v>3015</v>
      </c>
      <c r="E577" t="s">
        <v>3016</v>
      </c>
      <c r="F577" t="s">
        <v>5</v>
      </c>
      <c r="G577" t="s">
        <v>6</v>
      </c>
      <c r="L577" t="s">
        <v>7</v>
      </c>
      <c r="M577">
        <v>2013</v>
      </c>
      <c r="N577" s="1">
        <v>41415</v>
      </c>
      <c r="O577" t="s">
        <v>3017</v>
      </c>
      <c r="P577">
        <v>1</v>
      </c>
      <c r="S577">
        <v>217.95</v>
      </c>
      <c r="T577">
        <v>250</v>
      </c>
      <c r="U577">
        <v>190</v>
      </c>
      <c r="V577" t="s">
        <v>42</v>
      </c>
      <c r="W577" t="s">
        <v>43</v>
      </c>
      <c r="X577" t="s">
        <v>44</v>
      </c>
      <c r="Y577" t="s">
        <v>45</v>
      </c>
      <c r="AF577" t="s">
        <v>13</v>
      </c>
      <c r="AG577" t="str">
        <f>HYPERLINK("https://doi.org/10.1515/9780748670314?locatt=mode:legacy")</f>
        <v>https://doi.org/10.1515/9780748670314?locatt=mode:legacy</v>
      </c>
      <c r="AH577" t="str">
        <f>HYPERLINK("http://www.degruyter.com/isbn/9780748670314")</f>
        <v>http://www.degruyter.com/isbn/9780748670314</v>
      </c>
      <c r="AI577" t="s">
        <v>68</v>
      </c>
      <c r="AL577" t="s">
        <v>47</v>
      </c>
      <c r="AM577">
        <v>1</v>
      </c>
      <c r="AN577" s="2">
        <v>9780748670307</v>
      </c>
    </row>
    <row r="578" spans="1:40" x14ac:dyDescent="0.3">
      <c r="A578" t="s">
        <v>3018</v>
      </c>
      <c r="B578" t="s">
        <v>1</v>
      </c>
      <c r="C578" t="s">
        <v>3019</v>
      </c>
      <c r="E578" t="s">
        <v>3020</v>
      </c>
      <c r="F578" t="s">
        <v>5</v>
      </c>
      <c r="G578" t="s">
        <v>6</v>
      </c>
      <c r="L578" t="s">
        <v>7</v>
      </c>
      <c r="M578">
        <v>2019</v>
      </c>
      <c r="N578" s="1">
        <v>44607</v>
      </c>
      <c r="O578" t="s">
        <v>3021</v>
      </c>
      <c r="P578">
        <v>1</v>
      </c>
      <c r="S578">
        <v>243.95</v>
      </c>
      <c r="T578">
        <v>280</v>
      </c>
      <c r="U578">
        <v>210</v>
      </c>
      <c r="V578" t="s">
        <v>98</v>
      </c>
      <c r="W578" t="s">
        <v>99</v>
      </c>
      <c r="X578" t="s">
        <v>386</v>
      </c>
      <c r="Y578" t="s">
        <v>387</v>
      </c>
      <c r="AF578" t="s">
        <v>13</v>
      </c>
      <c r="AG578" t="str">
        <f>HYPERLINK("https://doi.org/10.1515/9781474436175")</f>
        <v>https://doi.org/10.1515/9781474436175</v>
      </c>
      <c r="AH578" t="str">
        <f>HYPERLINK("http://www.degruyter.com/isbn/9781474436175")</f>
        <v>http://www.degruyter.com/isbn/9781474436175</v>
      </c>
      <c r="AI578" t="s">
        <v>280</v>
      </c>
      <c r="AL578" t="s">
        <v>102</v>
      </c>
      <c r="AM578">
        <v>1</v>
      </c>
      <c r="AN578" s="2">
        <v>9781474436151</v>
      </c>
    </row>
    <row r="579" spans="1:40" x14ac:dyDescent="0.3">
      <c r="A579" t="s">
        <v>3022</v>
      </c>
      <c r="B579" t="s">
        <v>1</v>
      </c>
      <c r="C579" t="s">
        <v>3023</v>
      </c>
      <c r="D579" t="s">
        <v>3024</v>
      </c>
      <c r="E579" t="s">
        <v>3025</v>
      </c>
      <c r="F579" t="s">
        <v>5</v>
      </c>
      <c r="G579" t="s">
        <v>6</v>
      </c>
      <c r="L579" t="s">
        <v>7</v>
      </c>
      <c r="M579">
        <v>2020</v>
      </c>
      <c r="N579" s="1">
        <v>44644</v>
      </c>
      <c r="O579" t="s">
        <v>3026</v>
      </c>
      <c r="P579">
        <v>1</v>
      </c>
      <c r="S579">
        <v>217.95</v>
      </c>
      <c r="T579">
        <v>250</v>
      </c>
      <c r="U579">
        <v>190</v>
      </c>
      <c r="V579" t="s">
        <v>20</v>
      </c>
      <c r="W579" t="s">
        <v>556</v>
      </c>
      <c r="X579" t="s">
        <v>1731</v>
      </c>
      <c r="Y579" t="s">
        <v>1732</v>
      </c>
      <c r="AF579" t="s">
        <v>13</v>
      </c>
      <c r="AG579" t="str">
        <f>HYPERLINK("https://doi.org/10.1515/9781474446280")</f>
        <v>https://doi.org/10.1515/9781474446280</v>
      </c>
      <c r="AH579" t="str">
        <f>HYPERLINK("http://www.degruyter.com/isbn/9781474446280")</f>
        <v>http://www.degruyter.com/isbn/9781474446280</v>
      </c>
      <c r="AI579" t="s">
        <v>14</v>
      </c>
      <c r="AL579" t="s">
        <v>15</v>
      </c>
      <c r="AM579">
        <v>1</v>
      </c>
      <c r="AN579" s="2">
        <v>9781474446266</v>
      </c>
    </row>
    <row r="580" spans="1:40" x14ac:dyDescent="0.3">
      <c r="A580" t="s">
        <v>3027</v>
      </c>
      <c r="B580" t="s">
        <v>1</v>
      </c>
      <c r="C580" t="s">
        <v>3028</v>
      </c>
      <c r="E580" t="s">
        <v>3029</v>
      </c>
      <c r="F580" t="s">
        <v>5</v>
      </c>
      <c r="G580" t="s">
        <v>6</v>
      </c>
      <c r="L580" t="s">
        <v>7</v>
      </c>
      <c r="M580">
        <v>2015</v>
      </c>
      <c r="N580" s="1">
        <v>42158</v>
      </c>
      <c r="O580" t="s">
        <v>3030</v>
      </c>
      <c r="P580">
        <v>1</v>
      </c>
      <c r="S580">
        <v>417.95</v>
      </c>
      <c r="T580">
        <v>480</v>
      </c>
      <c r="U580">
        <v>370</v>
      </c>
      <c r="V580" t="s">
        <v>98</v>
      </c>
      <c r="W580" t="s">
        <v>99</v>
      </c>
      <c r="X580" t="s">
        <v>386</v>
      </c>
      <c r="Y580" t="s">
        <v>387</v>
      </c>
      <c r="AF580" t="s">
        <v>13</v>
      </c>
      <c r="AG580" t="str">
        <f>HYPERLINK("https://doi.org/10.1515/9780748681754")</f>
        <v>https://doi.org/10.1515/9780748681754</v>
      </c>
      <c r="AH580" t="str">
        <f>HYPERLINK("http://www.degruyter.com/isbn/9780748681754")</f>
        <v>http://www.degruyter.com/isbn/9780748681754</v>
      </c>
      <c r="AI580" t="s">
        <v>34</v>
      </c>
      <c r="AL580" t="s">
        <v>102</v>
      </c>
      <c r="AM580">
        <v>1</v>
      </c>
      <c r="AN580" s="2">
        <v>9780748681747</v>
      </c>
    </row>
    <row r="581" spans="1:40" x14ac:dyDescent="0.3">
      <c r="A581" t="s">
        <v>3031</v>
      </c>
      <c r="B581" t="s">
        <v>1</v>
      </c>
      <c r="C581" t="s">
        <v>3032</v>
      </c>
      <c r="E581" t="s">
        <v>3033</v>
      </c>
      <c r="F581" t="s">
        <v>5</v>
      </c>
      <c r="G581" t="s">
        <v>6</v>
      </c>
      <c r="L581" t="s">
        <v>7</v>
      </c>
      <c r="M581">
        <v>1995</v>
      </c>
      <c r="N581" s="1">
        <v>44599</v>
      </c>
      <c r="O581" t="s">
        <v>3034</v>
      </c>
      <c r="P581">
        <v>1</v>
      </c>
      <c r="S581">
        <v>347.95</v>
      </c>
      <c r="T581">
        <v>400</v>
      </c>
      <c r="U581">
        <v>310</v>
      </c>
      <c r="V581" t="s">
        <v>58</v>
      </c>
      <c r="W581" t="s">
        <v>59</v>
      </c>
      <c r="X581" t="s">
        <v>60</v>
      </c>
      <c r="Y581" t="s">
        <v>145</v>
      </c>
      <c r="AF581" t="s">
        <v>13</v>
      </c>
      <c r="AG581" t="str">
        <f>HYPERLINK("https://doi.org/10.1515/9781474464116")</f>
        <v>https://doi.org/10.1515/9781474464116</v>
      </c>
      <c r="AH581" t="str">
        <f>HYPERLINK("http://www.degruyter.com/isbn/9781474464116")</f>
        <v>http://www.degruyter.com/isbn/9781474464116</v>
      </c>
      <c r="AI581" t="s">
        <v>3035</v>
      </c>
      <c r="AL581" t="s">
        <v>62</v>
      </c>
      <c r="AM581">
        <v>1</v>
      </c>
      <c r="AN581" s="2">
        <v>9781853311109</v>
      </c>
    </row>
    <row r="582" spans="1:40" x14ac:dyDescent="0.3">
      <c r="A582" t="s">
        <v>3036</v>
      </c>
      <c r="B582" t="s">
        <v>1</v>
      </c>
      <c r="C582" t="s">
        <v>3037</v>
      </c>
      <c r="D582" t="s">
        <v>3038</v>
      </c>
      <c r="E582" t="s">
        <v>3039</v>
      </c>
      <c r="F582" t="s">
        <v>5</v>
      </c>
      <c r="G582" t="s">
        <v>6</v>
      </c>
      <c r="L582" t="s">
        <v>7</v>
      </c>
      <c r="M582">
        <v>2017</v>
      </c>
      <c r="N582" s="1">
        <v>42934</v>
      </c>
      <c r="O582" t="s">
        <v>3040</v>
      </c>
      <c r="P582">
        <v>1</v>
      </c>
      <c r="S582">
        <v>321.95</v>
      </c>
      <c r="T582">
        <v>370</v>
      </c>
      <c r="U582">
        <v>280</v>
      </c>
      <c r="V582" t="s">
        <v>20</v>
      </c>
      <c r="W582" t="s">
        <v>21</v>
      </c>
      <c r="X582" t="s">
        <v>22</v>
      </c>
      <c r="Y582" t="s">
        <v>23</v>
      </c>
      <c r="AF582" t="s">
        <v>13</v>
      </c>
      <c r="AG582" t="str">
        <f>HYPERLINK("https://doi.org/10.1515/9780748697427")</f>
        <v>https://doi.org/10.1515/9780748697427</v>
      </c>
      <c r="AH582" t="str">
        <f>HYPERLINK("http://www.degruyter.com/isbn/9780748697427")</f>
        <v>http://www.degruyter.com/isbn/9780748697427</v>
      </c>
      <c r="AI582" t="s">
        <v>222</v>
      </c>
      <c r="AL582" t="s">
        <v>15</v>
      </c>
      <c r="AM582">
        <v>1</v>
      </c>
      <c r="AN582" s="2">
        <v>9780748697397</v>
      </c>
    </row>
    <row r="583" spans="1:40" x14ac:dyDescent="0.3">
      <c r="A583" t="s">
        <v>3041</v>
      </c>
      <c r="B583" t="s">
        <v>1</v>
      </c>
      <c r="C583" t="s">
        <v>3042</v>
      </c>
      <c r="D583" t="s">
        <v>3043</v>
      </c>
      <c r="E583" t="s">
        <v>3044</v>
      </c>
      <c r="F583" t="s">
        <v>5</v>
      </c>
      <c r="G583" t="s">
        <v>6</v>
      </c>
      <c r="L583" t="s">
        <v>7</v>
      </c>
      <c r="M583">
        <v>2000</v>
      </c>
      <c r="N583" s="1">
        <v>44607</v>
      </c>
      <c r="O583" t="s">
        <v>3045</v>
      </c>
      <c r="P583">
        <v>1</v>
      </c>
      <c r="S583">
        <v>217.95</v>
      </c>
      <c r="T583">
        <v>250</v>
      </c>
      <c r="U583">
        <v>190</v>
      </c>
      <c r="V583" t="s">
        <v>58</v>
      </c>
      <c r="W583" t="s">
        <v>59</v>
      </c>
      <c r="X583" t="s">
        <v>60</v>
      </c>
      <c r="Y583" t="s">
        <v>145</v>
      </c>
      <c r="AF583" t="s">
        <v>13</v>
      </c>
      <c r="AG583" t="str">
        <f>HYPERLINK("https://doi.org/10.1515/9781474469739")</f>
        <v>https://doi.org/10.1515/9781474469739</v>
      </c>
      <c r="AH583" t="str">
        <f>HYPERLINK("http://www.degruyter.com/isbn/9781474469739")</f>
        <v>http://www.degruyter.com/isbn/9781474469739</v>
      </c>
      <c r="AI583" t="s">
        <v>68</v>
      </c>
      <c r="AL583" t="s">
        <v>62</v>
      </c>
      <c r="AM583">
        <v>1</v>
      </c>
      <c r="AN583" s="2">
        <v>9780748614530</v>
      </c>
    </row>
    <row r="584" spans="1:40" x14ac:dyDescent="0.3">
      <c r="A584" t="s">
        <v>3046</v>
      </c>
      <c r="B584" t="s">
        <v>1</v>
      </c>
      <c r="C584" t="s">
        <v>3047</v>
      </c>
      <c r="D584" t="s">
        <v>3048</v>
      </c>
      <c r="E584" t="s">
        <v>3049</v>
      </c>
      <c r="F584" t="s">
        <v>5</v>
      </c>
      <c r="G584" t="s">
        <v>6</v>
      </c>
      <c r="K584" t="s">
        <v>929</v>
      </c>
      <c r="L584" t="s">
        <v>7</v>
      </c>
      <c r="M584">
        <v>2012</v>
      </c>
      <c r="N584" s="1">
        <v>41241</v>
      </c>
      <c r="O584" t="s">
        <v>3050</v>
      </c>
      <c r="P584">
        <v>1</v>
      </c>
      <c r="V584" t="s">
        <v>79</v>
      </c>
      <c r="W584" t="s">
        <v>209</v>
      </c>
      <c r="X584" t="s">
        <v>209</v>
      </c>
      <c r="Y584" t="s">
        <v>3051</v>
      </c>
      <c r="AF584" t="s">
        <v>13</v>
      </c>
      <c r="AG584" t="str">
        <f>HYPERLINK("https://doi.org/10.1515/9780748630387?locatt=mode:legacy")</f>
        <v>https://doi.org/10.1515/9780748630387?locatt=mode:legacy</v>
      </c>
      <c r="AH584" t="str">
        <f>HYPERLINK("http://www.degruyter.com/isbn/9780748630387")</f>
        <v>http://www.degruyter.com/isbn/9780748630387</v>
      </c>
      <c r="AI584" t="s">
        <v>68</v>
      </c>
      <c r="AM584">
        <v>1</v>
      </c>
      <c r="AN584" s="2"/>
    </row>
    <row r="585" spans="1:40" x14ac:dyDescent="0.3">
      <c r="A585" t="s">
        <v>3052</v>
      </c>
      <c r="B585" t="s">
        <v>1</v>
      </c>
      <c r="C585" t="s">
        <v>3053</v>
      </c>
      <c r="E585" t="s">
        <v>3054</v>
      </c>
      <c r="F585" t="s">
        <v>5</v>
      </c>
      <c r="G585" t="s">
        <v>6</v>
      </c>
      <c r="L585" t="s">
        <v>7</v>
      </c>
      <c r="M585">
        <v>1999</v>
      </c>
      <c r="N585" s="1">
        <v>44607</v>
      </c>
      <c r="O585" t="s">
        <v>3055</v>
      </c>
      <c r="P585">
        <v>1</v>
      </c>
      <c r="S585">
        <v>217.95</v>
      </c>
      <c r="T585">
        <v>250</v>
      </c>
      <c r="U585">
        <v>190</v>
      </c>
      <c r="V585" t="s">
        <v>42</v>
      </c>
      <c r="W585" t="s">
        <v>107</v>
      </c>
      <c r="X585" t="s">
        <v>108</v>
      </c>
      <c r="Y585" t="s">
        <v>221</v>
      </c>
      <c r="AF585" t="s">
        <v>13</v>
      </c>
      <c r="AG585" t="str">
        <f>HYPERLINK("https://doi.org/10.1515/9781474473385")</f>
        <v>https://doi.org/10.1515/9781474473385</v>
      </c>
      <c r="AH585" t="str">
        <f>HYPERLINK("http://www.degruyter.com/isbn/9781474473385")</f>
        <v>http://www.degruyter.com/isbn/9781474473385</v>
      </c>
      <c r="AI585" t="s">
        <v>24</v>
      </c>
      <c r="AL585" t="s">
        <v>47</v>
      </c>
      <c r="AM585">
        <v>1</v>
      </c>
      <c r="AN585" s="2">
        <v>9781853312267</v>
      </c>
    </row>
    <row r="586" spans="1:40" x14ac:dyDescent="0.3">
      <c r="A586" t="s">
        <v>3056</v>
      </c>
      <c r="B586" t="s">
        <v>1</v>
      </c>
      <c r="C586" t="s">
        <v>3057</v>
      </c>
      <c r="E586" t="s">
        <v>3058</v>
      </c>
      <c r="F586" t="s">
        <v>5</v>
      </c>
      <c r="G586" t="s">
        <v>6</v>
      </c>
      <c r="L586" t="s">
        <v>7</v>
      </c>
      <c r="M586">
        <v>2000</v>
      </c>
      <c r="N586" s="1">
        <v>44719</v>
      </c>
      <c r="O586" t="s">
        <v>3059</v>
      </c>
      <c r="P586">
        <v>1</v>
      </c>
      <c r="S586">
        <v>217.95</v>
      </c>
      <c r="T586">
        <v>250</v>
      </c>
      <c r="U586">
        <v>190</v>
      </c>
      <c r="V586" t="s">
        <v>58</v>
      </c>
      <c r="W586" t="s">
        <v>59</v>
      </c>
      <c r="X586" t="s">
        <v>3060</v>
      </c>
      <c r="Y586" t="s">
        <v>3061</v>
      </c>
      <c r="AF586" t="s">
        <v>13</v>
      </c>
      <c r="AG586" t="str">
        <f>HYPERLINK("https://doi.org/10.1515/9781474496902")</f>
        <v>https://doi.org/10.1515/9781474496902</v>
      </c>
      <c r="AH586" t="str">
        <f>HYPERLINK("http://www.degruyter.com/isbn/9781474496902")</f>
        <v>http://www.degruyter.com/isbn/9781474496902</v>
      </c>
      <c r="AI586" t="s">
        <v>68</v>
      </c>
      <c r="AL586" t="s">
        <v>62</v>
      </c>
      <c r="AM586">
        <v>1</v>
      </c>
      <c r="AN586" s="2">
        <v>9781853312410</v>
      </c>
    </row>
    <row r="587" spans="1:40" x14ac:dyDescent="0.3">
      <c r="A587" t="s">
        <v>3062</v>
      </c>
      <c r="B587" t="s">
        <v>1</v>
      </c>
      <c r="C587" t="s">
        <v>3063</v>
      </c>
      <c r="D587" t="s">
        <v>3064</v>
      </c>
      <c r="E587" t="s">
        <v>3065</v>
      </c>
      <c r="F587" t="s">
        <v>5</v>
      </c>
      <c r="G587" t="s">
        <v>6</v>
      </c>
      <c r="L587" t="s">
        <v>7</v>
      </c>
      <c r="M587">
        <v>2018</v>
      </c>
      <c r="N587" s="1">
        <v>44644</v>
      </c>
      <c r="O587" t="s">
        <v>3066</v>
      </c>
      <c r="P587">
        <v>1</v>
      </c>
      <c r="S587">
        <v>227.95</v>
      </c>
      <c r="T587">
        <v>260</v>
      </c>
      <c r="U587">
        <v>200</v>
      </c>
      <c r="V587" t="s">
        <v>42</v>
      </c>
      <c r="W587" t="s">
        <v>161</v>
      </c>
      <c r="X587" t="s">
        <v>162</v>
      </c>
      <c r="Y587" t="s">
        <v>896</v>
      </c>
      <c r="AF587" t="s">
        <v>13</v>
      </c>
      <c r="AG587" t="str">
        <f>HYPERLINK("https://doi.org/10.1515/9781474435901")</f>
        <v>https://doi.org/10.1515/9781474435901</v>
      </c>
      <c r="AH587" t="str">
        <f>HYPERLINK("http://www.degruyter.com/isbn/9781474435901")</f>
        <v>http://www.degruyter.com/isbn/9781474435901</v>
      </c>
      <c r="AI587" t="s">
        <v>46</v>
      </c>
      <c r="AL587" t="s">
        <v>47</v>
      </c>
      <c r="AM587">
        <v>1</v>
      </c>
      <c r="AN587" s="2">
        <v>9781474435888</v>
      </c>
    </row>
    <row r="588" spans="1:40" x14ac:dyDescent="0.3">
      <c r="A588" t="s">
        <v>3067</v>
      </c>
      <c r="B588" t="s">
        <v>1</v>
      </c>
      <c r="C588" t="s">
        <v>3068</v>
      </c>
      <c r="D588" t="s">
        <v>3069</v>
      </c>
      <c r="E588" t="s">
        <v>3070</v>
      </c>
      <c r="F588" t="s">
        <v>5</v>
      </c>
      <c r="G588" t="s">
        <v>6</v>
      </c>
      <c r="L588" t="s">
        <v>7</v>
      </c>
      <c r="M588">
        <v>2008</v>
      </c>
      <c r="N588" s="1">
        <v>39496</v>
      </c>
      <c r="O588" t="s">
        <v>2748</v>
      </c>
      <c r="P588">
        <v>1</v>
      </c>
      <c r="S588">
        <v>253.95</v>
      </c>
      <c r="T588">
        <v>290</v>
      </c>
      <c r="U588">
        <v>220</v>
      </c>
      <c r="V588" t="s">
        <v>58</v>
      </c>
      <c r="W588" t="s">
        <v>59</v>
      </c>
      <c r="X588" t="s">
        <v>60</v>
      </c>
      <c r="Y588" t="s">
        <v>73</v>
      </c>
      <c r="AF588" t="s">
        <v>13</v>
      </c>
      <c r="AG588" t="str">
        <f>HYPERLINK("https://doi.org/10.1515/9781474473040")</f>
        <v>https://doi.org/10.1515/9781474473040</v>
      </c>
      <c r="AH588" t="str">
        <f>HYPERLINK("http://www.degruyter.com/isbn/9781474473040")</f>
        <v>http://www.degruyter.com/isbn/9781474473040</v>
      </c>
      <c r="AI588" t="s">
        <v>68</v>
      </c>
      <c r="AL588" t="s">
        <v>62</v>
      </c>
      <c r="AM588">
        <v>1</v>
      </c>
      <c r="AN588" s="2">
        <v>9780748634989</v>
      </c>
    </row>
    <row r="589" spans="1:40" x14ac:dyDescent="0.3">
      <c r="A589" t="s">
        <v>3071</v>
      </c>
      <c r="B589" t="s">
        <v>1</v>
      </c>
      <c r="C589" t="s">
        <v>3072</v>
      </c>
      <c r="D589" t="s">
        <v>3073</v>
      </c>
      <c r="E589" t="s">
        <v>3074</v>
      </c>
      <c r="F589" t="s">
        <v>5</v>
      </c>
      <c r="G589" t="s">
        <v>6</v>
      </c>
      <c r="L589" t="s">
        <v>7</v>
      </c>
      <c r="M589">
        <v>2006</v>
      </c>
      <c r="N589" s="1">
        <v>38722</v>
      </c>
      <c r="O589" t="s">
        <v>3075</v>
      </c>
      <c r="P589">
        <v>1</v>
      </c>
      <c r="S589">
        <v>217.95</v>
      </c>
      <c r="T589">
        <v>250</v>
      </c>
      <c r="U589">
        <v>190</v>
      </c>
      <c r="V589" t="s">
        <v>98</v>
      </c>
      <c r="W589" t="s">
        <v>99</v>
      </c>
      <c r="X589" t="s">
        <v>100</v>
      </c>
      <c r="Y589" t="s">
        <v>101</v>
      </c>
      <c r="AF589" t="s">
        <v>13</v>
      </c>
      <c r="AG589" t="str">
        <f>HYPERLINK("https://doi.org/10.1515/9780748626410")</f>
        <v>https://doi.org/10.1515/9780748626410</v>
      </c>
      <c r="AH589" t="str">
        <f>HYPERLINK("http://www.degruyter.com/isbn/9780748626410")</f>
        <v>http://www.degruyter.com/isbn/9780748626410</v>
      </c>
      <c r="AI589" t="s">
        <v>68</v>
      </c>
      <c r="AL589" t="s">
        <v>102</v>
      </c>
      <c r="AM589">
        <v>1</v>
      </c>
      <c r="AN589" s="2">
        <v>9780748618774</v>
      </c>
    </row>
    <row r="590" spans="1:40" x14ac:dyDescent="0.3">
      <c r="A590" t="s">
        <v>3076</v>
      </c>
      <c r="B590" t="s">
        <v>1</v>
      </c>
      <c r="C590" t="s">
        <v>3077</v>
      </c>
      <c r="D590" t="s">
        <v>3078</v>
      </c>
      <c r="E590" t="s">
        <v>3079</v>
      </c>
      <c r="F590" t="s">
        <v>5</v>
      </c>
      <c r="G590" t="s">
        <v>6</v>
      </c>
      <c r="L590" t="s">
        <v>7</v>
      </c>
      <c r="M590">
        <v>2017</v>
      </c>
      <c r="N590" s="1">
        <v>42981</v>
      </c>
      <c r="O590" t="s">
        <v>3080</v>
      </c>
      <c r="P590">
        <v>1</v>
      </c>
      <c r="S590">
        <v>217.95</v>
      </c>
      <c r="T590">
        <v>250</v>
      </c>
      <c r="U590">
        <v>190</v>
      </c>
      <c r="V590" t="s">
        <v>79</v>
      </c>
      <c r="W590" t="s">
        <v>734</v>
      </c>
      <c r="X590" t="s">
        <v>734</v>
      </c>
      <c r="Y590" t="s">
        <v>735</v>
      </c>
      <c r="AF590" t="s">
        <v>13</v>
      </c>
      <c r="AG590" t="str">
        <f>HYPERLINK("https://doi.org/10.1515/9781474418881?locatt=mode:legacy")</f>
        <v>https://doi.org/10.1515/9781474418881?locatt=mode:legacy</v>
      </c>
      <c r="AH590" t="str">
        <f>HYPERLINK("http://www.degruyter.com/isbn/9781474418881")</f>
        <v>http://www.degruyter.com/isbn/9781474418881</v>
      </c>
      <c r="AI590" t="s">
        <v>222</v>
      </c>
      <c r="AL590" t="s">
        <v>83</v>
      </c>
      <c r="AM590">
        <v>1</v>
      </c>
      <c r="AN590" s="2">
        <v>9781474418874</v>
      </c>
    </row>
    <row r="591" spans="1:40" x14ac:dyDescent="0.3">
      <c r="A591" t="s">
        <v>3081</v>
      </c>
      <c r="B591" t="s">
        <v>1</v>
      </c>
      <c r="C591" t="s">
        <v>3082</v>
      </c>
      <c r="D591" t="s">
        <v>3083</v>
      </c>
      <c r="E591" t="s">
        <v>3084</v>
      </c>
      <c r="F591" t="s">
        <v>5</v>
      </c>
      <c r="G591" t="s">
        <v>6</v>
      </c>
      <c r="L591" t="s">
        <v>7</v>
      </c>
      <c r="M591">
        <v>2017</v>
      </c>
      <c r="N591" s="1">
        <v>42878</v>
      </c>
      <c r="O591" t="s">
        <v>3085</v>
      </c>
      <c r="P591">
        <v>1</v>
      </c>
      <c r="S591">
        <v>217.95</v>
      </c>
      <c r="T591">
        <v>250</v>
      </c>
      <c r="U591">
        <v>190</v>
      </c>
      <c r="V591" t="s">
        <v>89</v>
      </c>
      <c r="W591" t="s">
        <v>90</v>
      </c>
      <c r="X591" t="s">
        <v>91</v>
      </c>
      <c r="Y591" t="s">
        <v>717</v>
      </c>
      <c r="AF591" t="s">
        <v>13</v>
      </c>
      <c r="AG591" t="str">
        <f>HYPERLINK("https://doi.org/10.1515/9781474404419?locatt=mode:legacy")</f>
        <v>https://doi.org/10.1515/9781474404419?locatt=mode:legacy</v>
      </c>
      <c r="AH591" t="str">
        <f>HYPERLINK("http://www.degruyter.com/isbn/9781474404419")</f>
        <v>http://www.degruyter.com/isbn/9781474404419</v>
      </c>
      <c r="AI591" t="s">
        <v>222</v>
      </c>
      <c r="AL591" t="s">
        <v>83</v>
      </c>
      <c r="AM591">
        <v>1</v>
      </c>
      <c r="AN591" s="2">
        <v>9781474404402</v>
      </c>
    </row>
    <row r="592" spans="1:40" x14ac:dyDescent="0.3">
      <c r="A592" t="s">
        <v>3086</v>
      </c>
      <c r="B592" t="s">
        <v>1</v>
      </c>
      <c r="C592" t="s">
        <v>3087</v>
      </c>
      <c r="D592" t="s">
        <v>3088</v>
      </c>
      <c r="E592" t="s">
        <v>3089</v>
      </c>
      <c r="F592" t="s">
        <v>5</v>
      </c>
      <c r="G592" t="s">
        <v>6</v>
      </c>
      <c r="L592" t="s">
        <v>7</v>
      </c>
      <c r="M592">
        <v>2005</v>
      </c>
      <c r="N592" s="1">
        <v>44607</v>
      </c>
      <c r="O592" t="s">
        <v>3090</v>
      </c>
      <c r="P592">
        <v>1</v>
      </c>
      <c r="S592">
        <v>217.95</v>
      </c>
      <c r="T592">
        <v>250</v>
      </c>
      <c r="U592">
        <v>190</v>
      </c>
      <c r="V592" t="s">
        <v>58</v>
      </c>
      <c r="W592" t="s">
        <v>59</v>
      </c>
      <c r="X592" t="s">
        <v>60</v>
      </c>
      <c r="Y592" t="s">
        <v>145</v>
      </c>
      <c r="AF592" t="s">
        <v>13</v>
      </c>
      <c r="AG592" t="str">
        <f>HYPERLINK("https://doi.org/10.1515/9781474471077")</f>
        <v>https://doi.org/10.1515/9781474471077</v>
      </c>
      <c r="AH592" t="str">
        <f>HYPERLINK("http://www.degruyter.com/isbn/9781474471077")</f>
        <v>http://www.degruyter.com/isbn/9781474471077</v>
      </c>
      <c r="AI592" t="s">
        <v>68</v>
      </c>
      <c r="AL592" t="s">
        <v>62</v>
      </c>
      <c r="AM592">
        <v>1</v>
      </c>
      <c r="AN592" s="2">
        <v>9780748621729</v>
      </c>
    </row>
    <row r="593" spans="1:40" x14ac:dyDescent="0.3">
      <c r="A593" t="s">
        <v>3091</v>
      </c>
      <c r="B593" t="s">
        <v>1</v>
      </c>
      <c r="C593" t="s">
        <v>3092</v>
      </c>
      <c r="D593" t="s">
        <v>3093</v>
      </c>
      <c r="E593" t="s">
        <v>3094</v>
      </c>
      <c r="F593" t="s">
        <v>5</v>
      </c>
      <c r="G593" t="s">
        <v>6</v>
      </c>
      <c r="L593" t="s">
        <v>7</v>
      </c>
      <c r="M593">
        <v>2017</v>
      </c>
      <c r="N593" s="1">
        <v>42865</v>
      </c>
      <c r="O593" t="s">
        <v>3095</v>
      </c>
      <c r="P593">
        <v>1</v>
      </c>
      <c r="S593">
        <v>217.95</v>
      </c>
      <c r="T593">
        <v>250</v>
      </c>
      <c r="U593">
        <v>190</v>
      </c>
      <c r="V593" t="s">
        <v>58</v>
      </c>
      <c r="W593" t="s">
        <v>808</v>
      </c>
      <c r="X593" t="s">
        <v>3096</v>
      </c>
      <c r="Y593" t="s">
        <v>3097</v>
      </c>
      <c r="AF593" t="s">
        <v>13</v>
      </c>
      <c r="AG593" t="str">
        <f>HYPERLINK("https://doi.org/10.1515/9781474403146")</f>
        <v>https://doi.org/10.1515/9781474403146</v>
      </c>
      <c r="AH593" t="str">
        <f>HYPERLINK("http://www.degruyter.com/isbn/9781474403146")</f>
        <v>http://www.degruyter.com/isbn/9781474403146</v>
      </c>
      <c r="AI593" t="s">
        <v>222</v>
      </c>
      <c r="AL593" t="s">
        <v>62</v>
      </c>
      <c r="AM593">
        <v>1</v>
      </c>
      <c r="AN593" s="2">
        <v>9781474403139</v>
      </c>
    </row>
    <row r="594" spans="1:40" x14ac:dyDescent="0.3">
      <c r="A594" t="s">
        <v>3098</v>
      </c>
      <c r="B594" t="s">
        <v>1</v>
      </c>
      <c r="C594" t="s">
        <v>3099</v>
      </c>
      <c r="E594" t="s">
        <v>3100</v>
      </c>
      <c r="F594" t="s">
        <v>5</v>
      </c>
      <c r="G594" t="s">
        <v>6</v>
      </c>
      <c r="L594" t="s">
        <v>7</v>
      </c>
      <c r="M594">
        <v>2013</v>
      </c>
      <c r="N594" s="1">
        <v>41617</v>
      </c>
      <c r="O594" t="s">
        <v>3101</v>
      </c>
      <c r="P594">
        <v>1</v>
      </c>
      <c r="S594">
        <v>331.95</v>
      </c>
      <c r="T594">
        <v>380</v>
      </c>
      <c r="U594">
        <v>290</v>
      </c>
      <c r="V594" t="s">
        <v>847</v>
      </c>
      <c r="W594" t="s">
        <v>3102</v>
      </c>
      <c r="X594" t="s">
        <v>3102</v>
      </c>
      <c r="Y594" t="s">
        <v>3103</v>
      </c>
      <c r="AF594" t="s">
        <v>13</v>
      </c>
      <c r="AG594" t="str">
        <f>HYPERLINK("https://doi.org/10.1515/9781474468428")</f>
        <v>https://doi.org/10.1515/9781474468428</v>
      </c>
      <c r="AH594" t="str">
        <f>HYPERLINK("http://www.degruyter.com/isbn/9781474468428")</f>
        <v>http://www.degruyter.com/isbn/9781474468428</v>
      </c>
      <c r="AI594" t="s">
        <v>68</v>
      </c>
      <c r="AL594" t="s">
        <v>1070</v>
      </c>
      <c r="AM594">
        <v>1</v>
      </c>
      <c r="AN594" s="2">
        <v>9780748669226</v>
      </c>
    </row>
    <row r="595" spans="1:40" x14ac:dyDescent="0.3">
      <c r="A595" t="s">
        <v>3104</v>
      </c>
      <c r="B595" t="s">
        <v>1</v>
      </c>
      <c r="C595" t="s">
        <v>3105</v>
      </c>
      <c r="E595" t="s">
        <v>3106</v>
      </c>
      <c r="F595" t="s">
        <v>5</v>
      </c>
      <c r="G595" t="s">
        <v>6</v>
      </c>
      <c r="L595" t="s">
        <v>7</v>
      </c>
      <c r="M595">
        <v>2020</v>
      </c>
      <c r="N595" s="1">
        <v>44656</v>
      </c>
      <c r="O595" t="s">
        <v>3107</v>
      </c>
      <c r="P595">
        <v>1</v>
      </c>
      <c r="S595">
        <v>217.95</v>
      </c>
      <c r="T595">
        <v>250</v>
      </c>
      <c r="U595">
        <v>190</v>
      </c>
      <c r="V595" t="s">
        <v>20</v>
      </c>
      <c r="W595" t="s">
        <v>21</v>
      </c>
      <c r="X595" t="s">
        <v>22</v>
      </c>
      <c r="Y595" t="s">
        <v>23</v>
      </c>
      <c r="AF595" t="s">
        <v>13</v>
      </c>
      <c r="AG595" t="str">
        <f>HYPERLINK("https://doi.org/10.1515/9781474446655")</f>
        <v>https://doi.org/10.1515/9781474446655</v>
      </c>
      <c r="AH595" t="str">
        <f>HYPERLINK("http://www.degruyter.com/isbn/9781474446655")</f>
        <v>http://www.degruyter.com/isbn/9781474446655</v>
      </c>
      <c r="AI595" t="s">
        <v>14</v>
      </c>
      <c r="AL595" t="s">
        <v>15</v>
      </c>
      <c r="AM595">
        <v>1</v>
      </c>
      <c r="AN595" s="2">
        <v>9781474446631</v>
      </c>
    </row>
    <row r="596" spans="1:40" x14ac:dyDescent="0.3">
      <c r="A596" t="s">
        <v>3108</v>
      </c>
      <c r="B596" t="s">
        <v>1</v>
      </c>
      <c r="C596" t="s">
        <v>3109</v>
      </c>
      <c r="D596" t="s">
        <v>3110</v>
      </c>
      <c r="E596" t="s">
        <v>3111</v>
      </c>
      <c r="F596" t="s">
        <v>5</v>
      </c>
      <c r="G596" t="s">
        <v>6</v>
      </c>
      <c r="L596" t="s">
        <v>7</v>
      </c>
      <c r="M596">
        <v>2009</v>
      </c>
      <c r="N596" s="1">
        <v>39903</v>
      </c>
      <c r="O596" t="s">
        <v>3112</v>
      </c>
      <c r="P596">
        <v>1</v>
      </c>
      <c r="S596">
        <v>253.95</v>
      </c>
      <c r="T596">
        <v>290</v>
      </c>
      <c r="U596">
        <v>220</v>
      </c>
      <c r="V596" t="s">
        <v>58</v>
      </c>
      <c r="W596" t="s">
        <v>129</v>
      </c>
      <c r="X596" t="s">
        <v>130</v>
      </c>
      <c r="Y596" t="s">
        <v>1556</v>
      </c>
      <c r="AF596" t="s">
        <v>13</v>
      </c>
      <c r="AG596" t="str">
        <f>HYPERLINK("https://doi.org/10.1515/9780748631230?locatt=mode:legacy")</f>
        <v>https://doi.org/10.1515/9780748631230?locatt=mode:legacy</v>
      </c>
      <c r="AH596" t="str">
        <f>HYPERLINK("http://www.degruyter.com/isbn/9780748631230")</f>
        <v>http://www.degruyter.com/isbn/9780748631230</v>
      </c>
      <c r="AI596" t="s">
        <v>68</v>
      </c>
      <c r="AL596" t="s">
        <v>62</v>
      </c>
      <c r="AM596">
        <v>1</v>
      </c>
      <c r="AN596" s="2">
        <v>9780748625871</v>
      </c>
    </row>
    <row r="597" spans="1:40" x14ac:dyDescent="0.3">
      <c r="A597" t="s">
        <v>3113</v>
      </c>
      <c r="B597" t="s">
        <v>1</v>
      </c>
      <c r="C597" t="s">
        <v>3114</v>
      </c>
      <c r="D597" t="s">
        <v>3115</v>
      </c>
      <c r="E597" t="s">
        <v>3116</v>
      </c>
      <c r="F597" t="s">
        <v>5</v>
      </c>
      <c r="G597" t="s">
        <v>6</v>
      </c>
      <c r="L597" t="s">
        <v>7</v>
      </c>
      <c r="M597">
        <v>2015</v>
      </c>
      <c r="N597" s="1">
        <v>42185</v>
      </c>
      <c r="O597" t="s">
        <v>3117</v>
      </c>
      <c r="P597">
        <v>1</v>
      </c>
      <c r="S597">
        <v>217.95</v>
      </c>
      <c r="T597">
        <v>250</v>
      </c>
      <c r="U597">
        <v>190</v>
      </c>
      <c r="V597" t="s">
        <v>42</v>
      </c>
      <c r="W597" t="s">
        <v>290</v>
      </c>
      <c r="X597" t="s">
        <v>290</v>
      </c>
      <c r="Y597" t="s">
        <v>515</v>
      </c>
      <c r="AF597" t="s">
        <v>13</v>
      </c>
      <c r="AG597" t="str">
        <f>HYPERLINK("https://doi.org/10.1515/9781474401395")</f>
        <v>https://doi.org/10.1515/9781474401395</v>
      </c>
      <c r="AH597" t="str">
        <f>HYPERLINK("http://www.degruyter.com/isbn/9781474401395")</f>
        <v>http://www.degruyter.com/isbn/9781474401395</v>
      </c>
      <c r="AI597" t="s">
        <v>34</v>
      </c>
      <c r="AL597" t="s">
        <v>47</v>
      </c>
      <c r="AM597">
        <v>1</v>
      </c>
      <c r="AN597" s="2">
        <v>9781474401388</v>
      </c>
    </row>
    <row r="598" spans="1:40" x14ac:dyDescent="0.3">
      <c r="A598" t="s">
        <v>3118</v>
      </c>
      <c r="B598" t="s">
        <v>1</v>
      </c>
      <c r="C598" t="s">
        <v>3119</v>
      </c>
      <c r="E598" t="s">
        <v>3120</v>
      </c>
      <c r="F598" t="s">
        <v>5</v>
      </c>
      <c r="G598" t="s">
        <v>6</v>
      </c>
      <c r="L598" t="s">
        <v>7</v>
      </c>
      <c r="M598">
        <v>2019</v>
      </c>
      <c r="N598" s="1">
        <v>44644</v>
      </c>
      <c r="O598" t="s">
        <v>3121</v>
      </c>
      <c r="P598">
        <v>1</v>
      </c>
      <c r="S598">
        <v>217.95</v>
      </c>
      <c r="T598">
        <v>250</v>
      </c>
      <c r="U598">
        <v>190</v>
      </c>
      <c r="V598" t="s">
        <v>42</v>
      </c>
      <c r="W598" t="s">
        <v>43</v>
      </c>
      <c r="X598" t="s">
        <v>44</v>
      </c>
      <c r="Y598" t="s">
        <v>45</v>
      </c>
      <c r="AF598" t="s">
        <v>13</v>
      </c>
      <c r="AG598" t="str">
        <f>HYPERLINK("https://doi.org/10.1515/9781474452809?locatt=mode:legacy")</f>
        <v>https://doi.org/10.1515/9781474452809?locatt=mode:legacy</v>
      </c>
      <c r="AH598" t="str">
        <f>HYPERLINK("http://www.degruyter.com/isbn/9781474452809")</f>
        <v>http://www.degruyter.com/isbn/9781474452809</v>
      </c>
      <c r="AI598" t="s">
        <v>280</v>
      </c>
      <c r="AL598" t="s">
        <v>47</v>
      </c>
      <c r="AM598">
        <v>1</v>
      </c>
      <c r="AN598" s="2">
        <v>9781474452786</v>
      </c>
    </row>
    <row r="599" spans="1:40" x14ac:dyDescent="0.3">
      <c r="A599" t="s">
        <v>3122</v>
      </c>
      <c r="B599" t="s">
        <v>1</v>
      </c>
      <c r="C599" t="s">
        <v>3123</v>
      </c>
      <c r="D599" t="s">
        <v>3124</v>
      </c>
      <c r="E599" t="s">
        <v>3125</v>
      </c>
      <c r="F599" t="s">
        <v>5</v>
      </c>
      <c r="G599" t="s">
        <v>6</v>
      </c>
      <c r="L599" t="s">
        <v>7</v>
      </c>
      <c r="M599">
        <v>2000</v>
      </c>
      <c r="N599" s="1">
        <v>44592</v>
      </c>
      <c r="O599" t="s">
        <v>3126</v>
      </c>
      <c r="P599">
        <v>1</v>
      </c>
      <c r="S599">
        <v>217.95</v>
      </c>
      <c r="T599">
        <v>250</v>
      </c>
      <c r="U599">
        <v>190</v>
      </c>
      <c r="V599" t="s">
        <v>58</v>
      </c>
      <c r="W599" t="s">
        <v>59</v>
      </c>
      <c r="X599" t="s">
        <v>60</v>
      </c>
      <c r="Y599" t="s">
        <v>73</v>
      </c>
      <c r="AF599" t="s">
        <v>13</v>
      </c>
      <c r="AG599" t="str">
        <f>HYPERLINK("https://doi.org/10.1515/9781474473309")</f>
        <v>https://doi.org/10.1515/9781474473309</v>
      </c>
      <c r="AH599" t="str">
        <f>HYPERLINK("http://www.degruyter.com/isbn/9781474473309")</f>
        <v>http://www.degruyter.com/isbn/9781474473309</v>
      </c>
      <c r="AI599" t="s">
        <v>68</v>
      </c>
      <c r="AL599" t="s">
        <v>62</v>
      </c>
      <c r="AM599">
        <v>1</v>
      </c>
      <c r="AN599" s="2">
        <v>9781853312137</v>
      </c>
    </row>
    <row r="600" spans="1:40" x14ac:dyDescent="0.3">
      <c r="A600" t="s">
        <v>3127</v>
      </c>
      <c r="B600" t="s">
        <v>1</v>
      </c>
      <c r="C600" t="s">
        <v>3128</v>
      </c>
      <c r="E600" t="s">
        <v>3129</v>
      </c>
      <c r="F600" t="s">
        <v>5</v>
      </c>
      <c r="G600" t="s">
        <v>6</v>
      </c>
      <c r="L600" t="s">
        <v>7</v>
      </c>
      <c r="M600">
        <v>2006</v>
      </c>
      <c r="N600" s="1">
        <v>38722</v>
      </c>
      <c r="O600" t="s">
        <v>514</v>
      </c>
      <c r="P600">
        <v>1</v>
      </c>
      <c r="S600">
        <v>279.95</v>
      </c>
      <c r="T600">
        <v>320</v>
      </c>
      <c r="U600">
        <v>240</v>
      </c>
      <c r="V600" t="s">
        <v>42</v>
      </c>
      <c r="W600" t="s">
        <v>290</v>
      </c>
      <c r="X600" t="s">
        <v>290</v>
      </c>
      <c r="Y600" t="s">
        <v>291</v>
      </c>
      <c r="AF600" t="s">
        <v>13</v>
      </c>
      <c r="AG600" t="str">
        <f>HYPERLINK("https://doi.org/10.1515/9780748626359")</f>
        <v>https://doi.org/10.1515/9780748626359</v>
      </c>
      <c r="AH600" t="str">
        <f>HYPERLINK("http://www.degruyter.com/isbn/9780748626359")</f>
        <v>http://www.degruyter.com/isbn/9780748626359</v>
      </c>
      <c r="AI600" t="s">
        <v>68</v>
      </c>
      <c r="AL600" t="s">
        <v>47</v>
      </c>
      <c r="AM600">
        <v>1</v>
      </c>
      <c r="AN600" s="2">
        <v>9780748623495</v>
      </c>
    </row>
    <row r="601" spans="1:40" x14ac:dyDescent="0.3">
      <c r="A601" t="s">
        <v>3130</v>
      </c>
      <c r="B601" t="s">
        <v>1</v>
      </c>
      <c r="C601" t="s">
        <v>3131</v>
      </c>
      <c r="D601" t="s">
        <v>3132</v>
      </c>
      <c r="E601" t="s">
        <v>3133</v>
      </c>
      <c r="F601" t="s">
        <v>5</v>
      </c>
      <c r="G601" t="s">
        <v>6</v>
      </c>
      <c r="L601" t="s">
        <v>7</v>
      </c>
      <c r="M601">
        <v>2019</v>
      </c>
      <c r="N601" s="1">
        <v>44644</v>
      </c>
      <c r="O601" t="s">
        <v>3134</v>
      </c>
      <c r="P601">
        <v>1</v>
      </c>
      <c r="S601">
        <v>253.95</v>
      </c>
      <c r="T601">
        <v>290</v>
      </c>
      <c r="U601">
        <v>220</v>
      </c>
      <c r="V601" t="s">
        <v>305</v>
      </c>
      <c r="W601" t="s">
        <v>306</v>
      </c>
      <c r="X601" t="s">
        <v>306</v>
      </c>
      <c r="Y601" t="s">
        <v>3135</v>
      </c>
      <c r="AF601" t="s">
        <v>13</v>
      </c>
      <c r="AG601" t="str">
        <f>HYPERLINK("https://doi.org/10.1515/9781474456968?locatt=mode:legacy")</f>
        <v>https://doi.org/10.1515/9781474456968?locatt=mode:legacy</v>
      </c>
      <c r="AH601" t="str">
        <f>HYPERLINK("http://www.degruyter.com/isbn/9781474456968")</f>
        <v>http://www.degruyter.com/isbn/9781474456968</v>
      </c>
      <c r="AI601" t="s">
        <v>2067</v>
      </c>
      <c r="AL601" t="s">
        <v>308</v>
      </c>
      <c r="AM601">
        <v>1</v>
      </c>
      <c r="AN601" s="2">
        <v>9781474456944</v>
      </c>
    </row>
    <row r="602" spans="1:40" x14ac:dyDescent="0.3">
      <c r="A602" t="s">
        <v>3136</v>
      </c>
      <c r="B602" t="s">
        <v>1</v>
      </c>
      <c r="C602" t="s">
        <v>3137</v>
      </c>
      <c r="D602" t="s">
        <v>3138</v>
      </c>
      <c r="E602" t="s">
        <v>3139</v>
      </c>
      <c r="F602" t="s">
        <v>5</v>
      </c>
      <c r="G602" t="s">
        <v>6</v>
      </c>
      <c r="L602" t="s">
        <v>7</v>
      </c>
      <c r="M602">
        <v>2000</v>
      </c>
      <c r="N602" s="1">
        <v>36661</v>
      </c>
      <c r="O602" t="s">
        <v>3140</v>
      </c>
      <c r="P602">
        <v>1</v>
      </c>
      <c r="S602">
        <v>305.95</v>
      </c>
      <c r="T602">
        <v>350</v>
      </c>
      <c r="U602">
        <v>270</v>
      </c>
      <c r="V602" t="s">
        <v>42</v>
      </c>
      <c r="W602" t="s">
        <v>116</v>
      </c>
      <c r="X602" t="s">
        <v>116</v>
      </c>
      <c r="Y602" t="s">
        <v>117</v>
      </c>
      <c r="AF602" t="s">
        <v>13</v>
      </c>
      <c r="AG602" t="str">
        <f>HYPERLINK("https://doi.org/10.1515/9781474468046")</f>
        <v>https://doi.org/10.1515/9781474468046</v>
      </c>
      <c r="AH602" t="str">
        <f>HYPERLINK("http://www.degruyter.com/isbn/9781474468046")</f>
        <v>http://www.degruyter.com/isbn/9781474468046</v>
      </c>
      <c r="AI602" t="s">
        <v>68</v>
      </c>
      <c r="AL602" t="s">
        <v>47</v>
      </c>
      <c r="AM602">
        <v>1</v>
      </c>
      <c r="AN602" s="2">
        <v>9780748613724</v>
      </c>
    </row>
    <row r="603" spans="1:40" x14ac:dyDescent="0.3">
      <c r="A603" t="s">
        <v>3141</v>
      </c>
      <c r="B603" t="s">
        <v>1</v>
      </c>
      <c r="C603" t="s">
        <v>3142</v>
      </c>
      <c r="D603" t="s">
        <v>3143</v>
      </c>
      <c r="E603" t="s">
        <v>3144</v>
      </c>
      <c r="F603" t="s">
        <v>5</v>
      </c>
      <c r="G603" t="s">
        <v>6</v>
      </c>
      <c r="L603" t="s">
        <v>7</v>
      </c>
      <c r="M603">
        <v>2018</v>
      </c>
      <c r="N603" s="1">
        <v>44644</v>
      </c>
      <c r="O603" t="s">
        <v>3145</v>
      </c>
      <c r="P603">
        <v>1</v>
      </c>
      <c r="S603">
        <v>217.95</v>
      </c>
      <c r="T603">
        <v>250</v>
      </c>
      <c r="U603">
        <v>190</v>
      </c>
      <c r="V603" t="s">
        <v>9</v>
      </c>
      <c r="W603" t="s">
        <v>10</v>
      </c>
      <c r="X603" t="s">
        <v>11</v>
      </c>
      <c r="Y603" t="s">
        <v>52</v>
      </c>
      <c r="AF603" t="s">
        <v>13</v>
      </c>
      <c r="AG603" t="str">
        <f>HYPERLINK("https://doi.org/10.1515/9781474418119?locatt=mode:legacy")</f>
        <v>https://doi.org/10.1515/9781474418119?locatt=mode:legacy</v>
      </c>
      <c r="AH603" t="str">
        <f>HYPERLINK("http://www.degruyter.com/isbn/9781474418119")</f>
        <v>http://www.degruyter.com/isbn/9781474418119</v>
      </c>
      <c r="AI603" t="s">
        <v>46</v>
      </c>
      <c r="AL603" t="s">
        <v>15</v>
      </c>
      <c r="AM603">
        <v>1</v>
      </c>
      <c r="AN603" s="2">
        <v>9781474418102</v>
      </c>
    </row>
    <row r="604" spans="1:40" x14ac:dyDescent="0.3">
      <c r="A604" t="s">
        <v>3146</v>
      </c>
      <c r="B604" t="s">
        <v>1</v>
      </c>
      <c r="C604" t="s">
        <v>3147</v>
      </c>
      <c r="D604" t="s">
        <v>3148</v>
      </c>
      <c r="E604" t="s">
        <v>3149</v>
      </c>
      <c r="F604" t="s">
        <v>5</v>
      </c>
      <c r="G604" t="s">
        <v>6</v>
      </c>
      <c r="L604" t="s">
        <v>7</v>
      </c>
      <c r="M604">
        <v>2007</v>
      </c>
      <c r="N604" s="1">
        <v>44656</v>
      </c>
      <c r="O604" t="s">
        <v>3150</v>
      </c>
      <c r="P604">
        <v>1</v>
      </c>
      <c r="S604">
        <v>113.95</v>
      </c>
      <c r="T604">
        <v>130</v>
      </c>
      <c r="U604">
        <v>100</v>
      </c>
      <c r="V604" t="s">
        <v>42</v>
      </c>
      <c r="W604" t="s">
        <v>116</v>
      </c>
      <c r="X604" t="s">
        <v>116</v>
      </c>
      <c r="Y604" t="s">
        <v>586</v>
      </c>
      <c r="AF604" t="s">
        <v>13</v>
      </c>
      <c r="AG604" t="str">
        <f>HYPERLINK("https://doi.org/10.1515/9780748628681")</f>
        <v>https://doi.org/10.1515/9780748628681</v>
      </c>
      <c r="AH604" t="str">
        <f>HYPERLINK("http://www.degruyter.com/isbn/9780748628681")</f>
        <v>http://www.degruyter.com/isbn/9780748628681</v>
      </c>
      <c r="AI604" t="s">
        <v>68</v>
      </c>
      <c r="AL604" t="s">
        <v>47</v>
      </c>
      <c r="AM604">
        <v>1</v>
      </c>
      <c r="AN604" s="2">
        <v>9780748616398</v>
      </c>
    </row>
    <row r="605" spans="1:40" x14ac:dyDescent="0.3">
      <c r="A605" t="s">
        <v>3151</v>
      </c>
      <c r="B605" t="s">
        <v>1</v>
      </c>
      <c r="C605" t="s">
        <v>3152</v>
      </c>
      <c r="E605" t="s">
        <v>3153</v>
      </c>
      <c r="F605" t="s">
        <v>5</v>
      </c>
      <c r="G605" t="s">
        <v>6</v>
      </c>
      <c r="L605" t="s">
        <v>7</v>
      </c>
      <c r="M605">
        <v>2009</v>
      </c>
      <c r="N605" s="1">
        <v>40000</v>
      </c>
      <c r="O605" t="s">
        <v>1312</v>
      </c>
      <c r="P605">
        <v>1</v>
      </c>
      <c r="S605">
        <v>217.95</v>
      </c>
      <c r="T605">
        <v>250</v>
      </c>
      <c r="U605">
        <v>190</v>
      </c>
      <c r="V605" t="s">
        <v>20</v>
      </c>
      <c r="W605" t="s">
        <v>556</v>
      </c>
      <c r="X605" t="s">
        <v>1731</v>
      </c>
      <c r="Y605" t="s">
        <v>3154</v>
      </c>
      <c r="AF605" t="s">
        <v>13</v>
      </c>
      <c r="AG605" t="str">
        <f>HYPERLINK("https://doi.org/10.1515/9780748641383")</f>
        <v>https://doi.org/10.1515/9780748641383</v>
      </c>
      <c r="AH605" t="str">
        <f>HYPERLINK("http://www.degruyter.com/isbn/9780748641383")</f>
        <v>http://www.degruyter.com/isbn/9780748641383</v>
      </c>
      <c r="AI605" t="s">
        <v>68</v>
      </c>
      <c r="AL605" t="s">
        <v>15</v>
      </c>
      <c r="AM605">
        <v>1</v>
      </c>
      <c r="AN605" s="2">
        <v>9780748639151</v>
      </c>
    </row>
    <row r="606" spans="1:40" x14ac:dyDescent="0.3">
      <c r="A606" t="s">
        <v>3155</v>
      </c>
      <c r="B606" t="s">
        <v>1</v>
      </c>
      <c r="C606" t="s">
        <v>3156</v>
      </c>
      <c r="D606" t="s">
        <v>3157</v>
      </c>
      <c r="E606" t="s">
        <v>3158</v>
      </c>
      <c r="F606" t="s">
        <v>5</v>
      </c>
      <c r="G606" t="s">
        <v>6</v>
      </c>
      <c r="L606" t="s">
        <v>7</v>
      </c>
      <c r="M606">
        <v>2016</v>
      </c>
      <c r="N606" s="1">
        <v>42390</v>
      </c>
      <c r="O606" t="s">
        <v>424</v>
      </c>
      <c r="P606">
        <v>1</v>
      </c>
      <c r="S606">
        <v>253.95</v>
      </c>
      <c r="T606">
        <v>290</v>
      </c>
      <c r="U606">
        <v>220</v>
      </c>
      <c r="V606" t="s">
        <v>58</v>
      </c>
      <c r="W606" t="s">
        <v>129</v>
      </c>
      <c r="X606" t="s">
        <v>130</v>
      </c>
      <c r="Y606" t="s">
        <v>1556</v>
      </c>
      <c r="AF606" t="s">
        <v>13</v>
      </c>
      <c r="AG606" t="str">
        <f>HYPERLINK("https://doi.org/10.1515/9780748634033")</f>
        <v>https://doi.org/10.1515/9780748634033</v>
      </c>
      <c r="AH606" t="str">
        <f>HYPERLINK("http://www.degruyter.com/isbn/9780748634033")</f>
        <v>http://www.degruyter.com/isbn/9780748634033</v>
      </c>
      <c r="AI606" t="s">
        <v>3159</v>
      </c>
      <c r="AL606" t="s">
        <v>62</v>
      </c>
      <c r="AM606">
        <v>1</v>
      </c>
      <c r="AN606" s="2">
        <v>9780748634026</v>
      </c>
    </row>
    <row r="607" spans="1:40" x14ac:dyDescent="0.3">
      <c r="A607" t="s">
        <v>3160</v>
      </c>
      <c r="B607" t="s">
        <v>1</v>
      </c>
      <c r="C607" t="s">
        <v>3161</v>
      </c>
      <c r="E607" t="s">
        <v>3162</v>
      </c>
      <c r="F607" t="s">
        <v>5</v>
      </c>
      <c r="G607" t="s">
        <v>6</v>
      </c>
      <c r="L607" t="s">
        <v>7</v>
      </c>
      <c r="M607">
        <v>2015</v>
      </c>
      <c r="N607" s="1">
        <v>42286</v>
      </c>
      <c r="O607" t="s">
        <v>3163</v>
      </c>
      <c r="P607">
        <v>1</v>
      </c>
      <c r="S607">
        <v>253.95</v>
      </c>
      <c r="T607">
        <v>290</v>
      </c>
      <c r="U607">
        <v>220</v>
      </c>
      <c r="V607" t="s">
        <v>42</v>
      </c>
      <c r="W607" t="s">
        <v>740</v>
      </c>
      <c r="X607" t="s">
        <v>741</v>
      </c>
      <c r="Y607" t="s">
        <v>742</v>
      </c>
      <c r="AF607" t="s">
        <v>13</v>
      </c>
      <c r="AG607" t="str">
        <f>HYPERLINK("https://doi.org/10.1515/9781474408950")</f>
        <v>https://doi.org/10.1515/9781474408950</v>
      </c>
      <c r="AH607" t="str">
        <f>HYPERLINK("http://www.degruyter.com/isbn/9781474408950")</f>
        <v>http://www.degruyter.com/isbn/9781474408950</v>
      </c>
      <c r="AI607" t="s">
        <v>34</v>
      </c>
      <c r="AL607" t="s">
        <v>47</v>
      </c>
      <c r="AM607">
        <v>1</v>
      </c>
      <c r="AN607" s="2">
        <v>9781474408943</v>
      </c>
    </row>
    <row r="608" spans="1:40" x14ac:dyDescent="0.3">
      <c r="A608" t="s">
        <v>3164</v>
      </c>
      <c r="B608" t="s">
        <v>1</v>
      </c>
      <c r="C608" t="s">
        <v>3165</v>
      </c>
      <c r="D608" t="s">
        <v>3166</v>
      </c>
      <c r="E608" t="s">
        <v>3167</v>
      </c>
      <c r="F608" t="s">
        <v>5</v>
      </c>
      <c r="G608" t="s">
        <v>6</v>
      </c>
      <c r="L608" t="s">
        <v>7</v>
      </c>
      <c r="M608">
        <v>2020</v>
      </c>
      <c r="N608" s="1">
        <v>44644</v>
      </c>
      <c r="O608" t="s">
        <v>3168</v>
      </c>
      <c r="P608">
        <v>1</v>
      </c>
      <c r="S608">
        <v>217.95</v>
      </c>
      <c r="T608">
        <v>250</v>
      </c>
      <c r="U608">
        <v>190</v>
      </c>
      <c r="V608" t="s">
        <v>58</v>
      </c>
      <c r="W608" t="s">
        <v>59</v>
      </c>
      <c r="X608" t="s">
        <v>278</v>
      </c>
      <c r="Y608" t="s">
        <v>3169</v>
      </c>
      <c r="AF608" t="s">
        <v>13</v>
      </c>
      <c r="AG608" t="str">
        <f>HYPERLINK("https://doi.org/10.1515/9781474453073")</f>
        <v>https://doi.org/10.1515/9781474453073</v>
      </c>
      <c r="AH608" t="str">
        <f>HYPERLINK("http://www.degruyter.com/isbn/9781474453073")</f>
        <v>http://www.degruyter.com/isbn/9781474453073</v>
      </c>
      <c r="AI608" t="s">
        <v>14</v>
      </c>
      <c r="AJ608" t="s">
        <v>35</v>
      </c>
      <c r="AL608" t="s">
        <v>155</v>
      </c>
      <c r="AM608">
        <v>1</v>
      </c>
      <c r="AN608" s="2">
        <v>9781474453059</v>
      </c>
    </row>
    <row r="609" spans="1:40" x14ac:dyDescent="0.3">
      <c r="A609" t="s">
        <v>3170</v>
      </c>
      <c r="B609" t="s">
        <v>1</v>
      </c>
      <c r="C609" t="s">
        <v>3171</v>
      </c>
      <c r="D609" t="s">
        <v>3172</v>
      </c>
      <c r="E609" t="s">
        <v>3173</v>
      </c>
      <c r="F609" t="s">
        <v>5</v>
      </c>
      <c r="G609" t="s">
        <v>6</v>
      </c>
      <c r="L609" t="s">
        <v>7</v>
      </c>
      <c r="M609">
        <v>1999</v>
      </c>
      <c r="N609" s="1">
        <v>44719</v>
      </c>
      <c r="O609" t="s">
        <v>3174</v>
      </c>
      <c r="P609">
        <v>1</v>
      </c>
      <c r="S609">
        <v>217.95</v>
      </c>
      <c r="T609">
        <v>250</v>
      </c>
      <c r="U609">
        <v>190</v>
      </c>
      <c r="V609" t="s">
        <v>79</v>
      </c>
      <c r="W609" t="s">
        <v>138</v>
      </c>
      <c r="X609" t="s">
        <v>138</v>
      </c>
      <c r="Y609" t="s">
        <v>2824</v>
      </c>
      <c r="AF609" t="s">
        <v>13</v>
      </c>
      <c r="AG609" t="str">
        <f>HYPERLINK("https://doi.org/10.1515/9781474468565")</f>
        <v>https://doi.org/10.1515/9781474468565</v>
      </c>
      <c r="AH609" t="str">
        <f>HYPERLINK("http://www.degruyter.com/isbn/9781474468565")</f>
        <v>http://www.degruyter.com/isbn/9781474468565</v>
      </c>
      <c r="AI609" t="s">
        <v>24</v>
      </c>
      <c r="AL609" t="s">
        <v>83</v>
      </c>
      <c r="AM609">
        <v>1</v>
      </c>
      <c r="AN609" s="2">
        <v>9780748612772</v>
      </c>
    </row>
    <row r="610" spans="1:40" x14ac:dyDescent="0.3">
      <c r="A610" t="s">
        <v>3175</v>
      </c>
      <c r="B610" t="s">
        <v>1</v>
      </c>
      <c r="C610" t="s">
        <v>3176</v>
      </c>
      <c r="E610" t="s">
        <v>3177</v>
      </c>
      <c r="F610" t="s">
        <v>5</v>
      </c>
      <c r="G610" t="s">
        <v>6</v>
      </c>
      <c r="L610" t="s">
        <v>7</v>
      </c>
      <c r="M610">
        <v>2011</v>
      </c>
      <c r="N610" s="1">
        <v>40816</v>
      </c>
      <c r="O610" t="s">
        <v>3178</v>
      </c>
      <c r="P610">
        <v>1</v>
      </c>
      <c r="S610">
        <v>243.95</v>
      </c>
      <c r="T610">
        <v>280</v>
      </c>
      <c r="U610">
        <v>210</v>
      </c>
      <c r="V610" t="s">
        <v>42</v>
      </c>
      <c r="W610" t="s">
        <v>161</v>
      </c>
      <c r="X610" t="s">
        <v>162</v>
      </c>
      <c r="Y610" t="s">
        <v>393</v>
      </c>
      <c r="AF610" t="s">
        <v>13</v>
      </c>
      <c r="AG610" t="str">
        <f>HYPERLINK("https://doi.org/10.1515/9780748654055?locatt=mode:legacy")</f>
        <v>https://doi.org/10.1515/9780748654055?locatt=mode:legacy</v>
      </c>
      <c r="AH610" t="str">
        <f>HYPERLINK("http://www.degruyter.com/isbn/9780748654055")</f>
        <v>http://www.degruyter.com/isbn/9780748654055</v>
      </c>
      <c r="AI610" t="s">
        <v>68</v>
      </c>
      <c r="AL610" t="s">
        <v>47</v>
      </c>
      <c r="AM610">
        <v>1</v>
      </c>
      <c r="AN610" s="2">
        <v>9780748640867</v>
      </c>
    </row>
    <row r="611" spans="1:40" x14ac:dyDescent="0.3">
      <c r="A611" t="s">
        <v>3179</v>
      </c>
      <c r="B611" t="s">
        <v>1</v>
      </c>
      <c r="C611" t="s">
        <v>3180</v>
      </c>
      <c r="D611" t="s">
        <v>3181</v>
      </c>
      <c r="E611" t="s">
        <v>3182</v>
      </c>
      <c r="F611" t="s">
        <v>5</v>
      </c>
      <c r="G611" t="s">
        <v>6</v>
      </c>
      <c r="L611" t="s">
        <v>7</v>
      </c>
      <c r="M611">
        <v>2003</v>
      </c>
      <c r="N611" s="1">
        <v>37787</v>
      </c>
      <c r="O611" t="s">
        <v>3183</v>
      </c>
      <c r="P611">
        <v>1</v>
      </c>
      <c r="S611">
        <v>339.95</v>
      </c>
      <c r="T611">
        <v>390</v>
      </c>
      <c r="U611">
        <v>300</v>
      </c>
      <c r="V611" t="s">
        <v>20</v>
      </c>
      <c r="W611" t="s">
        <v>556</v>
      </c>
      <c r="X611" t="s">
        <v>3184</v>
      </c>
      <c r="Y611" t="s">
        <v>3185</v>
      </c>
      <c r="AF611" t="s">
        <v>13</v>
      </c>
      <c r="AG611" t="str">
        <f>HYPERLINK("https://doi.org/10.1515/9781474470230")</f>
        <v>https://doi.org/10.1515/9781474470230</v>
      </c>
      <c r="AH611" t="str">
        <f>HYPERLINK("http://www.degruyter.com/isbn/9781474470230")</f>
        <v>http://www.degruyter.com/isbn/9781474470230</v>
      </c>
      <c r="AI611" t="s">
        <v>3186</v>
      </c>
      <c r="AL611" t="s">
        <v>15</v>
      </c>
      <c r="AM611">
        <v>1</v>
      </c>
      <c r="AN611" s="2">
        <v>9780748616541</v>
      </c>
    </row>
    <row r="612" spans="1:40" x14ac:dyDescent="0.3">
      <c r="A612" t="s">
        <v>3187</v>
      </c>
      <c r="B612" t="s">
        <v>1</v>
      </c>
      <c r="C612" t="s">
        <v>3188</v>
      </c>
      <c r="D612" t="s">
        <v>3189</v>
      </c>
      <c r="E612" t="s">
        <v>3190</v>
      </c>
      <c r="F612" t="s">
        <v>5</v>
      </c>
      <c r="G612" t="s">
        <v>6</v>
      </c>
      <c r="L612" t="s">
        <v>7</v>
      </c>
      <c r="M612">
        <v>2016</v>
      </c>
      <c r="N612" s="1">
        <v>42541</v>
      </c>
      <c r="O612" t="s">
        <v>3191</v>
      </c>
      <c r="P612">
        <v>1</v>
      </c>
      <c r="S612">
        <v>253.95</v>
      </c>
      <c r="T612">
        <v>290</v>
      </c>
      <c r="U612">
        <v>220</v>
      </c>
      <c r="V612" t="s">
        <v>79</v>
      </c>
      <c r="W612" t="s">
        <v>80</v>
      </c>
      <c r="X612" t="s">
        <v>80</v>
      </c>
      <c r="Y612" t="s">
        <v>81</v>
      </c>
      <c r="AF612" t="s">
        <v>13</v>
      </c>
      <c r="AG612" t="str">
        <f>HYPERLINK("https://doi.org/10.1515/9781474405379")</f>
        <v>https://doi.org/10.1515/9781474405379</v>
      </c>
      <c r="AH612" t="str">
        <f>HYPERLINK("http://www.degruyter.com/isbn/9781474405379")</f>
        <v>http://www.degruyter.com/isbn/9781474405379</v>
      </c>
      <c r="AI612" t="s">
        <v>180</v>
      </c>
      <c r="AL612" t="s">
        <v>83</v>
      </c>
      <c r="AM612">
        <v>1</v>
      </c>
      <c r="AN612" s="2">
        <v>9781474405355</v>
      </c>
    </row>
    <row r="613" spans="1:40" x14ac:dyDescent="0.3">
      <c r="A613" t="s">
        <v>3192</v>
      </c>
      <c r="B613" t="s">
        <v>1</v>
      </c>
      <c r="C613" t="s">
        <v>3193</v>
      </c>
      <c r="D613" t="s">
        <v>3194</v>
      </c>
      <c r="E613" t="s">
        <v>3195</v>
      </c>
      <c r="F613" t="s">
        <v>5</v>
      </c>
      <c r="G613" t="s">
        <v>6</v>
      </c>
      <c r="L613" t="s">
        <v>7</v>
      </c>
      <c r="M613">
        <v>1996</v>
      </c>
      <c r="N613" s="1">
        <v>44599</v>
      </c>
      <c r="O613" t="s">
        <v>3196</v>
      </c>
      <c r="P613">
        <v>1</v>
      </c>
      <c r="S613">
        <v>279.95</v>
      </c>
      <c r="T613">
        <v>320</v>
      </c>
      <c r="U613">
        <v>240</v>
      </c>
      <c r="V613" t="s">
        <v>79</v>
      </c>
      <c r="W613" t="s">
        <v>227</v>
      </c>
      <c r="X613" t="s">
        <v>228</v>
      </c>
      <c r="Y613" t="s">
        <v>229</v>
      </c>
      <c r="AF613" t="s">
        <v>13</v>
      </c>
      <c r="AG613" t="str">
        <f>HYPERLINK("https://doi.org/10.1515/9781474472654")</f>
        <v>https://doi.org/10.1515/9781474472654</v>
      </c>
      <c r="AH613" t="str">
        <f>HYPERLINK("http://www.degruyter.com/isbn/9781474472654")</f>
        <v>http://www.degruyter.com/isbn/9781474472654</v>
      </c>
      <c r="AI613" t="s">
        <v>24</v>
      </c>
      <c r="AL613" t="s">
        <v>83</v>
      </c>
      <c r="AM613">
        <v>1</v>
      </c>
      <c r="AN613" s="2">
        <v>9780748607686</v>
      </c>
    </row>
    <row r="614" spans="1:40" x14ac:dyDescent="0.3">
      <c r="A614" t="s">
        <v>3197</v>
      </c>
      <c r="B614" t="s">
        <v>1</v>
      </c>
      <c r="C614" t="s">
        <v>3198</v>
      </c>
      <c r="D614" t="s">
        <v>3199</v>
      </c>
      <c r="E614" t="s">
        <v>3200</v>
      </c>
      <c r="F614" t="s">
        <v>5</v>
      </c>
      <c r="G614" t="s">
        <v>6</v>
      </c>
      <c r="L614" t="s">
        <v>7</v>
      </c>
      <c r="M614">
        <v>2016</v>
      </c>
      <c r="N614" s="1">
        <v>42473</v>
      </c>
      <c r="O614" t="s">
        <v>1231</v>
      </c>
      <c r="P614">
        <v>1</v>
      </c>
      <c r="S614">
        <v>217.95</v>
      </c>
      <c r="T614">
        <v>250</v>
      </c>
      <c r="U614">
        <v>190</v>
      </c>
      <c r="V614" t="s">
        <v>42</v>
      </c>
      <c r="W614" t="s">
        <v>43</v>
      </c>
      <c r="X614" t="s">
        <v>44</v>
      </c>
      <c r="Y614" t="s">
        <v>45</v>
      </c>
      <c r="AF614" t="s">
        <v>13</v>
      </c>
      <c r="AG614" t="str">
        <f>HYPERLINK("https://doi.org/10.1515/9780748695461?locatt=mode:legacy")</f>
        <v>https://doi.org/10.1515/9780748695461?locatt=mode:legacy</v>
      </c>
      <c r="AH614" t="str">
        <f>HYPERLINK("http://www.degruyter.com/isbn/9780748695461")</f>
        <v>http://www.degruyter.com/isbn/9780748695461</v>
      </c>
      <c r="AI614" t="s">
        <v>180</v>
      </c>
      <c r="AL614" t="s">
        <v>47</v>
      </c>
      <c r="AM614">
        <v>1</v>
      </c>
      <c r="AN614" s="2">
        <v>9780748695454</v>
      </c>
    </row>
    <row r="615" spans="1:40" x14ac:dyDescent="0.3">
      <c r="A615" t="s">
        <v>3201</v>
      </c>
      <c r="B615" t="s">
        <v>1</v>
      </c>
      <c r="C615" t="s">
        <v>3202</v>
      </c>
      <c r="E615" t="s">
        <v>3203</v>
      </c>
      <c r="F615" t="s">
        <v>5</v>
      </c>
      <c r="G615" t="s">
        <v>6</v>
      </c>
      <c r="L615" t="s">
        <v>7</v>
      </c>
      <c r="M615">
        <v>1996</v>
      </c>
      <c r="N615" s="1">
        <v>44607</v>
      </c>
      <c r="O615" t="s">
        <v>3204</v>
      </c>
      <c r="P615">
        <v>1</v>
      </c>
      <c r="S615">
        <v>217.95</v>
      </c>
      <c r="T615">
        <v>250</v>
      </c>
      <c r="U615">
        <v>190</v>
      </c>
      <c r="V615" t="s">
        <v>847</v>
      </c>
      <c r="W615" t="s">
        <v>848</v>
      </c>
      <c r="X615" t="s">
        <v>20</v>
      </c>
      <c r="Y615" t="s">
        <v>3205</v>
      </c>
      <c r="AF615" t="s">
        <v>13</v>
      </c>
      <c r="AG615" t="str">
        <f>HYPERLINK("https://doi.org/10.1515/9781474468503")</f>
        <v>https://doi.org/10.1515/9781474468503</v>
      </c>
      <c r="AH615" t="str">
        <f>HYPERLINK("http://www.degruyter.com/isbn/9781474468503")</f>
        <v>http://www.degruyter.com/isbn/9781474468503</v>
      </c>
      <c r="AI615" t="s">
        <v>24</v>
      </c>
      <c r="AL615" t="s">
        <v>1070</v>
      </c>
      <c r="AM615">
        <v>1</v>
      </c>
      <c r="AN615" s="2">
        <v>9780748608492</v>
      </c>
    </row>
    <row r="616" spans="1:40" x14ac:dyDescent="0.3">
      <c r="A616" t="s">
        <v>3206</v>
      </c>
      <c r="B616" t="s">
        <v>1</v>
      </c>
      <c r="C616" t="s">
        <v>3207</v>
      </c>
      <c r="D616" t="s">
        <v>3208</v>
      </c>
      <c r="E616" t="s">
        <v>3209</v>
      </c>
      <c r="F616" t="s">
        <v>5</v>
      </c>
      <c r="G616" t="s">
        <v>6</v>
      </c>
      <c r="K616" t="s">
        <v>929</v>
      </c>
      <c r="L616" t="s">
        <v>7</v>
      </c>
      <c r="M616">
        <v>2019</v>
      </c>
      <c r="N616" s="1">
        <v>43713</v>
      </c>
      <c r="O616" t="s">
        <v>3210</v>
      </c>
      <c r="P616">
        <v>1</v>
      </c>
      <c r="V616" t="s">
        <v>79</v>
      </c>
      <c r="W616" t="s">
        <v>227</v>
      </c>
      <c r="X616" t="s">
        <v>228</v>
      </c>
      <c r="Y616" t="s">
        <v>229</v>
      </c>
      <c r="AF616" t="s">
        <v>13</v>
      </c>
      <c r="AG616" t="str">
        <f>HYPERLINK("https://doi.org/10.1515/9781474456234")</f>
        <v>https://doi.org/10.1515/9781474456234</v>
      </c>
      <c r="AH616" t="str">
        <f>HYPERLINK("http://www.degruyter.com/isbn/9781474456234")</f>
        <v>http://www.degruyter.com/isbn/9781474456234</v>
      </c>
      <c r="AI616" t="s">
        <v>280</v>
      </c>
      <c r="AM616">
        <v>1</v>
      </c>
      <c r="AN616" s="2"/>
    </row>
    <row r="617" spans="1:40" x14ac:dyDescent="0.3">
      <c r="A617" t="s">
        <v>3211</v>
      </c>
      <c r="B617" t="s">
        <v>1</v>
      </c>
      <c r="C617" t="s">
        <v>3212</v>
      </c>
      <c r="E617" t="s">
        <v>3213</v>
      </c>
      <c r="F617" t="s">
        <v>5</v>
      </c>
      <c r="G617" t="s">
        <v>6</v>
      </c>
      <c r="L617" t="s">
        <v>7</v>
      </c>
      <c r="M617">
        <v>2000</v>
      </c>
      <c r="N617" s="1">
        <v>44607</v>
      </c>
      <c r="O617" t="s">
        <v>3214</v>
      </c>
      <c r="P617">
        <v>1</v>
      </c>
      <c r="S617">
        <v>217.95</v>
      </c>
      <c r="T617">
        <v>250</v>
      </c>
      <c r="U617">
        <v>190</v>
      </c>
      <c r="V617" t="s">
        <v>42</v>
      </c>
      <c r="W617" t="s">
        <v>116</v>
      </c>
      <c r="X617" t="s">
        <v>116</v>
      </c>
      <c r="Y617" t="s">
        <v>117</v>
      </c>
      <c r="AF617" t="s">
        <v>13</v>
      </c>
      <c r="AG617" t="str">
        <f>HYPERLINK("https://doi.org/10.1515/9781474465717")</f>
        <v>https://doi.org/10.1515/9781474465717</v>
      </c>
      <c r="AH617" t="str">
        <f>HYPERLINK("http://www.degruyter.com/isbn/9781474465717")</f>
        <v>http://www.degruyter.com/isbn/9781474465717</v>
      </c>
      <c r="AI617" t="s">
        <v>68</v>
      </c>
      <c r="AL617" t="s">
        <v>47</v>
      </c>
      <c r="AM617">
        <v>1</v>
      </c>
      <c r="AN617" s="2">
        <v>9780748609796</v>
      </c>
    </row>
    <row r="618" spans="1:40" x14ac:dyDescent="0.3">
      <c r="A618" t="s">
        <v>3215</v>
      </c>
      <c r="B618" t="s">
        <v>1</v>
      </c>
      <c r="C618" t="s">
        <v>3216</v>
      </c>
      <c r="E618" t="s">
        <v>3217</v>
      </c>
      <c r="F618" t="s">
        <v>5</v>
      </c>
      <c r="G618" t="s">
        <v>6</v>
      </c>
      <c r="L618" t="s">
        <v>7</v>
      </c>
      <c r="M618">
        <v>2018</v>
      </c>
      <c r="N618" s="1">
        <v>44656</v>
      </c>
      <c r="O618" t="s">
        <v>3218</v>
      </c>
      <c r="P618">
        <v>1</v>
      </c>
      <c r="S618">
        <v>227.95</v>
      </c>
      <c r="T618">
        <v>260</v>
      </c>
      <c r="U618">
        <v>200</v>
      </c>
      <c r="V618" t="s">
        <v>42</v>
      </c>
      <c r="W618" t="s">
        <v>116</v>
      </c>
      <c r="X618" t="s">
        <v>116</v>
      </c>
      <c r="Y618" t="s">
        <v>117</v>
      </c>
      <c r="AF618" t="s">
        <v>13</v>
      </c>
      <c r="AG618" t="str">
        <f>HYPERLINK("https://doi.org/10.1515/9781474411561")</f>
        <v>https://doi.org/10.1515/9781474411561</v>
      </c>
      <c r="AH618" t="str">
        <f>HYPERLINK("http://www.degruyter.com/isbn/9781474411561")</f>
        <v>http://www.degruyter.com/isbn/9781474411561</v>
      </c>
      <c r="AI618" t="s">
        <v>46</v>
      </c>
      <c r="AL618" t="s">
        <v>47</v>
      </c>
      <c r="AM618">
        <v>1</v>
      </c>
      <c r="AN618" s="2">
        <v>9781474411554</v>
      </c>
    </row>
    <row r="619" spans="1:40" x14ac:dyDescent="0.3">
      <c r="A619" t="s">
        <v>3219</v>
      </c>
      <c r="B619" t="s">
        <v>1</v>
      </c>
      <c r="C619" t="s">
        <v>3220</v>
      </c>
      <c r="D619" t="s">
        <v>3221</v>
      </c>
      <c r="E619" t="s">
        <v>3222</v>
      </c>
      <c r="F619" t="s">
        <v>5</v>
      </c>
      <c r="G619" t="s">
        <v>6</v>
      </c>
      <c r="L619" t="s">
        <v>7</v>
      </c>
      <c r="M619">
        <v>2008</v>
      </c>
      <c r="N619" s="1">
        <v>39755</v>
      </c>
      <c r="O619" t="s">
        <v>3223</v>
      </c>
      <c r="P619">
        <v>1</v>
      </c>
      <c r="S619">
        <v>227.95</v>
      </c>
      <c r="T619">
        <v>260</v>
      </c>
      <c r="U619">
        <v>200</v>
      </c>
      <c r="V619" t="s">
        <v>42</v>
      </c>
      <c r="W619" t="s">
        <v>43</v>
      </c>
      <c r="X619" t="s">
        <v>1061</v>
      </c>
      <c r="Y619" t="s">
        <v>3224</v>
      </c>
      <c r="AF619" t="s">
        <v>13</v>
      </c>
      <c r="AG619" t="str">
        <f>HYPERLINK("https://doi.org/10.1515/9780748635481?locatt=mode:legacy")</f>
        <v>https://doi.org/10.1515/9780748635481?locatt=mode:legacy</v>
      </c>
      <c r="AH619" t="str">
        <f>HYPERLINK("http://www.degruyter.com/isbn/9780748635481")</f>
        <v>http://www.degruyter.com/isbn/9780748635481</v>
      </c>
      <c r="AI619" t="s">
        <v>68</v>
      </c>
      <c r="AJ619" t="s">
        <v>35</v>
      </c>
      <c r="AL619" t="s">
        <v>520</v>
      </c>
      <c r="AM619">
        <v>1</v>
      </c>
      <c r="AN619" s="2">
        <v>9780748635474</v>
      </c>
    </row>
    <row r="620" spans="1:40" x14ac:dyDescent="0.3">
      <c r="A620" t="s">
        <v>3225</v>
      </c>
      <c r="B620" t="s">
        <v>1</v>
      </c>
      <c r="C620" t="s">
        <v>3226</v>
      </c>
      <c r="E620" t="s">
        <v>3227</v>
      </c>
      <c r="F620" t="s">
        <v>5</v>
      </c>
      <c r="G620" t="s">
        <v>6</v>
      </c>
      <c r="L620" t="s">
        <v>7</v>
      </c>
      <c r="M620">
        <v>2007</v>
      </c>
      <c r="N620" s="1">
        <v>39408</v>
      </c>
      <c r="O620" t="s">
        <v>3228</v>
      </c>
      <c r="P620">
        <v>1</v>
      </c>
      <c r="S620">
        <v>227.95</v>
      </c>
      <c r="T620">
        <v>260</v>
      </c>
      <c r="U620">
        <v>200</v>
      </c>
      <c r="V620" t="s">
        <v>42</v>
      </c>
      <c r="W620" t="s">
        <v>116</v>
      </c>
      <c r="X620" t="s">
        <v>116</v>
      </c>
      <c r="Y620" t="s">
        <v>117</v>
      </c>
      <c r="AF620" t="s">
        <v>13</v>
      </c>
      <c r="AG620" t="str">
        <f>HYPERLINK("https://doi.org/10.1515/9780748633883?locatt=mode:legacy")</f>
        <v>https://doi.org/10.1515/9780748633883?locatt=mode:legacy</v>
      </c>
      <c r="AH620" t="str">
        <f>HYPERLINK("http://www.degruyter.com/isbn/9780748633883")</f>
        <v>http://www.degruyter.com/isbn/9780748633883</v>
      </c>
      <c r="AI620" t="s">
        <v>68</v>
      </c>
      <c r="AL620" t="s">
        <v>47</v>
      </c>
      <c r="AM620">
        <v>1</v>
      </c>
      <c r="AN620" s="2">
        <v>9780748633876</v>
      </c>
    </row>
    <row r="621" spans="1:40" x14ac:dyDescent="0.3">
      <c r="A621" t="s">
        <v>3229</v>
      </c>
      <c r="B621" t="s">
        <v>1</v>
      </c>
      <c r="C621" t="s">
        <v>3230</v>
      </c>
      <c r="D621" t="s">
        <v>3231</v>
      </c>
      <c r="E621" t="s">
        <v>3232</v>
      </c>
      <c r="F621" t="s">
        <v>5</v>
      </c>
      <c r="G621" t="s">
        <v>6</v>
      </c>
      <c r="L621" t="s">
        <v>7</v>
      </c>
      <c r="M621">
        <v>2000</v>
      </c>
      <c r="N621" s="1">
        <v>44719</v>
      </c>
      <c r="O621" t="s">
        <v>3233</v>
      </c>
      <c r="P621">
        <v>1</v>
      </c>
      <c r="S621">
        <v>217.95</v>
      </c>
      <c r="T621">
        <v>250</v>
      </c>
      <c r="U621">
        <v>190</v>
      </c>
      <c r="V621" t="s">
        <v>20</v>
      </c>
      <c r="W621" t="s">
        <v>21</v>
      </c>
      <c r="X621" t="s">
        <v>22</v>
      </c>
      <c r="Y621" t="s">
        <v>23</v>
      </c>
      <c r="AF621" t="s">
        <v>13</v>
      </c>
      <c r="AG621" t="str">
        <f>HYPERLINK("https://doi.org/10.1515/9781474469050")</f>
        <v>https://doi.org/10.1515/9781474469050</v>
      </c>
      <c r="AH621" t="str">
        <f>HYPERLINK("http://www.degruyter.com/isbn/9781474469050")</f>
        <v>http://www.degruyter.com/isbn/9781474469050</v>
      </c>
      <c r="AI621" t="s">
        <v>68</v>
      </c>
      <c r="AL621" t="s">
        <v>15</v>
      </c>
      <c r="AM621">
        <v>1</v>
      </c>
      <c r="AN621" s="2">
        <v>9781902930169</v>
      </c>
    </row>
    <row r="622" spans="1:40" x14ac:dyDescent="0.3">
      <c r="A622" t="s">
        <v>3234</v>
      </c>
      <c r="B622" t="s">
        <v>1</v>
      </c>
      <c r="C622" t="s">
        <v>3235</v>
      </c>
      <c r="D622" t="s">
        <v>3236</v>
      </c>
      <c r="E622" t="s">
        <v>3237</v>
      </c>
      <c r="F622" t="s">
        <v>5</v>
      </c>
      <c r="G622" t="s">
        <v>6</v>
      </c>
      <c r="L622" t="s">
        <v>7</v>
      </c>
      <c r="M622">
        <v>2018</v>
      </c>
      <c r="N622" s="1">
        <v>44644</v>
      </c>
      <c r="O622" t="s">
        <v>3238</v>
      </c>
      <c r="P622">
        <v>1</v>
      </c>
      <c r="S622">
        <v>253.95</v>
      </c>
      <c r="T622">
        <v>290</v>
      </c>
      <c r="U622">
        <v>220</v>
      </c>
      <c r="V622" t="s">
        <v>20</v>
      </c>
      <c r="W622" t="s">
        <v>21</v>
      </c>
      <c r="X622" t="s">
        <v>839</v>
      </c>
      <c r="Y622" t="s">
        <v>1850</v>
      </c>
      <c r="AF622" t="s">
        <v>13</v>
      </c>
      <c r="AG622" t="str">
        <f>HYPERLINK("https://doi.org/10.1515/9781474435116?locatt=mode:legacy")</f>
        <v>https://doi.org/10.1515/9781474435116?locatt=mode:legacy</v>
      </c>
      <c r="AH622" t="str">
        <f>HYPERLINK("http://www.degruyter.com/isbn/9781474435116")</f>
        <v>http://www.degruyter.com/isbn/9781474435116</v>
      </c>
      <c r="AI622" t="s">
        <v>46</v>
      </c>
      <c r="AJ622" t="s">
        <v>35</v>
      </c>
      <c r="AL622" t="s">
        <v>1346</v>
      </c>
      <c r="AM622">
        <v>1</v>
      </c>
      <c r="AN622" s="2">
        <v>9781474435093</v>
      </c>
    </row>
    <row r="623" spans="1:40" x14ac:dyDescent="0.3">
      <c r="A623" t="s">
        <v>3239</v>
      </c>
      <c r="B623" t="s">
        <v>1</v>
      </c>
      <c r="C623" t="s">
        <v>3240</v>
      </c>
      <c r="E623" t="s">
        <v>3241</v>
      </c>
      <c r="F623" t="s">
        <v>5</v>
      </c>
      <c r="G623" t="s">
        <v>6</v>
      </c>
      <c r="L623" t="s">
        <v>7</v>
      </c>
      <c r="M623">
        <v>2006</v>
      </c>
      <c r="N623" s="1">
        <v>38902</v>
      </c>
      <c r="O623" t="s">
        <v>3242</v>
      </c>
      <c r="P623">
        <v>1</v>
      </c>
      <c r="S623">
        <v>217.95</v>
      </c>
      <c r="T623">
        <v>250</v>
      </c>
      <c r="U623">
        <v>190</v>
      </c>
      <c r="V623" t="s">
        <v>58</v>
      </c>
      <c r="W623" t="s">
        <v>59</v>
      </c>
      <c r="X623" t="s">
        <v>60</v>
      </c>
      <c r="Y623" t="s">
        <v>3243</v>
      </c>
      <c r="AF623" t="s">
        <v>13</v>
      </c>
      <c r="AG623" t="str">
        <f>HYPERLINK("https://doi.org/10.1515/9780748627011")</f>
        <v>https://doi.org/10.1515/9780748627011</v>
      </c>
      <c r="AH623" t="str">
        <f>HYPERLINK("http://www.degruyter.com/isbn/9780748627011")</f>
        <v>http://www.degruyter.com/isbn/9780748627011</v>
      </c>
      <c r="AI623" t="s">
        <v>68</v>
      </c>
      <c r="AL623" t="s">
        <v>62</v>
      </c>
      <c r="AM623">
        <v>1</v>
      </c>
      <c r="AN623" s="2">
        <v>9780748622467</v>
      </c>
    </row>
    <row r="624" spans="1:40" x14ac:dyDescent="0.3">
      <c r="A624" t="s">
        <v>3244</v>
      </c>
      <c r="B624" t="s">
        <v>1</v>
      </c>
      <c r="C624" t="s">
        <v>3245</v>
      </c>
      <c r="D624" t="s">
        <v>3246</v>
      </c>
      <c r="E624" t="s">
        <v>3247</v>
      </c>
      <c r="F624" t="s">
        <v>5</v>
      </c>
      <c r="G624" t="s">
        <v>6</v>
      </c>
      <c r="L624" t="s">
        <v>7</v>
      </c>
      <c r="M624">
        <v>2019</v>
      </c>
      <c r="N624" s="1">
        <v>44644</v>
      </c>
      <c r="O624" t="s">
        <v>3248</v>
      </c>
      <c r="P624">
        <v>1</v>
      </c>
      <c r="S624">
        <v>253.95</v>
      </c>
      <c r="T624">
        <v>290</v>
      </c>
      <c r="U624">
        <v>220</v>
      </c>
      <c r="V624" t="s">
        <v>20</v>
      </c>
      <c r="W624" t="s">
        <v>470</v>
      </c>
      <c r="X624" t="s">
        <v>3249</v>
      </c>
      <c r="Y624" t="s">
        <v>3250</v>
      </c>
      <c r="AF624" t="s">
        <v>13</v>
      </c>
      <c r="AG624" t="str">
        <f>HYPERLINK("https://doi.org/10.1515/9781474441551?locatt=mode:legacy")</f>
        <v>https://doi.org/10.1515/9781474441551?locatt=mode:legacy</v>
      </c>
      <c r="AH624" t="str">
        <f>HYPERLINK("http://www.degruyter.com/isbn/9781474441551")</f>
        <v>http://www.degruyter.com/isbn/9781474441551</v>
      </c>
      <c r="AI624" t="s">
        <v>280</v>
      </c>
      <c r="AL624" t="s">
        <v>15</v>
      </c>
      <c r="AM624">
        <v>1</v>
      </c>
      <c r="AN624" s="2">
        <v>9781474441537</v>
      </c>
    </row>
    <row r="625" spans="1:40" x14ac:dyDescent="0.3">
      <c r="A625" t="s">
        <v>3251</v>
      </c>
      <c r="B625" t="s">
        <v>1</v>
      </c>
      <c r="C625" t="s">
        <v>3252</v>
      </c>
      <c r="E625" t="s">
        <v>3253</v>
      </c>
      <c r="F625" t="s">
        <v>5</v>
      </c>
      <c r="G625" t="s">
        <v>6</v>
      </c>
      <c r="L625" t="s">
        <v>7</v>
      </c>
      <c r="M625">
        <v>2004</v>
      </c>
      <c r="N625" s="1">
        <v>38134</v>
      </c>
      <c r="O625" t="s">
        <v>1503</v>
      </c>
      <c r="P625">
        <v>1</v>
      </c>
      <c r="S625">
        <v>253.95</v>
      </c>
      <c r="T625">
        <v>290</v>
      </c>
      <c r="U625">
        <v>220</v>
      </c>
      <c r="V625" t="s">
        <v>79</v>
      </c>
      <c r="W625" t="s">
        <v>783</v>
      </c>
      <c r="X625" t="s">
        <v>783</v>
      </c>
      <c r="Y625" t="s">
        <v>784</v>
      </c>
      <c r="AF625" t="s">
        <v>13</v>
      </c>
      <c r="AG625" t="str">
        <f>HYPERLINK("https://doi.org/10.1515/9781474469289")</f>
        <v>https://doi.org/10.1515/9781474469289</v>
      </c>
      <c r="AH625" t="str">
        <f>HYPERLINK("http://www.degruyter.com/isbn/9781474469289")</f>
        <v>http://www.degruyter.com/isbn/9781474469289</v>
      </c>
      <c r="AI625" t="s">
        <v>68</v>
      </c>
      <c r="AL625" t="s">
        <v>83</v>
      </c>
      <c r="AM625">
        <v>1</v>
      </c>
      <c r="AN625" s="2">
        <v>9780748618422</v>
      </c>
    </row>
    <row r="626" spans="1:40" x14ac:dyDescent="0.3">
      <c r="A626" t="s">
        <v>3254</v>
      </c>
      <c r="B626" t="s">
        <v>1</v>
      </c>
      <c r="C626" t="s">
        <v>3255</v>
      </c>
      <c r="D626" t="s">
        <v>3256</v>
      </c>
      <c r="E626" t="s">
        <v>3257</v>
      </c>
      <c r="F626" t="s">
        <v>5</v>
      </c>
      <c r="G626" t="s">
        <v>6</v>
      </c>
      <c r="L626" t="s">
        <v>7</v>
      </c>
      <c r="M626">
        <v>2018</v>
      </c>
      <c r="N626" s="1">
        <v>44644</v>
      </c>
      <c r="O626" t="s">
        <v>3258</v>
      </c>
      <c r="P626">
        <v>1</v>
      </c>
      <c r="S626">
        <v>253.95</v>
      </c>
      <c r="T626">
        <v>290</v>
      </c>
      <c r="U626">
        <v>220</v>
      </c>
      <c r="V626" t="s">
        <v>20</v>
      </c>
      <c r="W626" t="s">
        <v>21</v>
      </c>
      <c r="X626" t="s">
        <v>458</v>
      </c>
      <c r="Y626" t="s">
        <v>459</v>
      </c>
      <c r="AF626" t="s">
        <v>13</v>
      </c>
      <c r="AG626" t="str">
        <f>HYPERLINK("https://doi.org/10.1515/9781474433242")</f>
        <v>https://doi.org/10.1515/9781474433242</v>
      </c>
      <c r="AH626" t="str">
        <f>HYPERLINK("http://www.degruyter.com/isbn/9781474433242")</f>
        <v>http://www.degruyter.com/isbn/9781474433242</v>
      </c>
      <c r="AI626" t="s">
        <v>46</v>
      </c>
      <c r="AJ626" t="s">
        <v>35</v>
      </c>
      <c r="AL626" t="s">
        <v>1346</v>
      </c>
      <c r="AM626">
        <v>1</v>
      </c>
      <c r="AN626" s="2">
        <v>9781474433228</v>
      </c>
    </row>
    <row r="627" spans="1:40" x14ac:dyDescent="0.3">
      <c r="A627" t="s">
        <v>3259</v>
      </c>
      <c r="B627" t="s">
        <v>1</v>
      </c>
      <c r="C627" t="s">
        <v>3260</v>
      </c>
      <c r="D627" t="s">
        <v>3261</v>
      </c>
      <c r="E627" t="s">
        <v>3262</v>
      </c>
      <c r="F627" t="s">
        <v>5</v>
      </c>
      <c r="G627" t="s">
        <v>6</v>
      </c>
      <c r="L627" t="s">
        <v>7</v>
      </c>
      <c r="M627">
        <v>1996</v>
      </c>
      <c r="N627" s="1">
        <v>44895</v>
      </c>
      <c r="O627" t="s">
        <v>3263</v>
      </c>
      <c r="P627">
        <v>1</v>
      </c>
      <c r="S627">
        <v>217.95</v>
      </c>
      <c r="T627">
        <v>250</v>
      </c>
      <c r="U627">
        <v>190</v>
      </c>
      <c r="V627" t="s">
        <v>79</v>
      </c>
      <c r="W627" t="s">
        <v>783</v>
      </c>
      <c r="X627" t="s">
        <v>783</v>
      </c>
      <c r="Y627" t="s">
        <v>784</v>
      </c>
      <c r="AF627" t="s">
        <v>13</v>
      </c>
      <c r="AH627" t="str">
        <f>HYPERLINK("http://www.degruyter.com/isbn/9780585060729")</f>
        <v>http://www.degruyter.com/isbn/9780585060729</v>
      </c>
      <c r="AI627" t="s">
        <v>24</v>
      </c>
      <c r="AL627" t="s">
        <v>83</v>
      </c>
      <c r="AM627">
        <v>1</v>
      </c>
      <c r="AN627" s="2">
        <v>9780748608195</v>
      </c>
    </row>
    <row r="628" spans="1:40" x14ac:dyDescent="0.3">
      <c r="A628" t="s">
        <v>3264</v>
      </c>
      <c r="B628" t="s">
        <v>1</v>
      </c>
      <c r="C628" t="s">
        <v>3265</v>
      </c>
      <c r="D628" t="s">
        <v>3266</v>
      </c>
      <c r="E628" t="s">
        <v>3267</v>
      </c>
      <c r="F628" t="s">
        <v>5</v>
      </c>
      <c r="G628" t="s">
        <v>6</v>
      </c>
      <c r="L628" t="s">
        <v>7</v>
      </c>
      <c r="M628">
        <v>2018</v>
      </c>
      <c r="N628" s="1">
        <v>44644</v>
      </c>
      <c r="O628" t="s">
        <v>3258</v>
      </c>
      <c r="P628">
        <v>1</v>
      </c>
      <c r="S628">
        <v>253.95</v>
      </c>
      <c r="T628">
        <v>290</v>
      </c>
      <c r="U628">
        <v>220</v>
      </c>
      <c r="V628" t="s">
        <v>20</v>
      </c>
      <c r="W628" t="s">
        <v>21</v>
      </c>
      <c r="X628" t="s">
        <v>458</v>
      </c>
      <c r="Y628" t="s">
        <v>459</v>
      </c>
      <c r="AF628" t="s">
        <v>13</v>
      </c>
      <c r="AG628" t="str">
        <f>HYPERLINK("https://doi.org/10.1515/9781474433280")</f>
        <v>https://doi.org/10.1515/9781474433280</v>
      </c>
      <c r="AH628" t="str">
        <f>HYPERLINK("http://www.degruyter.com/isbn/9781474433280")</f>
        <v>http://www.degruyter.com/isbn/9781474433280</v>
      </c>
      <c r="AI628" t="s">
        <v>46</v>
      </c>
      <c r="AL628" t="s">
        <v>15</v>
      </c>
      <c r="AM628">
        <v>1</v>
      </c>
      <c r="AN628" s="2">
        <v>9781474433266</v>
      </c>
    </row>
    <row r="629" spans="1:40" x14ac:dyDescent="0.3">
      <c r="A629" t="s">
        <v>3268</v>
      </c>
      <c r="B629" t="s">
        <v>1</v>
      </c>
      <c r="C629" t="s">
        <v>3269</v>
      </c>
      <c r="E629" t="s">
        <v>3270</v>
      </c>
      <c r="F629" t="s">
        <v>5</v>
      </c>
      <c r="G629" t="s">
        <v>6</v>
      </c>
      <c r="L629" t="s">
        <v>7</v>
      </c>
      <c r="M629">
        <v>2007</v>
      </c>
      <c r="N629" s="1">
        <v>44823</v>
      </c>
      <c r="O629" t="s">
        <v>3271</v>
      </c>
      <c r="P629">
        <v>1</v>
      </c>
      <c r="S629">
        <v>217.95</v>
      </c>
      <c r="T629">
        <v>250</v>
      </c>
      <c r="U629">
        <v>190</v>
      </c>
      <c r="V629" t="s">
        <v>268</v>
      </c>
      <c r="W629" t="s">
        <v>269</v>
      </c>
      <c r="X629" t="s">
        <v>269</v>
      </c>
      <c r="Y629" t="s">
        <v>411</v>
      </c>
      <c r="AF629" t="s">
        <v>13</v>
      </c>
      <c r="AG629" t="str">
        <f>HYPERLINK("https://doi.org/10.1515/9780748699469?locatt=mode:legacy")</f>
        <v>https://doi.org/10.1515/9780748699469?locatt=mode:legacy</v>
      </c>
      <c r="AH629" t="str">
        <f>HYPERLINK("http://www.degruyter.com/isbn/9780748699469")</f>
        <v>http://www.degruyter.com/isbn/9780748699469</v>
      </c>
      <c r="AI629" t="s">
        <v>1003</v>
      </c>
      <c r="AL629" t="s">
        <v>272</v>
      </c>
      <c r="AM629">
        <v>1</v>
      </c>
      <c r="AN629" s="2">
        <v>9781845860127</v>
      </c>
    </row>
    <row r="630" spans="1:40" x14ac:dyDescent="0.3">
      <c r="A630" t="s">
        <v>3272</v>
      </c>
      <c r="B630" t="s">
        <v>1</v>
      </c>
      <c r="C630" t="s">
        <v>3273</v>
      </c>
      <c r="E630" t="s">
        <v>3274</v>
      </c>
      <c r="F630" t="s">
        <v>5</v>
      </c>
      <c r="G630" t="s">
        <v>6</v>
      </c>
      <c r="L630" t="s">
        <v>7</v>
      </c>
      <c r="M630">
        <v>2011</v>
      </c>
      <c r="N630" s="1">
        <v>40702</v>
      </c>
      <c r="O630" t="s">
        <v>3275</v>
      </c>
      <c r="P630">
        <v>1</v>
      </c>
      <c r="S630">
        <v>217.95</v>
      </c>
      <c r="T630">
        <v>250</v>
      </c>
      <c r="U630">
        <v>190</v>
      </c>
      <c r="V630" t="s">
        <v>58</v>
      </c>
      <c r="W630" t="s">
        <v>59</v>
      </c>
      <c r="X630" t="s">
        <v>60</v>
      </c>
      <c r="Y630" t="s">
        <v>399</v>
      </c>
      <c r="AF630" t="s">
        <v>13</v>
      </c>
      <c r="AG630" t="str">
        <f>HYPERLINK("https://doi.org/10.1515/9780748647118?locatt=mode:legacy")</f>
        <v>https://doi.org/10.1515/9780748647118?locatt=mode:legacy</v>
      </c>
      <c r="AH630" t="str">
        <f>HYPERLINK("http://www.degruyter.com/isbn/9780748647118")</f>
        <v>http://www.degruyter.com/isbn/9780748647118</v>
      </c>
      <c r="AI630" t="s">
        <v>68</v>
      </c>
      <c r="AL630" t="s">
        <v>62</v>
      </c>
      <c r="AM630">
        <v>1</v>
      </c>
      <c r="AN630" s="2">
        <v>9780748637362</v>
      </c>
    </row>
    <row r="631" spans="1:40" x14ac:dyDescent="0.3">
      <c r="A631" t="s">
        <v>3276</v>
      </c>
      <c r="B631" t="s">
        <v>1</v>
      </c>
      <c r="C631" t="s">
        <v>3277</v>
      </c>
      <c r="D631" t="s">
        <v>3278</v>
      </c>
      <c r="E631" t="s">
        <v>3279</v>
      </c>
      <c r="F631" t="s">
        <v>5</v>
      </c>
      <c r="G631" t="s">
        <v>6</v>
      </c>
      <c r="L631" t="s">
        <v>7</v>
      </c>
      <c r="M631">
        <v>2016</v>
      </c>
      <c r="N631" s="1">
        <v>42494</v>
      </c>
      <c r="O631" t="s">
        <v>3280</v>
      </c>
      <c r="P631">
        <v>1</v>
      </c>
      <c r="S631">
        <v>99.95</v>
      </c>
      <c r="T631">
        <v>114</v>
      </c>
      <c r="U631">
        <v>84</v>
      </c>
      <c r="V631" t="s">
        <v>305</v>
      </c>
      <c r="W631" t="s">
        <v>650</v>
      </c>
      <c r="X631" t="s">
        <v>650</v>
      </c>
      <c r="Y631" t="s">
        <v>651</v>
      </c>
      <c r="AF631" t="s">
        <v>13</v>
      </c>
      <c r="AG631" t="str">
        <f>HYPERLINK("https://doi.org/10.1515/9781474414517?locatt=mode:legacy")</f>
        <v>https://doi.org/10.1515/9781474414517?locatt=mode:legacy</v>
      </c>
      <c r="AH631" t="str">
        <f>HYPERLINK("http://www.degruyter.com/isbn/9781474414517")</f>
        <v>http://www.degruyter.com/isbn/9781474414517</v>
      </c>
      <c r="AI631" t="s">
        <v>180</v>
      </c>
      <c r="AL631" t="s">
        <v>308</v>
      </c>
      <c r="AM631">
        <v>1</v>
      </c>
      <c r="AN631" s="2">
        <v>9781474414500</v>
      </c>
    </row>
    <row r="632" spans="1:40" x14ac:dyDescent="0.3">
      <c r="A632" t="s">
        <v>3281</v>
      </c>
      <c r="B632" t="s">
        <v>1</v>
      </c>
      <c r="C632" t="s">
        <v>3282</v>
      </c>
      <c r="E632" t="s">
        <v>3283</v>
      </c>
      <c r="F632" t="s">
        <v>5</v>
      </c>
      <c r="G632" t="s">
        <v>6</v>
      </c>
      <c r="L632" t="s">
        <v>7</v>
      </c>
      <c r="M632">
        <v>1994</v>
      </c>
      <c r="N632" s="1">
        <v>44607</v>
      </c>
      <c r="O632" t="s">
        <v>398</v>
      </c>
      <c r="P632">
        <v>1</v>
      </c>
      <c r="S632">
        <v>217.95</v>
      </c>
      <c r="T632">
        <v>250</v>
      </c>
      <c r="U632">
        <v>190</v>
      </c>
      <c r="V632" t="s">
        <v>58</v>
      </c>
      <c r="W632" t="s">
        <v>59</v>
      </c>
      <c r="X632" t="s">
        <v>60</v>
      </c>
      <c r="Y632" t="s">
        <v>145</v>
      </c>
      <c r="AF632" t="s">
        <v>13</v>
      </c>
      <c r="AG632" t="str">
        <f>HYPERLINK("https://doi.org/10.1515/9781474471572")</f>
        <v>https://doi.org/10.1515/9781474471572</v>
      </c>
      <c r="AH632" t="str">
        <f>HYPERLINK("http://www.degruyter.com/isbn/9781474471572")</f>
        <v>http://www.degruyter.com/isbn/9781474471572</v>
      </c>
      <c r="AI632" t="s">
        <v>24</v>
      </c>
      <c r="AL632" t="s">
        <v>62</v>
      </c>
      <c r="AM632">
        <v>1</v>
      </c>
      <c r="AN632" s="2">
        <v>9780748605255</v>
      </c>
    </row>
    <row r="633" spans="1:40" x14ac:dyDescent="0.3">
      <c r="A633" t="s">
        <v>3284</v>
      </c>
      <c r="B633" t="s">
        <v>1</v>
      </c>
      <c r="C633" t="s">
        <v>3285</v>
      </c>
      <c r="D633" t="s">
        <v>3286</v>
      </c>
      <c r="E633" t="s">
        <v>3287</v>
      </c>
      <c r="F633" t="s">
        <v>5</v>
      </c>
      <c r="G633" t="s">
        <v>6</v>
      </c>
      <c r="L633" t="s">
        <v>7</v>
      </c>
      <c r="M633">
        <v>2015</v>
      </c>
      <c r="N633" s="1">
        <v>42349</v>
      </c>
      <c r="O633" t="s">
        <v>3288</v>
      </c>
      <c r="P633">
        <v>1</v>
      </c>
      <c r="S633">
        <v>217.95</v>
      </c>
      <c r="T633">
        <v>250</v>
      </c>
      <c r="U633">
        <v>190</v>
      </c>
      <c r="V633" t="s">
        <v>20</v>
      </c>
      <c r="W633" t="s">
        <v>21</v>
      </c>
      <c r="X633" t="s">
        <v>22</v>
      </c>
      <c r="Y633" t="s">
        <v>489</v>
      </c>
      <c r="AF633" t="s">
        <v>13</v>
      </c>
      <c r="AG633" t="str">
        <f>HYPERLINK("https://doi.org/10.1515/9781474405683")</f>
        <v>https://doi.org/10.1515/9781474405683</v>
      </c>
      <c r="AH633" t="str">
        <f>HYPERLINK("http://www.degruyter.com/isbn/9781474405683")</f>
        <v>http://www.degruyter.com/isbn/9781474405683</v>
      </c>
      <c r="AI633" t="s">
        <v>34</v>
      </c>
      <c r="AL633" t="s">
        <v>15</v>
      </c>
      <c r="AM633">
        <v>1</v>
      </c>
      <c r="AN633" s="2">
        <v>9781474405676</v>
      </c>
    </row>
    <row r="634" spans="1:40" x14ac:dyDescent="0.3">
      <c r="A634" t="s">
        <v>3289</v>
      </c>
      <c r="B634" t="s">
        <v>1</v>
      </c>
      <c r="C634" t="s">
        <v>3290</v>
      </c>
      <c r="D634" t="s">
        <v>3291</v>
      </c>
      <c r="E634" t="s">
        <v>3292</v>
      </c>
      <c r="F634" t="s">
        <v>5</v>
      </c>
      <c r="G634" t="s">
        <v>6</v>
      </c>
      <c r="L634" t="s">
        <v>7</v>
      </c>
      <c r="M634">
        <v>2019</v>
      </c>
      <c r="N634" s="1">
        <v>44644</v>
      </c>
      <c r="O634" t="s">
        <v>3293</v>
      </c>
      <c r="P634">
        <v>1</v>
      </c>
      <c r="S634">
        <v>253.95</v>
      </c>
      <c r="T634">
        <v>290</v>
      </c>
      <c r="U634">
        <v>220</v>
      </c>
      <c r="V634" t="s">
        <v>79</v>
      </c>
      <c r="W634" t="s">
        <v>123</v>
      </c>
      <c r="X634" t="s">
        <v>123</v>
      </c>
      <c r="Y634" t="s">
        <v>124</v>
      </c>
      <c r="AF634" t="s">
        <v>13</v>
      </c>
      <c r="AG634" t="str">
        <f>HYPERLINK("https://doi.org/10.1515/9780748695508")</f>
        <v>https://doi.org/10.1515/9780748695508</v>
      </c>
      <c r="AH634" t="str">
        <f>HYPERLINK("http://www.degruyter.com/isbn/9780748695508")</f>
        <v>http://www.degruyter.com/isbn/9780748695508</v>
      </c>
      <c r="AI634" t="s">
        <v>280</v>
      </c>
      <c r="AL634" t="s">
        <v>83</v>
      </c>
      <c r="AM634">
        <v>1</v>
      </c>
      <c r="AN634" s="2">
        <v>9780748695492</v>
      </c>
    </row>
    <row r="635" spans="1:40" x14ac:dyDescent="0.3">
      <c r="A635" t="s">
        <v>3294</v>
      </c>
      <c r="B635" t="s">
        <v>1</v>
      </c>
      <c r="C635" t="s">
        <v>3295</v>
      </c>
      <c r="D635" t="s">
        <v>3296</v>
      </c>
      <c r="E635" t="s">
        <v>3297</v>
      </c>
      <c r="F635" t="s">
        <v>5</v>
      </c>
      <c r="G635" t="s">
        <v>6</v>
      </c>
      <c r="L635" t="s">
        <v>7</v>
      </c>
      <c r="M635">
        <v>2018</v>
      </c>
      <c r="N635" s="1">
        <v>44644</v>
      </c>
      <c r="O635" t="s">
        <v>3298</v>
      </c>
      <c r="P635">
        <v>1</v>
      </c>
      <c r="S635">
        <v>253.95</v>
      </c>
      <c r="T635">
        <v>290</v>
      </c>
      <c r="U635">
        <v>220</v>
      </c>
      <c r="V635" t="s">
        <v>79</v>
      </c>
      <c r="W635" t="s">
        <v>123</v>
      </c>
      <c r="X635" t="s">
        <v>123</v>
      </c>
      <c r="Y635" t="s">
        <v>124</v>
      </c>
      <c r="AF635" t="s">
        <v>13</v>
      </c>
      <c r="AG635" t="str">
        <f>HYPERLINK("https://doi.org/10.1515/9781474431170")</f>
        <v>https://doi.org/10.1515/9781474431170</v>
      </c>
      <c r="AH635" t="str">
        <f>HYPERLINK("http://www.degruyter.com/isbn/9781474431170")</f>
        <v>http://www.degruyter.com/isbn/9781474431170</v>
      </c>
      <c r="AI635" t="s">
        <v>46</v>
      </c>
      <c r="AL635" t="s">
        <v>83</v>
      </c>
      <c r="AM635">
        <v>1</v>
      </c>
      <c r="AN635" s="2">
        <v>9781474431156</v>
      </c>
    </row>
    <row r="636" spans="1:40" x14ac:dyDescent="0.3">
      <c r="A636" t="s">
        <v>3299</v>
      </c>
      <c r="B636" t="s">
        <v>1</v>
      </c>
      <c r="C636" t="s">
        <v>3300</v>
      </c>
      <c r="E636" t="s">
        <v>3301</v>
      </c>
      <c r="F636" t="s">
        <v>5</v>
      </c>
      <c r="G636" t="s">
        <v>6</v>
      </c>
      <c r="L636" t="s">
        <v>7</v>
      </c>
      <c r="M636">
        <v>2010</v>
      </c>
      <c r="N636" s="1">
        <v>40259</v>
      </c>
      <c r="O636" t="s">
        <v>3302</v>
      </c>
      <c r="P636">
        <v>1</v>
      </c>
      <c r="S636">
        <v>217.95</v>
      </c>
      <c r="T636">
        <v>250</v>
      </c>
      <c r="U636">
        <v>190</v>
      </c>
      <c r="V636" t="s">
        <v>20</v>
      </c>
      <c r="W636" t="s">
        <v>21</v>
      </c>
      <c r="X636" t="s">
        <v>22</v>
      </c>
      <c r="Y636" t="s">
        <v>23</v>
      </c>
      <c r="AF636" t="s">
        <v>13</v>
      </c>
      <c r="AG636" t="str">
        <f>HYPERLINK("https://doi.org/10.1515/9780748628292?locatt=mode:legacy")</f>
        <v>https://doi.org/10.1515/9780748628292?locatt=mode:legacy</v>
      </c>
      <c r="AH636" t="str">
        <f>HYPERLINK("http://www.degruyter.com/isbn/9780748628292")</f>
        <v>http://www.degruyter.com/isbn/9780748628292</v>
      </c>
      <c r="AI636" t="s">
        <v>68</v>
      </c>
      <c r="AL636" t="s">
        <v>15</v>
      </c>
      <c r="AM636">
        <v>1</v>
      </c>
      <c r="AN636" s="2">
        <v>9780748617869</v>
      </c>
    </row>
    <row r="637" spans="1:40" x14ac:dyDescent="0.3">
      <c r="A637" t="s">
        <v>3303</v>
      </c>
      <c r="B637" t="s">
        <v>1</v>
      </c>
      <c r="C637" t="s">
        <v>3304</v>
      </c>
      <c r="D637" t="s">
        <v>3305</v>
      </c>
      <c r="E637" t="s">
        <v>3306</v>
      </c>
      <c r="F637" t="s">
        <v>5</v>
      </c>
      <c r="G637" t="s">
        <v>6</v>
      </c>
      <c r="L637" t="s">
        <v>7</v>
      </c>
      <c r="M637">
        <v>2008</v>
      </c>
      <c r="N637" s="1">
        <v>44634</v>
      </c>
      <c r="O637" t="s">
        <v>3307</v>
      </c>
      <c r="P637">
        <v>1</v>
      </c>
      <c r="S637">
        <v>217.95</v>
      </c>
      <c r="T637">
        <v>250</v>
      </c>
      <c r="U637">
        <v>190</v>
      </c>
      <c r="V637" t="s">
        <v>268</v>
      </c>
      <c r="W637" t="s">
        <v>269</v>
      </c>
      <c r="X637" t="s">
        <v>269</v>
      </c>
      <c r="Y637" t="s">
        <v>411</v>
      </c>
      <c r="AF637" t="s">
        <v>13</v>
      </c>
      <c r="AG637" t="str">
        <f>HYPERLINK("https://doi.org/10.1515/9780748699537?locatt=mode:legacy")</f>
        <v>https://doi.org/10.1515/9780748699537?locatt=mode:legacy</v>
      </c>
      <c r="AH637" t="str">
        <f>HYPERLINK("http://www.degruyter.com/isbn/9780748699537")</f>
        <v>http://www.degruyter.com/isbn/9780748699537</v>
      </c>
      <c r="AI637" t="s">
        <v>412</v>
      </c>
      <c r="AL637" t="s">
        <v>272</v>
      </c>
      <c r="AM637">
        <v>1</v>
      </c>
      <c r="AN637" s="2">
        <v>9781845860455</v>
      </c>
    </row>
    <row r="638" spans="1:40" x14ac:dyDescent="0.3">
      <c r="A638" t="s">
        <v>3308</v>
      </c>
      <c r="B638" t="s">
        <v>1</v>
      </c>
      <c r="C638" t="s">
        <v>3309</v>
      </c>
      <c r="D638" t="s">
        <v>3310</v>
      </c>
      <c r="E638" t="s">
        <v>3311</v>
      </c>
      <c r="F638" t="s">
        <v>5</v>
      </c>
      <c r="G638" t="s">
        <v>6</v>
      </c>
      <c r="L638" t="s">
        <v>7</v>
      </c>
      <c r="M638">
        <v>2014</v>
      </c>
      <c r="N638" s="1">
        <v>41836</v>
      </c>
      <c r="O638" t="s">
        <v>3312</v>
      </c>
      <c r="P638">
        <v>1</v>
      </c>
      <c r="S638">
        <v>217.95</v>
      </c>
      <c r="T638">
        <v>250</v>
      </c>
      <c r="U638">
        <v>190</v>
      </c>
      <c r="V638" t="s">
        <v>20</v>
      </c>
      <c r="W638" t="s">
        <v>1018</v>
      </c>
      <c r="X638" t="s">
        <v>1018</v>
      </c>
      <c r="Y638" t="s">
        <v>2215</v>
      </c>
      <c r="AF638" t="s">
        <v>13</v>
      </c>
      <c r="AG638" t="str">
        <f>HYPERLINK("https://doi.org/10.1515/9780748676910?locatt=mode:legacy")</f>
        <v>https://doi.org/10.1515/9780748676910?locatt=mode:legacy</v>
      </c>
      <c r="AH638" t="str">
        <f>HYPERLINK("http://www.degruyter.com/isbn/9780748676910")</f>
        <v>http://www.degruyter.com/isbn/9780748676910</v>
      </c>
      <c r="AI638" t="s">
        <v>34</v>
      </c>
      <c r="AL638" t="s">
        <v>15</v>
      </c>
      <c r="AM638">
        <v>1</v>
      </c>
      <c r="AN638" s="2">
        <v>9780748676903</v>
      </c>
    </row>
    <row r="639" spans="1:40" x14ac:dyDescent="0.3">
      <c r="A639" t="s">
        <v>3313</v>
      </c>
      <c r="B639" t="s">
        <v>1</v>
      </c>
      <c r="C639" t="s">
        <v>3314</v>
      </c>
      <c r="D639" t="s">
        <v>3315</v>
      </c>
      <c r="E639" t="s">
        <v>3316</v>
      </c>
      <c r="F639" t="s">
        <v>5</v>
      </c>
      <c r="G639" t="s">
        <v>6</v>
      </c>
      <c r="L639" t="s">
        <v>7</v>
      </c>
      <c r="M639">
        <v>1999</v>
      </c>
      <c r="N639" s="1">
        <v>44607</v>
      </c>
      <c r="O639" t="s">
        <v>3317</v>
      </c>
      <c r="P639">
        <v>1</v>
      </c>
      <c r="S639">
        <v>217.95</v>
      </c>
      <c r="T639">
        <v>250</v>
      </c>
      <c r="U639">
        <v>190</v>
      </c>
      <c r="V639" t="s">
        <v>495</v>
      </c>
      <c r="W639" t="s">
        <v>496</v>
      </c>
      <c r="X639" t="s">
        <v>496</v>
      </c>
      <c r="Y639" t="s">
        <v>621</v>
      </c>
      <c r="AF639" t="s">
        <v>13</v>
      </c>
      <c r="AG639" t="str">
        <f>HYPERLINK("https://doi.org/10.1515/9781474465915")</f>
        <v>https://doi.org/10.1515/9781474465915</v>
      </c>
      <c r="AH639" t="str">
        <f>HYPERLINK("http://www.degruyter.com/isbn/9781474465915")</f>
        <v>http://www.degruyter.com/isbn/9781474465915</v>
      </c>
      <c r="AI639" t="s">
        <v>24</v>
      </c>
      <c r="AL639" t="s">
        <v>498</v>
      </c>
      <c r="AM639">
        <v>1</v>
      </c>
      <c r="AN639" s="2">
        <v>9780748662289</v>
      </c>
    </row>
    <row r="640" spans="1:40" x14ac:dyDescent="0.3">
      <c r="A640" t="s">
        <v>3318</v>
      </c>
      <c r="B640" t="s">
        <v>1</v>
      </c>
      <c r="C640" t="s">
        <v>3319</v>
      </c>
      <c r="D640" t="s">
        <v>3320</v>
      </c>
      <c r="E640" t="s">
        <v>3321</v>
      </c>
      <c r="F640" t="s">
        <v>5</v>
      </c>
      <c r="G640" t="s">
        <v>6</v>
      </c>
      <c r="L640" t="s">
        <v>7</v>
      </c>
      <c r="M640">
        <v>2000</v>
      </c>
      <c r="N640" s="1">
        <v>44607</v>
      </c>
      <c r="O640" t="s">
        <v>3322</v>
      </c>
      <c r="P640">
        <v>1</v>
      </c>
      <c r="S640">
        <v>217.95</v>
      </c>
      <c r="T640">
        <v>250</v>
      </c>
      <c r="U640">
        <v>190</v>
      </c>
      <c r="V640" t="s">
        <v>329</v>
      </c>
      <c r="W640" t="s">
        <v>330</v>
      </c>
      <c r="X640" t="s">
        <v>331</v>
      </c>
      <c r="Y640" t="s">
        <v>1035</v>
      </c>
      <c r="AF640" t="s">
        <v>13</v>
      </c>
      <c r="AG640" t="str">
        <f>HYPERLINK("https://doi.org/10.1515/9781474473361")</f>
        <v>https://doi.org/10.1515/9781474473361</v>
      </c>
      <c r="AH640" t="str">
        <f>HYPERLINK("http://www.degruyter.com/isbn/9781474473361")</f>
        <v>http://www.degruyter.com/isbn/9781474473361</v>
      </c>
      <c r="AI640" t="s">
        <v>68</v>
      </c>
      <c r="AL640" t="s">
        <v>333</v>
      </c>
      <c r="AM640">
        <v>1</v>
      </c>
      <c r="AN640" s="2">
        <v>9780748613908</v>
      </c>
    </row>
    <row r="641" spans="1:40" x14ac:dyDescent="0.3">
      <c r="A641" t="s">
        <v>3323</v>
      </c>
      <c r="B641" t="s">
        <v>1</v>
      </c>
      <c r="C641" t="s">
        <v>3324</v>
      </c>
      <c r="D641" t="s">
        <v>3325</v>
      </c>
      <c r="E641" t="s">
        <v>3326</v>
      </c>
      <c r="F641" t="s">
        <v>5</v>
      </c>
      <c r="G641" t="s">
        <v>6</v>
      </c>
      <c r="L641" t="s">
        <v>7</v>
      </c>
      <c r="M641">
        <v>2021</v>
      </c>
      <c r="N641" s="1">
        <v>44656</v>
      </c>
      <c r="O641" t="s">
        <v>3327</v>
      </c>
      <c r="P641">
        <v>1</v>
      </c>
      <c r="S641">
        <v>227.95</v>
      </c>
      <c r="T641">
        <v>260</v>
      </c>
      <c r="U641">
        <v>200</v>
      </c>
      <c r="V641" t="s">
        <v>42</v>
      </c>
      <c r="W641" t="s">
        <v>116</v>
      </c>
      <c r="X641" t="s">
        <v>116</v>
      </c>
      <c r="Y641" t="s">
        <v>117</v>
      </c>
      <c r="AF641" t="s">
        <v>13</v>
      </c>
      <c r="AG641" t="str">
        <f>HYPERLINK("https://doi.org/10.1515/9781474481304")</f>
        <v>https://doi.org/10.1515/9781474481304</v>
      </c>
      <c r="AH641" t="str">
        <f>HYPERLINK("http://www.degruyter.com/isbn/9781474481304")</f>
        <v>http://www.degruyter.com/isbn/9781474481304</v>
      </c>
      <c r="AI641" t="s">
        <v>110</v>
      </c>
      <c r="AL641" t="s">
        <v>47</v>
      </c>
      <c r="AM641">
        <v>1</v>
      </c>
      <c r="AN641" s="2">
        <v>9781474481298</v>
      </c>
    </row>
    <row r="642" spans="1:40" x14ac:dyDescent="0.3">
      <c r="A642" t="s">
        <v>3328</v>
      </c>
      <c r="B642" t="s">
        <v>1</v>
      </c>
      <c r="C642" t="s">
        <v>3329</v>
      </c>
      <c r="E642" t="s">
        <v>3330</v>
      </c>
      <c r="F642" t="s">
        <v>5</v>
      </c>
      <c r="G642" t="s">
        <v>6</v>
      </c>
      <c r="L642" t="s">
        <v>7</v>
      </c>
      <c r="M642">
        <v>1996</v>
      </c>
      <c r="N642" s="1">
        <v>44592</v>
      </c>
      <c r="O642" t="s">
        <v>3331</v>
      </c>
      <c r="P642">
        <v>1</v>
      </c>
      <c r="S642">
        <v>107.95</v>
      </c>
      <c r="T642">
        <v>122</v>
      </c>
      <c r="U642">
        <v>94</v>
      </c>
      <c r="V642" t="s">
        <v>20</v>
      </c>
      <c r="W642" t="s">
        <v>21</v>
      </c>
      <c r="X642" t="s">
        <v>22</v>
      </c>
      <c r="Y642" t="s">
        <v>23</v>
      </c>
      <c r="AF642" t="s">
        <v>13</v>
      </c>
      <c r="AG642" t="str">
        <f>HYPERLINK("https://doi.org/10.1515/9781474471725")</f>
        <v>https://doi.org/10.1515/9781474471725</v>
      </c>
      <c r="AH642" t="str">
        <f>HYPERLINK("http://www.degruyter.com/isbn/9781474471725")</f>
        <v>http://www.degruyter.com/isbn/9781474471725</v>
      </c>
      <c r="AI642" t="s">
        <v>24</v>
      </c>
      <c r="AL642" t="s">
        <v>15</v>
      </c>
      <c r="AM642">
        <v>1</v>
      </c>
      <c r="AN642" s="2">
        <v>9780748606771</v>
      </c>
    </row>
    <row r="643" spans="1:40" x14ac:dyDescent="0.3">
      <c r="A643" t="s">
        <v>3332</v>
      </c>
      <c r="B643" t="s">
        <v>1</v>
      </c>
      <c r="C643" t="s">
        <v>3333</v>
      </c>
      <c r="D643" t="s">
        <v>3334</v>
      </c>
      <c r="E643" t="s">
        <v>3335</v>
      </c>
      <c r="F643" t="s">
        <v>5</v>
      </c>
      <c r="G643" t="s">
        <v>6</v>
      </c>
      <c r="L643" t="s">
        <v>7</v>
      </c>
      <c r="M643">
        <v>2021</v>
      </c>
      <c r="N643" s="1">
        <v>44592</v>
      </c>
      <c r="O643" t="s">
        <v>3336</v>
      </c>
      <c r="P643">
        <v>1</v>
      </c>
      <c r="S643">
        <v>253.95</v>
      </c>
      <c r="T643">
        <v>290</v>
      </c>
      <c r="U643">
        <v>220</v>
      </c>
      <c r="V643" t="s">
        <v>58</v>
      </c>
      <c r="W643" t="s">
        <v>1135</v>
      </c>
      <c r="X643" t="s">
        <v>3337</v>
      </c>
      <c r="Y643" t="s">
        <v>3338</v>
      </c>
      <c r="AF643" t="s">
        <v>13</v>
      </c>
      <c r="AG643" t="str">
        <f>HYPERLINK("https://doi.org/10.1515/9781474419376")</f>
        <v>https://doi.org/10.1515/9781474419376</v>
      </c>
      <c r="AH643" t="str">
        <f>HYPERLINK("http://www.degruyter.com/isbn/9781474419376")</f>
        <v>http://www.degruyter.com/isbn/9781474419376</v>
      </c>
      <c r="AI643" t="s">
        <v>3339</v>
      </c>
      <c r="AL643" t="s">
        <v>62</v>
      </c>
      <c r="AM643">
        <v>1</v>
      </c>
      <c r="AN643" s="2">
        <v>9781474419369</v>
      </c>
    </row>
    <row r="644" spans="1:40" x14ac:dyDescent="0.3">
      <c r="A644" t="s">
        <v>3340</v>
      </c>
      <c r="B644" t="s">
        <v>1</v>
      </c>
      <c r="C644" t="s">
        <v>3341</v>
      </c>
      <c r="D644" t="s">
        <v>27</v>
      </c>
      <c r="E644" t="s">
        <v>3342</v>
      </c>
      <c r="F644" t="s">
        <v>5</v>
      </c>
      <c r="G644" t="s">
        <v>6</v>
      </c>
      <c r="L644" t="s">
        <v>7</v>
      </c>
      <c r="M644">
        <v>1999</v>
      </c>
      <c r="N644" s="1">
        <v>44599</v>
      </c>
      <c r="O644" t="s">
        <v>3343</v>
      </c>
      <c r="P644">
        <v>1</v>
      </c>
      <c r="S644">
        <v>217.95</v>
      </c>
      <c r="T644">
        <v>250</v>
      </c>
      <c r="U644">
        <v>190</v>
      </c>
      <c r="V644" t="s">
        <v>58</v>
      </c>
      <c r="W644" t="s">
        <v>59</v>
      </c>
      <c r="X644" t="s">
        <v>60</v>
      </c>
      <c r="Y644" t="s">
        <v>169</v>
      </c>
      <c r="AF644" t="s">
        <v>13</v>
      </c>
      <c r="AG644" t="str">
        <f>HYPERLINK("https://doi.org/10.1515/9781474464307")</f>
        <v>https://doi.org/10.1515/9781474464307</v>
      </c>
      <c r="AH644" t="str">
        <f>HYPERLINK("http://www.degruyter.com/isbn/9781474464307")</f>
        <v>http://www.degruyter.com/isbn/9781474464307</v>
      </c>
      <c r="AI644" t="s">
        <v>24</v>
      </c>
      <c r="AL644" t="s">
        <v>62</v>
      </c>
      <c r="AM644">
        <v>1</v>
      </c>
      <c r="AN644" s="2">
        <v>9780748611775</v>
      </c>
    </row>
    <row r="645" spans="1:40" x14ac:dyDescent="0.3">
      <c r="A645" t="s">
        <v>3344</v>
      </c>
      <c r="B645" t="s">
        <v>1</v>
      </c>
      <c r="C645" t="s">
        <v>3345</v>
      </c>
      <c r="D645" t="s">
        <v>3346</v>
      </c>
      <c r="E645" t="s">
        <v>3347</v>
      </c>
      <c r="F645" t="s">
        <v>5</v>
      </c>
      <c r="G645" t="s">
        <v>6</v>
      </c>
      <c r="L645" t="s">
        <v>7</v>
      </c>
      <c r="M645">
        <v>2019</v>
      </c>
      <c r="N645" s="1">
        <v>44644</v>
      </c>
      <c r="O645" t="s">
        <v>3348</v>
      </c>
      <c r="P645">
        <v>1</v>
      </c>
      <c r="S645">
        <v>217.95</v>
      </c>
      <c r="T645">
        <v>250</v>
      </c>
      <c r="U645">
        <v>190</v>
      </c>
      <c r="V645" t="s">
        <v>20</v>
      </c>
      <c r="W645" t="s">
        <v>21</v>
      </c>
      <c r="X645" t="s">
        <v>22</v>
      </c>
      <c r="Y645" t="s">
        <v>23</v>
      </c>
      <c r="AF645" t="s">
        <v>13</v>
      </c>
      <c r="AG645" t="str">
        <f>HYPERLINK("https://doi.org/10.1515/9781474445801?locatt=mode:legacy")</f>
        <v>https://doi.org/10.1515/9781474445801?locatt=mode:legacy</v>
      </c>
      <c r="AH645" t="str">
        <f>HYPERLINK("http://www.degruyter.com/isbn/9781474445801")</f>
        <v>http://www.degruyter.com/isbn/9781474445801</v>
      </c>
      <c r="AI645" t="s">
        <v>280</v>
      </c>
      <c r="AL645" t="s">
        <v>15</v>
      </c>
      <c r="AM645">
        <v>1</v>
      </c>
      <c r="AN645" s="2">
        <v>9781474445788</v>
      </c>
    </row>
    <row r="646" spans="1:40" x14ac:dyDescent="0.3">
      <c r="A646" t="s">
        <v>3349</v>
      </c>
      <c r="B646" t="s">
        <v>1</v>
      </c>
      <c r="C646" t="s">
        <v>3350</v>
      </c>
      <c r="D646" t="s">
        <v>3351</v>
      </c>
      <c r="E646" t="s">
        <v>3352</v>
      </c>
      <c r="F646" t="s">
        <v>5</v>
      </c>
      <c r="G646" t="s">
        <v>6</v>
      </c>
      <c r="L646" t="s">
        <v>7</v>
      </c>
      <c r="M646">
        <v>2002</v>
      </c>
      <c r="N646" s="1">
        <v>44607</v>
      </c>
      <c r="O646" t="s">
        <v>3353</v>
      </c>
      <c r="P646">
        <v>1</v>
      </c>
      <c r="S646">
        <v>217.95</v>
      </c>
      <c r="T646">
        <v>250</v>
      </c>
      <c r="U646">
        <v>190</v>
      </c>
      <c r="V646" t="s">
        <v>20</v>
      </c>
      <c r="W646" t="s">
        <v>21</v>
      </c>
      <c r="X646" t="s">
        <v>22</v>
      </c>
      <c r="Y646" t="s">
        <v>23</v>
      </c>
      <c r="AF646" t="s">
        <v>13</v>
      </c>
      <c r="AG646" t="str">
        <f>HYPERLINK("https://doi.org/10.1515/9781474471190")</f>
        <v>https://doi.org/10.1515/9781474471190</v>
      </c>
      <c r="AH646" t="str">
        <f>HYPERLINK("http://www.degruyter.com/isbn/9781474471190")</f>
        <v>http://www.degruyter.com/isbn/9781474471190</v>
      </c>
      <c r="AI646" t="s">
        <v>68</v>
      </c>
      <c r="AL646" t="s">
        <v>15</v>
      </c>
      <c r="AM646">
        <v>1</v>
      </c>
      <c r="AN646" s="2">
        <v>9780748616992</v>
      </c>
    </row>
    <row r="647" spans="1:40" x14ac:dyDescent="0.3">
      <c r="A647" t="s">
        <v>3354</v>
      </c>
      <c r="B647" t="s">
        <v>1</v>
      </c>
      <c r="C647" t="s">
        <v>3355</v>
      </c>
      <c r="D647" t="s">
        <v>1146</v>
      </c>
      <c r="E647" t="s">
        <v>3356</v>
      </c>
      <c r="F647" t="s">
        <v>5</v>
      </c>
      <c r="G647" t="s">
        <v>6</v>
      </c>
      <c r="L647" t="s">
        <v>7</v>
      </c>
      <c r="M647">
        <v>1998</v>
      </c>
      <c r="N647" s="1">
        <v>44599</v>
      </c>
      <c r="O647" t="s">
        <v>3357</v>
      </c>
      <c r="P647">
        <v>1</v>
      </c>
      <c r="S647">
        <v>217.95</v>
      </c>
      <c r="T647">
        <v>250</v>
      </c>
      <c r="U647">
        <v>190</v>
      </c>
      <c r="V647" t="s">
        <v>58</v>
      </c>
      <c r="W647" t="s">
        <v>808</v>
      </c>
      <c r="X647" t="s">
        <v>3096</v>
      </c>
      <c r="Y647" t="s">
        <v>3097</v>
      </c>
      <c r="AF647" t="s">
        <v>13</v>
      </c>
      <c r="AG647" t="str">
        <f>HYPERLINK("https://doi.org/10.1515/9781474466004")</f>
        <v>https://doi.org/10.1515/9781474466004</v>
      </c>
      <c r="AH647" t="str">
        <f>HYPERLINK("http://www.degruyter.com/isbn/9781474466004")</f>
        <v>http://www.degruyter.com/isbn/9781474466004</v>
      </c>
      <c r="AI647" t="s">
        <v>24</v>
      </c>
      <c r="AL647" t="s">
        <v>62</v>
      </c>
      <c r="AM647">
        <v>1</v>
      </c>
      <c r="AN647" s="2">
        <v>9780748607761</v>
      </c>
    </row>
    <row r="648" spans="1:40" x14ac:dyDescent="0.3">
      <c r="A648" t="s">
        <v>3358</v>
      </c>
      <c r="B648" t="s">
        <v>1</v>
      </c>
      <c r="C648" t="s">
        <v>3359</v>
      </c>
      <c r="D648" t="s">
        <v>3360</v>
      </c>
      <c r="E648" t="s">
        <v>3361</v>
      </c>
      <c r="F648" t="s">
        <v>5</v>
      </c>
      <c r="G648" t="s">
        <v>6</v>
      </c>
      <c r="L648" t="s">
        <v>7</v>
      </c>
      <c r="M648">
        <v>2007</v>
      </c>
      <c r="N648" s="1">
        <v>39093</v>
      </c>
      <c r="O648" t="s">
        <v>3362</v>
      </c>
      <c r="P648">
        <v>1</v>
      </c>
      <c r="S648">
        <v>253.95</v>
      </c>
      <c r="T648">
        <v>290</v>
      </c>
      <c r="U648">
        <v>220</v>
      </c>
      <c r="V648" t="s">
        <v>9</v>
      </c>
      <c r="W648" t="s">
        <v>10</v>
      </c>
      <c r="X648" t="s">
        <v>11</v>
      </c>
      <c r="Y648" t="s">
        <v>12</v>
      </c>
      <c r="AF648" t="s">
        <v>13</v>
      </c>
      <c r="AG648" t="str">
        <f>HYPERLINK("https://doi.org/10.1515/9780748628940?locatt=mode:legacy")</f>
        <v>https://doi.org/10.1515/9780748628940?locatt=mode:legacy</v>
      </c>
      <c r="AH648" t="str">
        <f>HYPERLINK("http://www.degruyter.com/isbn/9780748628940")</f>
        <v>http://www.degruyter.com/isbn/9780748628940</v>
      </c>
      <c r="AI648" t="s">
        <v>68</v>
      </c>
      <c r="AL648" t="s">
        <v>15</v>
      </c>
      <c r="AM648">
        <v>1</v>
      </c>
      <c r="AN648" s="2">
        <v>9780748619061</v>
      </c>
    </row>
    <row r="649" spans="1:40" x14ac:dyDescent="0.3">
      <c r="A649" t="s">
        <v>3363</v>
      </c>
      <c r="B649" t="s">
        <v>1</v>
      </c>
      <c r="C649" t="s">
        <v>3364</v>
      </c>
      <c r="D649" t="s">
        <v>27</v>
      </c>
      <c r="E649" t="s">
        <v>3365</v>
      </c>
      <c r="F649" t="s">
        <v>5</v>
      </c>
      <c r="G649" t="s">
        <v>6</v>
      </c>
      <c r="L649" t="s">
        <v>7</v>
      </c>
      <c r="M649">
        <v>2004</v>
      </c>
      <c r="N649" s="1">
        <v>44719</v>
      </c>
      <c r="O649" t="s">
        <v>3366</v>
      </c>
      <c r="P649">
        <v>1</v>
      </c>
      <c r="S649">
        <v>217.95</v>
      </c>
      <c r="T649">
        <v>250</v>
      </c>
      <c r="U649">
        <v>190</v>
      </c>
      <c r="V649" t="s">
        <v>98</v>
      </c>
      <c r="W649" t="s">
        <v>99</v>
      </c>
      <c r="X649" t="s">
        <v>386</v>
      </c>
      <c r="Y649" t="s">
        <v>3367</v>
      </c>
      <c r="AF649" t="s">
        <v>13</v>
      </c>
      <c r="AG649" t="str">
        <f>HYPERLINK("https://doi.org/10.1515/9781474469265")</f>
        <v>https://doi.org/10.1515/9781474469265</v>
      </c>
      <c r="AH649" t="str">
        <f>HYPERLINK("http://www.degruyter.com/isbn/9781474469265")</f>
        <v>http://www.degruyter.com/isbn/9781474469265</v>
      </c>
      <c r="AI649" t="s">
        <v>68</v>
      </c>
      <c r="AL649" t="s">
        <v>102</v>
      </c>
      <c r="AM649">
        <v>1</v>
      </c>
      <c r="AN649" s="2">
        <v>9780748616893</v>
      </c>
    </row>
    <row r="650" spans="1:40" x14ac:dyDescent="0.3">
      <c r="A650" t="s">
        <v>3368</v>
      </c>
      <c r="B650" t="s">
        <v>1</v>
      </c>
      <c r="C650" t="s">
        <v>3369</v>
      </c>
      <c r="E650" t="s">
        <v>3370</v>
      </c>
      <c r="F650" t="s">
        <v>5</v>
      </c>
      <c r="G650" t="s">
        <v>6</v>
      </c>
      <c r="L650" t="s">
        <v>7</v>
      </c>
      <c r="M650">
        <v>2017</v>
      </c>
      <c r="N650" s="1">
        <v>42865</v>
      </c>
      <c r="O650" t="s">
        <v>3371</v>
      </c>
      <c r="P650">
        <v>1</v>
      </c>
      <c r="S650">
        <v>253.95</v>
      </c>
      <c r="T650">
        <v>290</v>
      </c>
      <c r="U650">
        <v>220</v>
      </c>
      <c r="V650" t="s">
        <v>79</v>
      </c>
      <c r="W650" t="s">
        <v>123</v>
      </c>
      <c r="X650" t="s">
        <v>123</v>
      </c>
      <c r="Y650" t="s">
        <v>124</v>
      </c>
      <c r="AF650" t="s">
        <v>13</v>
      </c>
      <c r="AG650" t="str">
        <f>HYPERLINK("https://doi.org/10.1515/9781474422673?locatt=mode:legacy")</f>
        <v>https://doi.org/10.1515/9781474422673?locatt=mode:legacy</v>
      </c>
      <c r="AH650" t="str">
        <f>HYPERLINK("http://www.degruyter.com/isbn/9781474422673")</f>
        <v>http://www.degruyter.com/isbn/9781474422673</v>
      </c>
      <c r="AI650" t="s">
        <v>222</v>
      </c>
      <c r="AL650" t="s">
        <v>83</v>
      </c>
      <c r="AM650">
        <v>1</v>
      </c>
      <c r="AN650" s="2">
        <v>9781474422659</v>
      </c>
    </row>
    <row r="651" spans="1:40" x14ac:dyDescent="0.3">
      <c r="A651" t="s">
        <v>3372</v>
      </c>
      <c r="B651" t="s">
        <v>1</v>
      </c>
      <c r="C651" t="s">
        <v>3373</v>
      </c>
      <c r="D651" t="s">
        <v>3374</v>
      </c>
      <c r="E651" t="s">
        <v>3375</v>
      </c>
      <c r="F651" t="s">
        <v>5</v>
      </c>
      <c r="G651" t="s">
        <v>6</v>
      </c>
      <c r="L651" t="s">
        <v>7</v>
      </c>
      <c r="M651">
        <v>2018</v>
      </c>
      <c r="N651" s="1">
        <v>44644</v>
      </c>
      <c r="O651" t="s">
        <v>3376</v>
      </c>
      <c r="P651">
        <v>1</v>
      </c>
      <c r="S651">
        <v>217.95</v>
      </c>
      <c r="T651">
        <v>250</v>
      </c>
      <c r="U651">
        <v>190</v>
      </c>
      <c r="V651" t="s">
        <v>98</v>
      </c>
      <c r="W651" t="s">
        <v>99</v>
      </c>
      <c r="X651" t="s">
        <v>386</v>
      </c>
      <c r="Y651" t="s">
        <v>387</v>
      </c>
      <c r="AF651" t="s">
        <v>13</v>
      </c>
      <c r="AG651" t="str">
        <f>HYPERLINK("https://doi.org/10.1515/9781474425049?locatt=mode:legacy")</f>
        <v>https://doi.org/10.1515/9781474425049?locatt=mode:legacy</v>
      </c>
      <c r="AH651" t="str">
        <f>HYPERLINK("http://www.degruyter.com/isbn/9781474425049")</f>
        <v>http://www.degruyter.com/isbn/9781474425049</v>
      </c>
      <c r="AI651" t="s">
        <v>46</v>
      </c>
      <c r="AL651" t="s">
        <v>102</v>
      </c>
      <c r="AM651">
        <v>1</v>
      </c>
      <c r="AN651" s="2">
        <v>9781474425032</v>
      </c>
    </row>
    <row r="652" spans="1:40" x14ac:dyDescent="0.3">
      <c r="A652" t="s">
        <v>3377</v>
      </c>
      <c r="B652" t="s">
        <v>1</v>
      </c>
      <c r="C652" t="s">
        <v>3378</v>
      </c>
      <c r="D652" t="s">
        <v>3379</v>
      </c>
      <c r="E652" t="s">
        <v>3380</v>
      </c>
      <c r="F652" t="s">
        <v>5</v>
      </c>
      <c r="G652" t="s">
        <v>6</v>
      </c>
      <c r="L652" t="s">
        <v>7</v>
      </c>
      <c r="M652">
        <v>2007</v>
      </c>
      <c r="N652" s="1">
        <v>39275</v>
      </c>
      <c r="O652" t="s">
        <v>3381</v>
      </c>
      <c r="P652">
        <v>1</v>
      </c>
      <c r="S652">
        <v>253.95</v>
      </c>
      <c r="T652">
        <v>290</v>
      </c>
      <c r="U652">
        <v>220</v>
      </c>
      <c r="V652" t="s">
        <v>58</v>
      </c>
      <c r="W652" t="s">
        <v>129</v>
      </c>
      <c r="X652" t="s">
        <v>130</v>
      </c>
      <c r="Y652" t="s">
        <v>1765</v>
      </c>
      <c r="AF652" t="s">
        <v>13</v>
      </c>
      <c r="AG652" t="str">
        <f>HYPERLINK("https://doi.org/10.1515/9780748628261")</f>
        <v>https://doi.org/10.1515/9780748628261</v>
      </c>
      <c r="AH652" t="str">
        <f>HYPERLINK("http://www.degruyter.com/isbn/9780748628261")</f>
        <v>http://www.degruyter.com/isbn/9780748628261</v>
      </c>
      <c r="AI652" t="s">
        <v>2942</v>
      </c>
      <c r="AL652" t="s">
        <v>62</v>
      </c>
      <c r="AM652">
        <v>1</v>
      </c>
      <c r="AN652" s="2">
        <v>9780748613762</v>
      </c>
    </row>
    <row r="653" spans="1:40" x14ac:dyDescent="0.3">
      <c r="A653" t="s">
        <v>3382</v>
      </c>
      <c r="B653" t="s">
        <v>1</v>
      </c>
      <c r="C653" t="s">
        <v>3383</v>
      </c>
      <c r="D653" t="s">
        <v>3384</v>
      </c>
      <c r="E653" t="s">
        <v>3385</v>
      </c>
      <c r="F653" t="s">
        <v>5</v>
      </c>
      <c r="G653" t="s">
        <v>6</v>
      </c>
      <c r="L653" t="s">
        <v>7</v>
      </c>
      <c r="M653">
        <v>2017</v>
      </c>
      <c r="N653" s="1">
        <v>42965</v>
      </c>
      <c r="O653" t="s">
        <v>3386</v>
      </c>
      <c r="P653">
        <v>1</v>
      </c>
      <c r="S653">
        <v>227.95</v>
      </c>
      <c r="T653">
        <v>260</v>
      </c>
      <c r="U653">
        <v>200</v>
      </c>
      <c r="V653" t="s">
        <v>20</v>
      </c>
      <c r="W653" t="s">
        <v>21</v>
      </c>
      <c r="X653" t="s">
        <v>458</v>
      </c>
      <c r="Y653" t="s">
        <v>459</v>
      </c>
      <c r="AF653" t="s">
        <v>13</v>
      </c>
      <c r="AG653" t="str">
        <f>HYPERLINK("https://doi.org/10.1515/9781474415293?locatt=mode:legacy")</f>
        <v>https://doi.org/10.1515/9781474415293?locatt=mode:legacy</v>
      </c>
      <c r="AH653" t="str">
        <f>HYPERLINK("http://www.degruyter.com/isbn/9781474415293")</f>
        <v>http://www.degruyter.com/isbn/9781474415293</v>
      </c>
      <c r="AI653" t="s">
        <v>222</v>
      </c>
      <c r="AJ653" t="s">
        <v>35</v>
      </c>
      <c r="AL653" t="s">
        <v>1346</v>
      </c>
      <c r="AM653">
        <v>1</v>
      </c>
      <c r="AN653" s="2">
        <v>9781474415286</v>
      </c>
    </row>
    <row r="654" spans="1:40" x14ac:dyDescent="0.3">
      <c r="A654" t="s">
        <v>3387</v>
      </c>
      <c r="B654" t="s">
        <v>1</v>
      </c>
      <c r="C654" t="s">
        <v>3388</v>
      </c>
      <c r="D654" t="s">
        <v>3389</v>
      </c>
      <c r="E654" t="s">
        <v>3390</v>
      </c>
      <c r="F654" t="s">
        <v>5</v>
      </c>
      <c r="G654" t="s">
        <v>6</v>
      </c>
      <c r="L654" t="s">
        <v>7</v>
      </c>
      <c r="M654">
        <v>2007</v>
      </c>
      <c r="N654" s="1">
        <v>39238</v>
      </c>
      <c r="O654" t="s">
        <v>545</v>
      </c>
      <c r="P654">
        <v>1</v>
      </c>
      <c r="S654">
        <v>87.95</v>
      </c>
      <c r="T654">
        <v>99.95</v>
      </c>
      <c r="U654">
        <v>74</v>
      </c>
      <c r="V654" t="s">
        <v>58</v>
      </c>
      <c r="W654" t="s">
        <v>129</v>
      </c>
      <c r="X654" t="s">
        <v>130</v>
      </c>
      <c r="Y654" t="s">
        <v>546</v>
      </c>
      <c r="AF654" t="s">
        <v>13</v>
      </c>
      <c r="AG654" t="str">
        <f>HYPERLINK("https://doi.org/10.1515/9780748631261")</f>
        <v>https://doi.org/10.1515/9780748631261</v>
      </c>
      <c r="AH654" t="str">
        <f>HYPERLINK("http://www.degruyter.com/isbn/9780748631261")</f>
        <v>http://www.degruyter.com/isbn/9780748631261</v>
      </c>
      <c r="AI654" t="s">
        <v>68</v>
      </c>
      <c r="AL654" t="s">
        <v>62</v>
      </c>
      <c r="AM654">
        <v>1</v>
      </c>
      <c r="AN654" s="2">
        <v>9780748625918</v>
      </c>
    </row>
    <row r="655" spans="1:40" x14ac:dyDescent="0.3">
      <c r="A655" t="s">
        <v>3391</v>
      </c>
      <c r="B655" t="s">
        <v>1</v>
      </c>
      <c r="C655" t="s">
        <v>3392</v>
      </c>
      <c r="D655" t="s">
        <v>3393</v>
      </c>
      <c r="E655" t="s">
        <v>3394</v>
      </c>
      <c r="F655" t="s">
        <v>5</v>
      </c>
      <c r="G655" t="s">
        <v>6</v>
      </c>
      <c r="L655" t="s">
        <v>7</v>
      </c>
      <c r="M655">
        <v>2017</v>
      </c>
      <c r="N655" s="1">
        <v>42887</v>
      </c>
      <c r="O655" t="s">
        <v>3395</v>
      </c>
      <c r="P655">
        <v>1</v>
      </c>
      <c r="S655">
        <v>417.95</v>
      </c>
      <c r="T655">
        <v>480</v>
      </c>
      <c r="U655">
        <v>370</v>
      </c>
      <c r="V655" t="s">
        <v>847</v>
      </c>
      <c r="W655" t="s">
        <v>848</v>
      </c>
      <c r="X655" t="s">
        <v>20</v>
      </c>
      <c r="Y655" t="s">
        <v>3205</v>
      </c>
      <c r="AF655" t="s">
        <v>13</v>
      </c>
      <c r="AG655" t="str">
        <f>HYPERLINK("https://doi.org/10.1515/9781474468435")</f>
        <v>https://doi.org/10.1515/9781474468435</v>
      </c>
      <c r="AH655" t="str">
        <f>HYPERLINK("http://www.degruyter.com/isbn/9781474468435")</f>
        <v>http://www.degruyter.com/isbn/9781474468435</v>
      </c>
      <c r="AI655" t="s">
        <v>222</v>
      </c>
      <c r="AL655" t="s">
        <v>1070</v>
      </c>
      <c r="AM655">
        <v>1</v>
      </c>
      <c r="AN655" s="2">
        <v>9781474411714</v>
      </c>
    </row>
    <row r="656" spans="1:40" x14ac:dyDescent="0.3">
      <c r="A656" t="s">
        <v>3396</v>
      </c>
      <c r="B656" t="s">
        <v>1</v>
      </c>
      <c r="C656" t="s">
        <v>3397</v>
      </c>
      <c r="D656" t="s">
        <v>3398</v>
      </c>
      <c r="E656" t="s">
        <v>3399</v>
      </c>
      <c r="F656" t="s">
        <v>5</v>
      </c>
      <c r="G656" t="s">
        <v>6</v>
      </c>
      <c r="L656" t="s">
        <v>7</v>
      </c>
      <c r="M656">
        <v>2017</v>
      </c>
      <c r="N656" s="1">
        <v>43084</v>
      </c>
      <c r="O656" t="s">
        <v>3400</v>
      </c>
      <c r="P656">
        <v>1</v>
      </c>
      <c r="S656">
        <v>227.95</v>
      </c>
      <c r="T656">
        <v>260</v>
      </c>
      <c r="U656">
        <v>200</v>
      </c>
      <c r="V656" t="s">
        <v>9</v>
      </c>
      <c r="W656" t="s">
        <v>10</v>
      </c>
      <c r="X656" t="s">
        <v>11</v>
      </c>
      <c r="Y656" t="s">
        <v>52</v>
      </c>
      <c r="AF656" t="s">
        <v>13</v>
      </c>
      <c r="AG656" t="str">
        <f>HYPERLINK("https://doi.org/10.1515/9780748699230?locatt=mode:legacy")</f>
        <v>https://doi.org/10.1515/9780748699230?locatt=mode:legacy</v>
      </c>
      <c r="AH656" t="str">
        <f>HYPERLINK("http://www.degruyter.com/isbn/9780748699230")</f>
        <v>http://www.degruyter.com/isbn/9780748699230</v>
      </c>
      <c r="AI656" t="s">
        <v>222</v>
      </c>
      <c r="AL656" t="s">
        <v>15</v>
      </c>
      <c r="AM656">
        <v>1</v>
      </c>
      <c r="AN656" s="2">
        <v>9780748699247</v>
      </c>
    </row>
    <row r="657" spans="1:40" x14ac:dyDescent="0.3">
      <c r="A657" t="s">
        <v>3401</v>
      </c>
      <c r="B657" t="s">
        <v>1</v>
      </c>
      <c r="C657" t="s">
        <v>3402</v>
      </c>
      <c r="D657" t="s">
        <v>3403</v>
      </c>
      <c r="E657" t="s">
        <v>3404</v>
      </c>
      <c r="F657" t="s">
        <v>5</v>
      </c>
      <c r="G657" t="s">
        <v>6</v>
      </c>
      <c r="L657" t="s">
        <v>7</v>
      </c>
      <c r="M657">
        <v>2007</v>
      </c>
      <c r="N657" s="1">
        <v>39407</v>
      </c>
      <c r="O657" t="s">
        <v>1730</v>
      </c>
      <c r="P657">
        <v>1</v>
      </c>
      <c r="S657">
        <v>287.95</v>
      </c>
      <c r="T657">
        <v>330</v>
      </c>
      <c r="U657">
        <v>250</v>
      </c>
      <c r="V657" t="s">
        <v>20</v>
      </c>
      <c r="W657" t="s">
        <v>470</v>
      </c>
      <c r="X657" t="s">
        <v>471</v>
      </c>
      <c r="Y657" t="s">
        <v>472</v>
      </c>
      <c r="AF657" t="s">
        <v>13</v>
      </c>
      <c r="AG657" t="str">
        <f>HYPERLINK("https://doi.org/10.1515/9780748631155?locatt=mode:legacy")</f>
        <v>https://doi.org/10.1515/9780748631155?locatt=mode:legacy</v>
      </c>
      <c r="AH657" t="str">
        <f>HYPERLINK("http://www.degruyter.com/isbn/9780748631155")</f>
        <v>http://www.degruyter.com/isbn/9780748631155</v>
      </c>
      <c r="AI657" t="s">
        <v>68</v>
      </c>
      <c r="AL657" t="s">
        <v>15</v>
      </c>
      <c r="AM657">
        <v>1</v>
      </c>
      <c r="AN657" s="2">
        <v>9780748625727</v>
      </c>
    </row>
    <row r="658" spans="1:40" x14ac:dyDescent="0.3">
      <c r="A658" t="s">
        <v>3405</v>
      </c>
      <c r="B658" t="s">
        <v>1</v>
      </c>
      <c r="C658" t="s">
        <v>3406</v>
      </c>
      <c r="D658" t="s">
        <v>3407</v>
      </c>
      <c r="E658" t="s">
        <v>3408</v>
      </c>
      <c r="F658" t="s">
        <v>5</v>
      </c>
      <c r="G658" t="s">
        <v>6</v>
      </c>
      <c r="L658" t="s">
        <v>7</v>
      </c>
      <c r="M658">
        <v>2011</v>
      </c>
      <c r="N658" s="1">
        <v>40570</v>
      </c>
      <c r="O658" t="s">
        <v>3409</v>
      </c>
      <c r="P658">
        <v>1</v>
      </c>
      <c r="S658">
        <v>209.95</v>
      </c>
      <c r="T658">
        <v>240</v>
      </c>
      <c r="U658">
        <v>180</v>
      </c>
      <c r="V658" t="s">
        <v>98</v>
      </c>
      <c r="W658" t="s">
        <v>99</v>
      </c>
      <c r="X658" t="s">
        <v>386</v>
      </c>
      <c r="Y658" t="s">
        <v>387</v>
      </c>
      <c r="AF658" t="s">
        <v>13</v>
      </c>
      <c r="AG658" t="str">
        <f>HYPERLINK("https://doi.org/10.1515/9780748636365")</f>
        <v>https://doi.org/10.1515/9780748636365</v>
      </c>
      <c r="AH658" t="str">
        <f>HYPERLINK("http://www.degruyter.com/isbn/9780748636365")</f>
        <v>http://www.degruyter.com/isbn/9780748636365</v>
      </c>
      <c r="AI658" t="s">
        <v>3410</v>
      </c>
      <c r="AL658" t="s">
        <v>102</v>
      </c>
      <c r="AM658">
        <v>1</v>
      </c>
      <c r="AN658" s="2">
        <v>9780748636341</v>
      </c>
    </row>
    <row r="659" spans="1:40" x14ac:dyDescent="0.3">
      <c r="A659" t="s">
        <v>3411</v>
      </c>
      <c r="B659" t="s">
        <v>1</v>
      </c>
      <c r="C659" t="s">
        <v>3412</v>
      </c>
      <c r="D659" t="s">
        <v>3413</v>
      </c>
      <c r="E659" t="s">
        <v>3414</v>
      </c>
      <c r="F659" t="s">
        <v>5</v>
      </c>
      <c r="G659" t="s">
        <v>6</v>
      </c>
      <c r="L659" t="s">
        <v>7</v>
      </c>
      <c r="M659">
        <v>2013</v>
      </c>
      <c r="N659" s="1">
        <v>41350</v>
      </c>
      <c r="O659" t="s">
        <v>3415</v>
      </c>
      <c r="P659">
        <v>1</v>
      </c>
      <c r="S659">
        <v>217.95</v>
      </c>
      <c r="T659">
        <v>250</v>
      </c>
      <c r="U659">
        <v>190</v>
      </c>
      <c r="V659" t="s">
        <v>42</v>
      </c>
      <c r="W659" t="s">
        <v>116</v>
      </c>
      <c r="X659" t="s">
        <v>116</v>
      </c>
      <c r="Y659" t="s">
        <v>117</v>
      </c>
      <c r="AF659" t="s">
        <v>13</v>
      </c>
      <c r="AG659" t="str">
        <f>HYPERLINK("https://doi.org/10.1515/9780748676446?locatt=mode:legacy")</f>
        <v>https://doi.org/10.1515/9780748676446?locatt=mode:legacy</v>
      </c>
      <c r="AH659" t="str">
        <f>HYPERLINK("http://www.degruyter.com/isbn/9780748676446")</f>
        <v>http://www.degruyter.com/isbn/9780748676446</v>
      </c>
      <c r="AI659" t="s">
        <v>68</v>
      </c>
      <c r="AL659" t="s">
        <v>47</v>
      </c>
      <c r="AM659">
        <v>1</v>
      </c>
      <c r="AN659" s="2">
        <v>9780748676439</v>
      </c>
    </row>
    <row r="660" spans="1:40" x14ac:dyDescent="0.3">
      <c r="A660" t="s">
        <v>3416</v>
      </c>
      <c r="B660" t="s">
        <v>1</v>
      </c>
      <c r="C660" t="s">
        <v>3417</v>
      </c>
      <c r="D660" t="s">
        <v>3418</v>
      </c>
      <c r="E660" t="s">
        <v>3419</v>
      </c>
      <c r="F660" t="s">
        <v>5</v>
      </c>
      <c r="G660" t="s">
        <v>6</v>
      </c>
      <c r="L660" t="s">
        <v>7</v>
      </c>
      <c r="M660">
        <v>2016</v>
      </c>
      <c r="N660" s="1">
        <v>42706</v>
      </c>
      <c r="O660" t="s">
        <v>3420</v>
      </c>
      <c r="P660">
        <v>1</v>
      </c>
      <c r="S660">
        <v>253.95</v>
      </c>
      <c r="T660">
        <v>290</v>
      </c>
      <c r="U660">
        <v>220</v>
      </c>
      <c r="V660" t="s">
        <v>20</v>
      </c>
      <c r="W660" t="s">
        <v>21</v>
      </c>
      <c r="X660" t="s">
        <v>458</v>
      </c>
      <c r="Y660" t="s">
        <v>459</v>
      </c>
      <c r="AF660" t="s">
        <v>13</v>
      </c>
      <c r="AG660" t="str">
        <f>HYPERLINK("https://doi.org/10.1515/9781474418003")</f>
        <v>https://doi.org/10.1515/9781474418003</v>
      </c>
      <c r="AH660" t="str">
        <f>HYPERLINK("http://www.degruyter.com/isbn/9781474418003")</f>
        <v>http://www.degruyter.com/isbn/9781474418003</v>
      </c>
      <c r="AI660" t="s">
        <v>180</v>
      </c>
      <c r="AL660" t="s">
        <v>15</v>
      </c>
      <c r="AM660">
        <v>1</v>
      </c>
      <c r="AN660" s="2">
        <v>9781474417983</v>
      </c>
    </row>
    <row r="661" spans="1:40" x14ac:dyDescent="0.3">
      <c r="A661" t="s">
        <v>3421</v>
      </c>
      <c r="B661" t="s">
        <v>1</v>
      </c>
      <c r="C661" t="s">
        <v>3422</v>
      </c>
      <c r="D661" t="s">
        <v>3423</v>
      </c>
      <c r="E661" t="s">
        <v>3424</v>
      </c>
      <c r="F661" t="s">
        <v>5</v>
      </c>
      <c r="G661" t="s">
        <v>6</v>
      </c>
      <c r="L661" t="s">
        <v>7</v>
      </c>
      <c r="M661">
        <v>2020</v>
      </c>
      <c r="N661" s="1">
        <v>44656</v>
      </c>
      <c r="O661" t="s">
        <v>3425</v>
      </c>
      <c r="P661">
        <v>1</v>
      </c>
      <c r="S661">
        <v>227.95</v>
      </c>
      <c r="T661">
        <v>260</v>
      </c>
      <c r="U661">
        <v>200</v>
      </c>
      <c r="V661" t="s">
        <v>58</v>
      </c>
      <c r="W661" t="s">
        <v>59</v>
      </c>
      <c r="X661" t="s">
        <v>278</v>
      </c>
      <c r="Y661" t="s">
        <v>279</v>
      </c>
      <c r="AF661" t="s">
        <v>13</v>
      </c>
      <c r="AG661" t="str">
        <f>HYPERLINK("https://doi.org/10.1515/9781474450508?locatt=mode:legacy")</f>
        <v>https://doi.org/10.1515/9781474450508?locatt=mode:legacy</v>
      </c>
      <c r="AH661" t="str">
        <f>HYPERLINK("http://www.degruyter.com/isbn/9781474450508")</f>
        <v>http://www.degruyter.com/isbn/9781474450508</v>
      </c>
      <c r="AI661" t="s">
        <v>14</v>
      </c>
      <c r="AJ661" t="s">
        <v>35</v>
      </c>
      <c r="AL661" t="s">
        <v>155</v>
      </c>
      <c r="AM661">
        <v>1</v>
      </c>
      <c r="AN661" s="2">
        <v>9781474450485</v>
      </c>
    </row>
    <row r="662" spans="1:40" x14ac:dyDescent="0.3">
      <c r="A662" t="s">
        <v>3426</v>
      </c>
      <c r="B662" t="s">
        <v>1</v>
      </c>
      <c r="C662" t="s">
        <v>3427</v>
      </c>
      <c r="D662" t="s">
        <v>3428</v>
      </c>
      <c r="E662" t="s">
        <v>3429</v>
      </c>
      <c r="F662" t="s">
        <v>5</v>
      </c>
      <c r="G662" t="s">
        <v>6</v>
      </c>
      <c r="L662" t="s">
        <v>7</v>
      </c>
      <c r="M662">
        <v>2019</v>
      </c>
      <c r="N662" s="1">
        <v>44656</v>
      </c>
      <c r="O662" t="s">
        <v>3430</v>
      </c>
      <c r="P662">
        <v>1</v>
      </c>
      <c r="S662">
        <v>227.95</v>
      </c>
      <c r="T662">
        <v>260</v>
      </c>
      <c r="U662">
        <v>200</v>
      </c>
      <c r="V662" t="s">
        <v>305</v>
      </c>
      <c r="W662" t="s">
        <v>650</v>
      </c>
      <c r="X662" t="s">
        <v>650</v>
      </c>
      <c r="Y662" t="s">
        <v>651</v>
      </c>
      <c r="AF662" t="s">
        <v>13</v>
      </c>
      <c r="AG662" t="str">
        <f>HYPERLINK("https://doi.org/10.1515/9781474431439")</f>
        <v>https://doi.org/10.1515/9781474431439</v>
      </c>
      <c r="AH662" t="str">
        <f>HYPERLINK("http://www.degruyter.com/isbn/9781474431439")</f>
        <v>http://www.degruyter.com/isbn/9781474431439</v>
      </c>
      <c r="AI662" t="s">
        <v>2067</v>
      </c>
      <c r="AL662" t="s">
        <v>308</v>
      </c>
      <c r="AM662">
        <v>1</v>
      </c>
      <c r="AN662" s="2">
        <v>9781474431415</v>
      </c>
    </row>
    <row r="663" spans="1:40" x14ac:dyDescent="0.3">
      <c r="A663" t="s">
        <v>3431</v>
      </c>
      <c r="B663" t="s">
        <v>1</v>
      </c>
      <c r="C663" t="s">
        <v>3432</v>
      </c>
      <c r="D663" t="s">
        <v>3433</v>
      </c>
      <c r="E663" t="s">
        <v>3434</v>
      </c>
      <c r="F663" t="s">
        <v>5</v>
      </c>
      <c r="G663" t="s">
        <v>6</v>
      </c>
      <c r="L663" t="s">
        <v>7</v>
      </c>
      <c r="M663">
        <v>1998</v>
      </c>
      <c r="N663" s="1">
        <v>44607</v>
      </c>
      <c r="O663" t="s">
        <v>3435</v>
      </c>
      <c r="P663">
        <v>1</v>
      </c>
      <c r="S663">
        <v>217.95</v>
      </c>
      <c r="T663">
        <v>250</v>
      </c>
      <c r="U663">
        <v>190</v>
      </c>
      <c r="V663" t="s">
        <v>20</v>
      </c>
      <c r="W663" t="s">
        <v>21</v>
      </c>
      <c r="X663" t="s">
        <v>22</v>
      </c>
      <c r="Y663" t="s">
        <v>23</v>
      </c>
      <c r="AF663" t="s">
        <v>13</v>
      </c>
      <c r="AG663" t="str">
        <f>HYPERLINK("https://doi.org/10.1515/9781474467780")</f>
        <v>https://doi.org/10.1515/9781474467780</v>
      </c>
      <c r="AH663" t="str">
        <f>HYPERLINK("http://www.degruyter.com/isbn/9781474467780")</f>
        <v>http://www.degruyter.com/isbn/9781474467780</v>
      </c>
      <c r="AI663" t="s">
        <v>24</v>
      </c>
      <c r="AL663" t="s">
        <v>15</v>
      </c>
      <c r="AM663">
        <v>1</v>
      </c>
      <c r="AN663" s="2">
        <v>9780748610341</v>
      </c>
    </row>
    <row r="664" spans="1:40" x14ac:dyDescent="0.3">
      <c r="A664" t="s">
        <v>3436</v>
      </c>
      <c r="B664" t="s">
        <v>1</v>
      </c>
      <c r="C664" t="s">
        <v>3437</v>
      </c>
      <c r="D664" t="s">
        <v>3438</v>
      </c>
      <c r="E664" t="s">
        <v>3439</v>
      </c>
      <c r="F664" t="s">
        <v>5</v>
      </c>
      <c r="G664" t="s">
        <v>6</v>
      </c>
      <c r="L664" t="s">
        <v>7</v>
      </c>
      <c r="M664">
        <v>2018</v>
      </c>
      <c r="N664" s="1">
        <v>44656</v>
      </c>
      <c r="O664" t="s">
        <v>3440</v>
      </c>
      <c r="P664">
        <v>1</v>
      </c>
      <c r="S664">
        <v>209.95</v>
      </c>
      <c r="T664">
        <v>240</v>
      </c>
      <c r="U664">
        <v>180</v>
      </c>
      <c r="V664" t="s">
        <v>305</v>
      </c>
      <c r="W664" t="s">
        <v>650</v>
      </c>
      <c r="X664" t="s">
        <v>650</v>
      </c>
      <c r="Y664" t="s">
        <v>651</v>
      </c>
      <c r="AF664" t="s">
        <v>13</v>
      </c>
      <c r="AG664" t="str">
        <f>HYPERLINK("https://doi.org/10.1515/9780748695935")</f>
        <v>https://doi.org/10.1515/9780748695935</v>
      </c>
      <c r="AH664" t="str">
        <f>HYPERLINK("http://www.degruyter.com/isbn/9780748695935")</f>
        <v>http://www.degruyter.com/isbn/9780748695935</v>
      </c>
      <c r="AI664" t="s">
        <v>46</v>
      </c>
      <c r="AL664" t="s">
        <v>308</v>
      </c>
      <c r="AM664">
        <v>1</v>
      </c>
      <c r="AN664" s="2">
        <v>9780748695904</v>
      </c>
    </row>
    <row r="665" spans="1:40" x14ac:dyDescent="0.3">
      <c r="A665" t="s">
        <v>3441</v>
      </c>
      <c r="B665" t="s">
        <v>1</v>
      </c>
      <c r="C665" t="s">
        <v>3442</v>
      </c>
      <c r="D665" t="s">
        <v>3443</v>
      </c>
      <c r="E665" t="s">
        <v>3444</v>
      </c>
      <c r="F665" t="s">
        <v>5</v>
      </c>
      <c r="G665" t="s">
        <v>6</v>
      </c>
      <c r="L665" t="s">
        <v>7</v>
      </c>
      <c r="M665">
        <v>2018</v>
      </c>
      <c r="N665" s="1">
        <v>44644</v>
      </c>
      <c r="O665" t="s">
        <v>2040</v>
      </c>
      <c r="P665">
        <v>1</v>
      </c>
      <c r="S665">
        <v>227.95</v>
      </c>
      <c r="T665">
        <v>260</v>
      </c>
      <c r="U665">
        <v>200</v>
      </c>
      <c r="V665" t="s">
        <v>20</v>
      </c>
      <c r="W665" t="s">
        <v>21</v>
      </c>
      <c r="X665" t="s">
        <v>3445</v>
      </c>
      <c r="Y665" t="s">
        <v>3446</v>
      </c>
      <c r="AF665" t="s">
        <v>13</v>
      </c>
      <c r="AG665" t="str">
        <f>HYPERLINK("https://doi.org/10.1515/9780748682645?locatt=mode:legacy")</f>
        <v>https://doi.org/10.1515/9780748682645?locatt=mode:legacy</v>
      </c>
      <c r="AH665" t="str">
        <f>HYPERLINK("http://www.degruyter.com/isbn/9780748682645")</f>
        <v>http://www.degruyter.com/isbn/9780748682645</v>
      </c>
      <c r="AI665" t="s">
        <v>46</v>
      </c>
      <c r="AL665" t="s">
        <v>15</v>
      </c>
      <c r="AM665">
        <v>1</v>
      </c>
      <c r="AN665" s="2">
        <v>9780748682638</v>
      </c>
    </row>
    <row r="666" spans="1:40" x14ac:dyDescent="0.3">
      <c r="A666" t="s">
        <v>3447</v>
      </c>
      <c r="B666" t="s">
        <v>1</v>
      </c>
      <c r="C666" t="s">
        <v>3448</v>
      </c>
      <c r="D666" t="s">
        <v>3449</v>
      </c>
      <c r="E666" t="s">
        <v>3450</v>
      </c>
      <c r="F666" t="s">
        <v>5</v>
      </c>
      <c r="G666" t="s">
        <v>6</v>
      </c>
      <c r="L666" t="s">
        <v>7</v>
      </c>
      <c r="M666">
        <v>2015</v>
      </c>
      <c r="N666" s="1">
        <v>42063</v>
      </c>
      <c r="O666" t="s">
        <v>3451</v>
      </c>
      <c r="P666">
        <v>1</v>
      </c>
      <c r="S666">
        <v>253.95</v>
      </c>
      <c r="T666">
        <v>290</v>
      </c>
      <c r="U666">
        <v>220</v>
      </c>
      <c r="V666" t="s">
        <v>58</v>
      </c>
      <c r="W666" t="s">
        <v>59</v>
      </c>
      <c r="X666" t="s">
        <v>60</v>
      </c>
      <c r="Y666" t="s">
        <v>145</v>
      </c>
      <c r="AF666" t="s">
        <v>13</v>
      </c>
      <c r="AG666" t="str">
        <f>HYPERLINK("https://doi.org/10.1515/9781474401890")</f>
        <v>https://doi.org/10.1515/9781474401890</v>
      </c>
      <c r="AH666" t="str">
        <f>HYPERLINK("http://www.degruyter.com/isbn/9781474401890")</f>
        <v>http://www.degruyter.com/isbn/9781474401890</v>
      </c>
      <c r="AI666" t="s">
        <v>34</v>
      </c>
      <c r="AL666" t="s">
        <v>62</v>
      </c>
      <c r="AM666">
        <v>1</v>
      </c>
      <c r="AN666" s="2">
        <v>9781474401883</v>
      </c>
    </row>
    <row r="667" spans="1:40" x14ac:dyDescent="0.3">
      <c r="A667" t="s">
        <v>3452</v>
      </c>
      <c r="B667" t="s">
        <v>1</v>
      </c>
      <c r="C667" t="s">
        <v>3453</v>
      </c>
      <c r="D667" t="s">
        <v>3454</v>
      </c>
      <c r="E667" t="s">
        <v>3455</v>
      </c>
      <c r="F667" t="s">
        <v>5</v>
      </c>
      <c r="G667" t="s">
        <v>6</v>
      </c>
      <c r="L667" t="s">
        <v>7</v>
      </c>
      <c r="M667">
        <v>2000</v>
      </c>
      <c r="N667" s="1">
        <v>44607</v>
      </c>
      <c r="O667" t="s">
        <v>3456</v>
      </c>
      <c r="P667">
        <v>1</v>
      </c>
      <c r="S667">
        <v>217.95</v>
      </c>
      <c r="T667">
        <v>250</v>
      </c>
      <c r="U667">
        <v>190</v>
      </c>
      <c r="V667" t="s">
        <v>58</v>
      </c>
      <c r="W667" t="s">
        <v>59</v>
      </c>
      <c r="X667" t="s">
        <v>60</v>
      </c>
      <c r="Y667" t="s">
        <v>145</v>
      </c>
      <c r="AF667" t="s">
        <v>13</v>
      </c>
      <c r="AG667" t="str">
        <f>HYPERLINK("https://doi.org/10.1515/9781474471855")</f>
        <v>https://doi.org/10.1515/9781474471855</v>
      </c>
      <c r="AH667" t="str">
        <f>HYPERLINK("http://www.degruyter.com/isbn/9781474471855")</f>
        <v>http://www.degruyter.com/isbn/9781474471855</v>
      </c>
      <c r="AI667" t="s">
        <v>68</v>
      </c>
      <c r="AJ667" t="s">
        <v>35</v>
      </c>
      <c r="AL667" t="s">
        <v>155</v>
      </c>
      <c r="AM667">
        <v>1</v>
      </c>
      <c r="AN667" s="2">
        <v>9780748609581</v>
      </c>
    </row>
    <row r="668" spans="1:40" x14ac:dyDescent="0.3">
      <c r="A668" t="s">
        <v>3457</v>
      </c>
      <c r="B668" t="s">
        <v>1</v>
      </c>
      <c r="C668" t="s">
        <v>3458</v>
      </c>
      <c r="D668" t="s">
        <v>3459</v>
      </c>
      <c r="E668" t="s">
        <v>3460</v>
      </c>
      <c r="F668" t="s">
        <v>5</v>
      </c>
      <c r="G668" t="s">
        <v>6</v>
      </c>
      <c r="L668" t="s">
        <v>7</v>
      </c>
      <c r="M668">
        <v>2009</v>
      </c>
      <c r="N668" s="1">
        <v>40025</v>
      </c>
      <c r="O668" t="s">
        <v>3461</v>
      </c>
      <c r="P668">
        <v>1</v>
      </c>
      <c r="S668">
        <v>217.95</v>
      </c>
      <c r="T668">
        <v>250</v>
      </c>
      <c r="U668">
        <v>190</v>
      </c>
      <c r="V668" t="s">
        <v>89</v>
      </c>
      <c r="W668" t="s">
        <v>90</v>
      </c>
      <c r="X668" t="s">
        <v>91</v>
      </c>
      <c r="Y668" t="s">
        <v>1914</v>
      </c>
      <c r="AF668" t="s">
        <v>13</v>
      </c>
      <c r="AG668" t="str">
        <f>HYPERLINK("https://doi.org/10.1515/9780748637331")</f>
        <v>https://doi.org/10.1515/9780748637331</v>
      </c>
      <c r="AH668" t="str">
        <f>HYPERLINK("http://www.degruyter.com/isbn/9780748637331")</f>
        <v>http://www.degruyter.com/isbn/9780748637331</v>
      </c>
      <c r="AI668" t="s">
        <v>68</v>
      </c>
      <c r="AJ668" t="s">
        <v>35</v>
      </c>
      <c r="AL668" t="s">
        <v>718</v>
      </c>
      <c r="AM668">
        <v>1</v>
      </c>
      <c r="AN668" s="2">
        <v>9780748637317</v>
      </c>
    </row>
    <row r="669" spans="1:40" x14ac:dyDescent="0.3">
      <c r="A669" t="s">
        <v>3462</v>
      </c>
      <c r="B669" t="s">
        <v>1</v>
      </c>
      <c r="C669" t="s">
        <v>3463</v>
      </c>
      <c r="D669" t="s">
        <v>3464</v>
      </c>
      <c r="E669" t="s">
        <v>3465</v>
      </c>
      <c r="F669" t="s">
        <v>5</v>
      </c>
      <c r="G669" t="s">
        <v>6</v>
      </c>
      <c r="L669" t="s">
        <v>7</v>
      </c>
      <c r="M669">
        <v>2020</v>
      </c>
      <c r="N669" s="1">
        <v>44644</v>
      </c>
      <c r="O669" t="s">
        <v>3466</v>
      </c>
      <c r="P669">
        <v>1</v>
      </c>
      <c r="S669">
        <v>217.95</v>
      </c>
      <c r="T669">
        <v>250</v>
      </c>
      <c r="U669">
        <v>190</v>
      </c>
      <c r="V669" t="s">
        <v>98</v>
      </c>
      <c r="W669" t="s">
        <v>99</v>
      </c>
      <c r="X669" t="s">
        <v>386</v>
      </c>
      <c r="Y669" t="s">
        <v>387</v>
      </c>
      <c r="AF669" t="s">
        <v>13</v>
      </c>
      <c r="AG669" t="str">
        <f>HYPERLINK("https://doi.org/10.1515/9781474452922")</f>
        <v>https://doi.org/10.1515/9781474452922</v>
      </c>
      <c r="AH669" t="str">
        <f>HYPERLINK("http://www.degruyter.com/isbn/9781474452922")</f>
        <v>http://www.degruyter.com/isbn/9781474452922</v>
      </c>
      <c r="AI669" t="s">
        <v>14</v>
      </c>
      <c r="AL669" t="s">
        <v>102</v>
      </c>
      <c r="AM669">
        <v>1</v>
      </c>
      <c r="AN669" s="2">
        <v>9781474452908</v>
      </c>
    </row>
    <row r="670" spans="1:40" x14ac:dyDescent="0.3">
      <c r="A670" t="s">
        <v>3467</v>
      </c>
      <c r="B670" t="s">
        <v>1</v>
      </c>
      <c r="C670" t="s">
        <v>3468</v>
      </c>
      <c r="D670" t="s">
        <v>3469</v>
      </c>
      <c r="E670" t="s">
        <v>3470</v>
      </c>
      <c r="F670" t="s">
        <v>5</v>
      </c>
      <c r="G670" t="s">
        <v>6</v>
      </c>
      <c r="K670" t="s">
        <v>923</v>
      </c>
      <c r="L670" t="s">
        <v>7</v>
      </c>
      <c r="M670">
        <v>2018</v>
      </c>
      <c r="N670" s="1">
        <v>43427</v>
      </c>
      <c r="O670" t="s">
        <v>3471</v>
      </c>
      <c r="P670">
        <v>1</v>
      </c>
      <c r="V670" t="s">
        <v>79</v>
      </c>
      <c r="W670" t="s">
        <v>123</v>
      </c>
      <c r="X670" t="s">
        <v>123</v>
      </c>
      <c r="Y670" t="s">
        <v>124</v>
      </c>
      <c r="AF670" t="s">
        <v>13</v>
      </c>
      <c r="AG670" t="str">
        <f>HYPERLINK("https://doi.org/10.1515/9781474437158")</f>
        <v>https://doi.org/10.1515/9781474437158</v>
      </c>
      <c r="AH670" t="str">
        <f>HYPERLINK("http://www.degruyter.com/isbn/9781474437158")</f>
        <v>http://www.degruyter.com/isbn/9781474437158</v>
      </c>
      <c r="AI670" t="s">
        <v>46</v>
      </c>
      <c r="AM670">
        <v>1</v>
      </c>
      <c r="AN670" s="2"/>
    </row>
    <row r="671" spans="1:40" x14ac:dyDescent="0.3">
      <c r="A671" t="s">
        <v>3472</v>
      </c>
      <c r="B671" t="s">
        <v>1</v>
      </c>
      <c r="C671" t="s">
        <v>3473</v>
      </c>
      <c r="D671" t="s">
        <v>3474</v>
      </c>
      <c r="E671" t="s">
        <v>3475</v>
      </c>
      <c r="F671" t="s">
        <v>5</v>
      </c>
      <c r="G671" t="s">
        <v>6</v>
      </c>
      <c r="L671" t="s">
        <v>7</v>
      </c>
      <c r="M671">
        <v>2021</v>
      </c>
      <c r="N671" s="1">
        <v>44644</v>
      </c>
      <c r="O671" t="s">
        <v>3476</v>
      </c>
      <c r="P671">
        <v>1</v>
      </c>
      <c r="S671">
        <v>217.95</v>
      </c>
      <c r="T671">
        <v>250</v>
      </c>
      <c r="U671">
        <v>190</v>
      </c>
      <c r="V671" t="s">
        <v>9</v>
      </c>
      <c r="W671" t="s">
        <v>10</v>
      </c>
      <c r="X671" t="s">
        <v>11</v>
      </c>
      <c r="Y671" t="s">
        <v>52</v>
      </c>
      <c r="AF671" t="s">
        <v>13</v>
      </c>
      <c r="AG671" t="str">
        <f>HYPERLINK("https://doi.org/10.1515/9781474456784")</f>
        <v>https://doi.org/10.1515/9781474456784</v>
      </c>
      <c r="AH671" t="str">
        <f>HYPERLINK("http://www.degruyter.com/isbn/9781474456784")</f>
        <v>http://www.degruyter.com/isbn/9781474456784</v>
      </c>
      <c r="AI671" t="s">
        <v>216</v>
      </c>
      <c r="AL671" t="s">
        <v>15</v>
      </c>
      <c r="AM671">
        <v>1</v>
      </c>
      <c r="AN671" s="2">
        <v>9781474456760</v>
      </c>
    </row>
    <row r="672" spans="1:40" x14ac:dyDescent="0.3">
      <c r="A672" t="s">
        <v>3477</v>
      </c>
      <c r="B672" t="s">
        <v>1</v>
      </c>
      <c r="C672" t="s">
        <v>3478</v>
      </c>
      <c r="D672" t="s">
        <v>3479</v>
      </c>
      <c r="E672" t="s">
        <v>3480</v>
      </c>
      <c r="F672" t="s">
        <v>5</v>
      </c>
      <c r="G672" t="s">
        <v>6</v>
      </c>
      <c r="L672" t="s">
        <v>7</v>
      </c>
      <c r="M672">
        <v>2015</v>
      </c>
      <c r="N672" s="1">
        <v>42024</v>
      </c>
      <c r="O672" t="s">
        <v>3481</v>
      </c>
      <c r="P672">
        <v>1</v>
      </c>
      <c r="S672">
        <v>217.95</v>
      </c>
      <c r="T672">
        <v>250</v>
      </c>
      <c r="U672">
        <v>190</v>
      </c>
      <c r="V672" t="s">
        <v>42</v>
      </c>
      <c r="W672" t="s">
        <v>107</v>
      </c>
      <c r="X672" t="s">
        <v>108</v>
      </c>
      <c r="Y672" t="s">
        <v>221</v>
      </c>
      <c r="AF672" t="s">
        <v>13</v>
      </c>
      <c r="AG672" t="str">
        <f>HYPERLINK("https://doi.org/10.1515/9780748682508")</f>
        <v>https://doi.org/10.1515/9780748682508</v>
      </c>
      <c r="AH672" t="str">
        <f>HYPERLINK("http://www.degruyter.com/isbn/9780748682508")</f>
        <v>http://www.degruyter.com/isbn/9780748682508</v>
      </c>
      <c r="AI672" t="s">
        <v>34</v>
      </c>
      <c r="AL672" t="s">
        <v>47</v>
      </c>
      <c r="AM672">
        <v>1</v>
      </c>
      <c r="AN672" s="2">
        <v>9780748682492</v>
      </c>
    </row>
    <row r="673" spans="1:40" x14ac:dyDescent="0.3">
      <c r="A673" t="s">
        <v>3482</v>
      </c>
      <c r="B673" t="s">
        <v>1</v>
      </c>
      <c r="C673" t="s">
        <v>3483</v>
      </c>
      <c r="D673" t="s">
        <v>3484</v>
      </c>
      <c r="E673" t="s">
        <v>3485</v>
      </c>
      <c r="F673" t="s">
        <v>5</v>
      </c>
      <c r="G673" t="s">
        <v>6</v>
      </c>
      <c r="L673" t="s">
        <v>7</v>
      </c>
      <c r="M673">
        <v>2019</v>
      </c>
      <c r="N673" s="1">
        <v>44656</v>
      </c>
      <c r="O673" t="s">
        <v>3486</v>
      </c>
      <c r="P673">
        <v>1</v>
      </c>
      <c r="S673">
        <v>243.95</v>
      </c>
      <c r="T673">
        <v>280</v>
      </c>
      <c r="U673">
        <v>210</v>
      </c>
      <c r="V673" t="s">
        <v>847</v>
      </c>
      <c r="W673" t="s">
        <v>848</v>
      </c>
      <c r="X673" t="s">
        <v>20</v>
      </c>
      <c r="Y673" t="s">
        <v>3205</v>
      </c>
      <c r="AF673" t="s">
        <v>13</v>
      </c>
      <c r="AG673" t="str">
        <f>HYPERLINK("https://doi.org/10.1515/9781474458627")</f>
        <v>https://doi.org/10.1515/9781474458627</v>
      </c>
      <c r="AH673" t="str">
        <f>HYPERLINK("http://www.degruyter.com/isbn/9781474458627")</f>
        <v>http://www.degruyter.com/isbn/9781474458627</v>
      </c>
      <c r="AI673" t="s">
        <v>2067</v>
      </c>
      <c r="AL673" t="s">
        <v>1070</v>
      </c>
      <c r="AM673">
        <v>1</v>
      </c>
      <c r="AN673" s="2">
        <v>9781474458603</v>
      </c>
    </row>
    <row r="674" spans="1:40" x14ac:dyDescent="0.3">
      <c r="A674" t="s">
        <v>3487</v>
      </c>
      <c r="B674" t="s">
        <v>1</v>
      </c>
      <c r="C674" t="s">
        <v>3488</v>
      </c>
      <c r="D674" t="s">
        <v>3489</v>
      </c>
      <c r="E674" t="s">
        <v>3490</v>
      </c>
      <c r="F674" t="s">
        <v>5</v>
      </c>
      <c r="G674" t="s">
        <v>6</v>
      </c>
      <c r="L674" t="s">
        <v>7</v>
      </c>
      <c r="M674">
        <v>2016</v>
      </c>
      <c r="N674" s="1">
        <v>42662</v>
      </c>
      <c r="O674" t="s">
        <v>3491</v>
      </c>
      <c r="P674">
        <v>1</v>
      </c>
      <c r="S674">
        <v>217.95</v>
      </c>
      <c r="T674">
        <v>250</v>
      </c>
      <c r="U674">
        <v>190</v>
      </c>
      <c r="V674" t="s">
        <v>42</v>
      </c>
      <c r="W674" t="s">
        <v>116</v>
      </c>
      <c r="X674" t="s">
        <v>116</v>
      </c>
      <c r="Y674" t="s">
        <v>117</v>
      </c>
      <c r="AF674" t="s">
        <v>13</v>
      </c>
      <c r="AG674" t="str">
        <f>HYPERLINK("https://doi.org/10.1515/9781474402934")</f>
        <v>https://doi.org/10.1515/9781474402934</v>
      </c>
      <c r="AH674" t="str">
        <f>HYPERLINK("http://www.degruyter.com/isbn/9781474402934")</f>
        <v>http://www.degruyter.com/isbn/9781474402934</v>
      </c>
      <c r="AI674" t="s">
        <v>180</v>
      </c>
      <c r="AL674" t="s">
        <v>47</v>
      </c>
      <c r="AM674">
        <v>1</v>
      </c>
      <c r="AN674" s="2">
        <v>9781474402927</v>
      </c>
    </row>
    <row r="675" spans="1:40" x14ac:dyDescent="0.3">
      <c r="A675" t="s">
        <v>3492</v>
      </c>
      <c r="B675" t="s">
        <v>1</v>
      </c>
      <c r="C675" t="s">
        <v>3493</v>
      </c>
      <c r="D675" t="s">
        <v>3494</v>
      </c>
      <c r="E675" t="s">
        <v>3495</v>
      </c>
      <c r="F675" t="s">
        <v>5</v>
      </c>
      <c r="G675" t="s">
        <v>6</v>
      </c>
      <c r="L675" t="s">
        <v>7</v>
      </c>
      <c r="M675">
        <v>2015</v>
      </c>
      <c r="N675" s="1">
        <v>42087</v>
      </c>
      <c r="O675" t="s">
        <v>988</v>
      </c>
      <c r="P675">
        <v>1</v>
      </c>
      <c r="S675">
        <v>253.95</v>
      </c>
      <c r="T675">
        <v>290</v>
      </c>
      <c r="U675">
        <v>220</v>
      </c>
      <c r="V675" t="s">
        <v>58</v>
      </c>
      <c r="W675" t="s">
        <v>59</v>
      </c>
      <c r="X675" t="s">
        <v>60</v>
      </c>
      <c r="Y675" t="s">
        <v>145</v>
      </c>
      <c r="AF675" t="s">
        <v>13</v>
      </c>
      <c r="AG675" t="str">
        <f>HYPERLINK("https://doi.org/10.1515/9780748699025")</f>
        <v>https://doi.org/10.1515/9780748699025</v>
      </c>
      <c r="AH675" t="str">
        <f>HYPERLINK("http://www.degruyter.com/isbn/9780748699025")</f>
        <v>http://www.degruyter.com/isbn/9780748699025</v>
      </c>
      <c r="AI675" t="s">
        <v>34</v>
      </c>
      <c r="AJ675" t="s">
        <v>35</v>
      </c>
      <c r="AL675" t="s">
        <v>155</v>
      </c>
      <c r="AM675">
        <v>1</v>
      </c>
      <c r="AN675" s="2">
        <v>9780748699018</v>
      </c>
    </row>
    <row r="676" spans="1:40" x14ac:dyDescent="0.3">
      <c r="A676" t="s">
        <v>3496</v>
      </c>
      <c r="B676" t="s">
        <v>1</v>
      </c>
      <c r="C676" t="s">
        <v>3497</v>
      </c>
      <c r="D676" t="s">
        <v>3498</v>
      </c>
      <c r="E676" t="s">
        <v>3499</v>
      </c>
      <c r="F676" t="s">
        <v>5</v>
      </c>
      <c r="G676" t="s">
        <v>6</v>
      </c>
      <c r="L676" t="s">
        <v>7</v>
      </c>
      <c r="M676">
        <v>2002</v>
      </c>
      <c r="N676" s="1">
        <v>44672</v>
      </c>
      <c r="O676" t="s">
        <v>3500</v>
      </c>
      <c r="P676">
        <v>1</v>
      </c>
      <c r="S676">
        <v>217.95</v>
      </c>
      <c r="T676">
        <v>250</v>
      </c>
      <c r="U676">
        <v>190</v>
      </c>
      <c r="V676" t="s">
        <v>20</v>
      </c>
      <c r="W676" t="s">
        <v>21</v>
      </c>
      <c r="X676" t="s">
        <v>22</v>
      </c>
      <c r="Y676" t="s">
        <v>23</v>
      </c>
      <c r="AF676" t="s">
        <v>13</v>
      </c>
      <c r="AG676" t="str">
        <f>HYPERLINK("https://doi.org/10.1515/9780748679553")</f>
        <v>https://doi.org/10.1515/9780748679553</v>
      </c>
      <c r="AH676" t="str">
        <f>HYPERLINK("http://www.degruyter.com/isbn/9780748679553")</f>
        <v>http://www.degruyter.com/isbn/9780748679553</v>
      </c>
      <c r="AI676" t="s">
        <v>68</v>
      </c>
      <c r="AL676" t="s">
        <v>15</v>
      </c>
      <c r="AM676">
        <v>1</v>
      </c>
      <c r="AN676" s="2">
        <v>9780748614202</v>
      </c>
    </row>
    <row r="677" spans="1:40" x14ac:dyDescent="0.3">
      <c r="A677" t="s">
        <v>3501</v>
      </c>
      <c r="B677" t="s">
        <v>1</v>
      </c>
      <c r="C677" t="s">
        <v>3502</v>
      </c>
      <c r="D677" t="s">
        <v>3503</v>
      </c>
      <c r="E677" t="s">
        <v>3504</v>
      </c>
      <c r="F677" t="s">
        <v>5</v>
      </c>
      <c r="G677" t="s">
        <v>6</v>
      </c>
      <c r="L677" t="s">
        <v>7</v>
      </c>
      <c r="M677">
        <v>1995</v>
      </c>
      <c r="N677" s="1">
        <v>44599</v>
      </c>
      <c r="O677" t="s">
        <v>3505</v>
      </c>
      <c r="P677">
        <v>1</v>
      </c>
      <c r="S677">
        <v>417.95</v>
      </c>
      <c r="T677">
        <v>480</v>
      </c>
      <c r="U677">
        <v>370</v>
      </c>
      <c r="V677" t="s">
        <v>58</v>
      </c>
      <c r="W677" t="s">
        <v>129</v>
      </c>
      <c r="X677" t="s">
        <v>130</v>
      </c>
      <c r="Y677" t="s">
        <v>131</v>
      </c>
      <c r="AF677" t="s">
        <v>13</v>
      </c>
      <c r="AG677" t="str">
        <f>HYPERLINK("https://doi.org/10.1515/9780748632084")</f>
        <v>https://doi.org/10.1515/9780748632084</v>
      </c>
      <c r="AH677" t="str">
        <f>HYPERLINK("http://www.degruyter.com/isbn/9780748632084")</f>
        <v>http://www.degruyter.com/isbn/9780748632084</v>
      </c>
      <c r="AI677" t="s">
        <v>3506</v>
      </c>
      <c r="AJ677" t="s">
        <v>35</v>
      </c>
      <c r="AL677" t="s">
        <v>155</v>
      </c>
      <c r="AM677">
        <v>1</v>
      </c>
      <c r="AN677" s="2">
        <v>9780748607440</v>
      </c>
    </row>
    <row r="678" spans="1:40" x14ac:dyDescent="0.3">
      <c r="A678" t="s">
        <v>3507</v>
      </c>
      <c r="B678" t="s">
        <v>1</v>
      </c>
      <c r="C678" t="s">
        <v>3508</v>
      </c>
      <c r="D678" t="s">
        <v>3509</v>
      </c>
      <c r="E678" t="s">
        <v>3510</v>
      </c>
      <c r="F678" t="s">
        <v>5</v>
      </c>
      <c r="G678" t="s">
        <v>6</v>
      </c>
      <c r="L678" t="s">
        <v>7</v>
      </c>
      <c r="M678">
        <v>2019</v>
      </c>
      <c r="N678" s="1">
        <v>44656</v>
      </c>
      <c r="O678" t="s">
        <v>3511</v>
      </c>
      <c r="P678">
        <v>1</v>
      </c>
      <c r="S678">
        <v>217.95</v>
      </c>
      <c r="T678">
        <v>250</v>
      </c>
      <c r="U678">
        <v>190</v>
      </c>
      <c r="V678" t="s">
        <v>30</v>
      </c>
      <c r="W678" t="s">
        <v>31</v>
      </c>
      <c r="X678" t="s">
        <v>3512</v>
      </c>
      <c r="Y678" t="s">
        <v>3513</v>
      </c>
      <c r="AF678" t="s">
        <v>13</v>
      </c>
      <c r="AG678" t="str">
        <f>HYPERLINK("https://doi.org/10.1515/9781474454575")</f>
        <v>https://doi.org/10.1515/9781474454575</v>
      </c>
      <c r="AH678" t="str">
        <f>HYPERLINK("http://www.degruyter.com/isbn/9781474454575")</f>
        <v>http://www.degruyter.com/isbn/9781474454575</v>
      </c>
      <c r="AI678" t="s">
        <v>280</v>
      </c>
      <c r="AL678" t="s">
        <v>272</v>
      </c>
      <c r="AM678">
        <v>1</v>
      </c>
      <c r="AN678" s="2">
        <v>9781474454551</v>
      </c>
    </row>
    <row r="679" spans="1:40" x14ac:dyDescent="0.3">
      <c r="A679" t="s">
        <v>3514</v>
      </c>
      <c r="B679" t="s">
        <v>1</v>
      </c>
      <c r="C679" t="s">
        <v>3515</v>
      </c>
      <c r="D679" t="s">
        <v>3516</v>
      </c>
      <c r="E679" t="s">
        <v>3517</v>
      </c>
      <c r="F679" t="s">
        <v>5</v>
      </c>
      <c r="G679" t="s">
        <v>6</v>
      </c>
      <c r="L679" t="s">
        <v>7</v>
      </c>
      <c r="M679">
        <v>2009</v>
      </c>
      <c r="N679" s="1">
        <v>39987</v>
      </c>
      <c r="O679" t="s">
        <v>3518</v>
      </c>
      <c r="P679">
        <v>1</v>
      </c>
      <c r="S679">
        <v>217.95</v>
      </c>
      <c r="T679">
        <v>250</v>
      </c>
      <c r="U679">
        <v>190</v>
      </c>
      <c r="V679" t="s">
        <v>79</v>
      </c>
      <c r="W679" t="s">
        <v>762</v>
      </c>
      <c r="X679" t="s">
        <v>762</v>
      </c>
      <c r="Y679" t="s">
        <v>763</v>
      </c>
      <c r="AF679" t="s">
        <v>13</v>
      </c>
      <c r="AG679" t="str">
        <f>HYPERLINK("https://doi.org/10.1515/9781474467841?locatt=mode:legacy")</f>
        <v>https://doi.org/10.1515/9781474467841?locatt=mode:legacy</v>
      </c>
      <c r="AH679" t="str">
        <f>HYPERLINK("http://www.degruyter.com/isbn/9781474467841")</f>
        <v>http://www.degruyter.com/isbn/9781474467841</v>
      </c>
      <c r="AI679" t="s">
        <v>68</v>
      </c>
      <c r="AL679" t="s">
        <v>83</v>
      </c>
      <c r="AM679">
        <v>1</v>
      </c>
      <c r="AN679" s="2">
        <v>9780748628070</v>
      </c>
    </row>
    <row r="680" spans="1:40" x14ac:dyDescent="0.3">
      <c r="A680" t="s">
        <v>3519</v>
      </c>
      <c r="B680" t="s">
        <v>1</v>
      </c>
      <c r="C680" t="s">
        <v>3520</v>
      </c>
      <c r="E680" t="s">
        <v>3521</v>
      </c>
      <c r="F680" t="s">
        <v>5</v>
      </c>
      <c r="G680" t="s">
        <v>6</v>
      </c>
      <c r="L680" t="s">
        <v>7</v>
      </c>
      <c r="M680">
        <v>2015</v>
      </c>
      <c r="N680" s="1">
        <v>42064</v>
      </c>
      <c r="O680" t="s">
        <v>3522</v>
      </c>
      <c r="P680">
        <v>1</v>
      </c>
      <c r="S680">
        <v>217.95</v>
      </c>
      <c r="T680">
        <v>250</v>
      </c>
      <c r="U680">
        <v>190</v>
      </c>
      <c r="V680" t="s">
        <v>42</v>
      </c>
      <c r="W680" t="s">
        <v>107</v>
      </c>
      <c r="X680" t="s">
        <v>108</v>
      </c>
      <c r="Y680" t="s">
        <v>109</v>
      </c>
      <c r="AF680" t="s">
        <v>13</v>
      </c>
      <c r="AG680" t="str">
        <f>HYPERLINK("https://doi.org/10.1515/9780748690961")</f>
        <v>https://doi.org/10.1515/9780748690961</v>
      </c>
      <c r="AH680" t="str">
        <f>HYPERLINK("http://www.degruyter.com/isbn/9780748690961")</f>
        <v>http://www.degruyter.com/isbn/9780748690961</v>
      </c>
      <c r="AI680" t="s">
        <v>34</v>
      </c>
      <c r="AL680" t="s">
        <v>47</v>
      </c>
      <c r="AM680">
        <v>1</v>
      </c>
      <c r="AN680" s="2">
        <v>9780748690954</v>
      </c>
    </row>
    <row r="681" spans="1:40" x14ac:dyDescent="0.3">
      <c r="A681" t="s">
        <v>3523</v>
      </c>
      <c r="B681" t="s">
        <v>1</v>
      </c>
      <c r="C681" t="s">
        <v>3524</v>
      </c>
      <c r="D681" t="s">
        <v>3525</v>
      </c>
      <c r="E681" t="s">
        <v>3526</v>
      </c>
      <c r="F681" t="s">
        <v>5</v>
      </c>
      <c r="G681" t="s">
        <v>6</v>
      </c>
      <c r="L681" t="s">
        <v>7</v>
      </c>
      <c r="M681">
        <v>1999</v>
      </c>
      <c r="N681" s="1">
        <v>44719</v>
      </c>
      <c r="O681" t="s">
        <v>3527</v>
      </c>
      <c r="P681">
        <v>1</v>
      </c>
      <c r="S681">
        <v>287.95</v>
      </c>
      <c r="T681">
        <v>330</v>
      </c>
      <c r="U681">
        <v>250</v>
      </c>
      <c r="V681" t="s">
        <v>42</v>
      </c>
      <c r="W681" t="s">
        <v>107</v>
      </c>
      <c r="X681" t="s">
        <v>108</v>
      </c>
      <c r="Y681" t="s">
        <v>2244</v>
      </c>
      <c r="AF681" t="s">
        <v>13</v>
      </c>
      <c r="AG681" t="str">
        <f>HYPERLINK("https://doi.org/10.1515/9781474472012")</f>
        <v>https://doi.org/10.1515/9781474472012</v>
      </c>
      <c r="AH681" t="str">
        <f>HYPERLINK("http://www.degruyter.com/isbn/9781474472012")</f>
        <v>http://www.degruyter.com/isbn/9781474472012</v>
      </c>
      <c r="AI681" t="s">
        <v>24</v>
      </c>
      <c r="AL681" t="s">
        <v>47</v>
      </c>
      <c r="AM681">
        <v>1</v>
      </c>
      <c r="AN681" s="2">
        <v>9780748611522</v>
      </c>
    </row>
    <row r="682" spans="1:40" x14ac:dyDescent="0.3">
      <c r="A682" t="s">
        <v>3528</v>
      </c>
      <c r="B682" t="s">
        <v>1</v>
      </c>
      <c r="C682" t="s">
        <v>3529</v>
      </c>
      <c r="E682" t="s">
        <v>3530</v>
      </c>
      <c r="F682" t="s">
        <v>5</v>
      </c>
      <c r="G682" t="s">
        <v>6</v>
      </c>
      <c r="L682" t="s">
        <v>7</v>
      </c>
      <c r="M682">
        <v>2016</v>
      </c>
      <c r="N682" s="1">
        <v>42562</v>
      </c>
      <c r="O682" t="s">
        <v>3531</v>
      </c>
      <c r="P682">
        <v>1</v>
      </c>
      <c r="S682">
        <v>253.95</v>
      </c>
      <c r="T682">
        <v>290</v>
      </c>
      <c r="U682">
        <v>220</v>
      </c>
      <c r="V682" t="s">
        <v>79</v>
      </c>
      <c r="W682" t="s">
        <v>209</v>
      </c>
      <c r="X682" t="s">
        <v>209</v>
      </c>
      <c r="Y682" t="s">
        <v>699</v>
      </c>
      <c r="AF682" t="s">
        <v>13</v>
      </c>
      <c r="AG682" t="str">
        <f>HYPERLINK("https://doi.org/10.1515/9781474401203")</f>
        <v>https://doi.org/10.1515/9781474401203</v>
      </c>
      <c r="AH682" t="str">
        <f>HYPERLINK("http://www.degruyter.com/isbn/9781474401203")</f>
        <v>http://www.degruyter.com/isbn/9781474401203</v>
      </c>
      <c r="AI682" t="s">
        <v>180</v>
      </c>
      <c r="AL682" t="s">
        <v>83</v>
      </c>
      <c r="AM682">
        <v>1</v>
      </c>
      <c r="AN682" s="2">
        <v>9781474401210</v>
      </c>
    </row>
    <row r="683" spans="1:40" x14ac:dyDescent="0.3">
      <c r="A683" t="s">
        <v>3532</v>
      </c>
      <c r="B683" t="s">
        <v>1</v>
      </c>
      <c r="C683" t="s">
        <v>3533</v>
      </c>
      <c r="D683" t="s">
        <v>3534</v>
      </c>
      <c r="E683" t="s">
        <v>3535</v>
      </c>
      <c r="F683" t="s">
        <v>5</v>
      </c>
      <c r="G683" t="s">
        <v>6</v>
      </c>
      <c r="L683" t="s">
        <v>7</v>
      </c>
      <c r="M683">
        <v>2020</v>
      </c>
      <c r="N683" s="1">
        <v>44644</v>
      </c>
      <c r="O683" t="s">
        <v>3536</v>
      </c>
      <c r="P683">
        <v>1</v>
      </c>
      <c r="S683">
        <v>227.95</v>
      </c>
      <c r="T683">
        <v>260</v>
      </c>
      <c r="U683">
        <v>200</v>
      </c>
      <c r="V683" t="s">
        <v>42</v>
      </c>
      <c r="W683" t="s">
        <v>290</v>
      </c>
      <c r="X683" t="s">
        <v>290</v>
      </c>
      <c r="Y683" t="s">
        <v>515</v>
      </c>
      <c r="AF683" t="s">
        <v>13</v>
      </c>
      <c r="AG683" t="str">
        <f>HYPERLINK("https://doi.org/10.1515/9781474459921")</f>
        <v>https://doi.org/10.1515/9781474459921</v>
      </c>
      <c r="AH683" t="str">
        <f>HYPERLINK("http://www.degruyter.com/isbn/9781474459921")</f>
        <v>http://www.degruyter.com/isbn/9781474459921</v>
      </c>
      <c r="AI683" t="s">
        <v>14</v>
      </c>
      <c r="AL683" t="s">
        <v>47</v>
      </c>
      <c r="AM683">
        <v>1</v>
      </c>
      <c r="AN683" s="2">
        <v>9781474459907</v>
      </c>
    </row>
    <row r="684" spans="1:40" x14ac:dyDescent="0.3">
      <c r="A684" t="s">
        <v>3537</v>
      </c>
      <c r="B684" t="s">
        <v>1</v>
      </c>
      <c r="C684" t="s">
        <v>2251</v>
      </c>
      <c r="D684" t="s">
        <v>3538</v>
      </c>
      <c r="E684" t="s">
        <v>2253</v>
      </c>
      <c r="F684" t="s">
        <v>5</v>
      </c>
      <c r="G684" t="s">
        <v>6</v>
      </c>
      <c r="L684" t="s">
        <v>7</v>
      </c>
      <c r="M684">
        <v>2003</v>
      </c>
      <c r="N684" s="1">
        <v>37799</v>
      </c>
      <c r="O684" t="s">
        <v>160</v>
      </c>
      <c r="P684">
        <v>1</v>
      </c>
      <c r="S684">
        <v>295.95</v>
      </c>
      <c r="T684">
        <v>340</v>
      </c>
      <c r="U684">
        <v>260</v>
      </c>
      <c r="V684" t="s">
        <v>42</v>
      </c>
      <c r="W684" t="s">
        <v>116</v>
      </c>
      <c r="X684" t="s">
        <v>116</v>
      </c>
      <c r="Y684" t="s">
        <v>117</v>
      </c>
      <c r="AF684" t="s">
        <v>13</v>
      </c>
      <c r="AG684" t="str">
        <f>HYPERLINK("https://doi.org/10.1515/9781474497114")</f>
        <v>https://doi.org/10.1515/9781474497114</v>
      </c>
      <c r="AH684" t="str">
        <f>HYPERLINK("http://www.degruyter.com/isbn/9781474497114")</f>
        <v>http://www.degruyter.com/isbn/9781474497114</v>
      </c>
      <c r="AI684" t="s">
        <v>68</v>
      </c>
      <c r="AL684" t="s">
        <v>47</v>
      </c>
      <c r="AM684">
        <v>1</v>
      </c>
      <c r="AN684" s="2">
        <v>9780748617029</v>
      </c>
    </row>
    <row r="685" spans="1:40" x14ac:dyDescent="0.3">
      <c r="A685" t="s">
        <v>3539</v>
      </c>
      <c r="B685" t="s">
        <v>1</v>
      </c>
      <c r="C685" t="s">
        <v>3540</v>
      </c>
      <c r="E685" t="s">
        <v>3541</v>
      </c>
      <c r="F685" t="s">
        <v>5</v>
      </c>
      <c r="G685" t="s">
        <v>6</v>
      </c>
      <c r="L685" t="s">
        <v>7</v>
      </c>
      <c r="M685">
        <v>2002</v>
      </c>
      <c r="N685" s="1">
        <v>44607</v>
      </c>
      <c r="O685" t="s">
        <v>3542</v>
      </c>
      <c r="P685">
        <v>1</v>
      </c>
      <c r="S685">
        <v>339.95</v>
      </c>
      <c r="T685">
        <v>390</v>
      </c>
      <c r="U685">
        <v>300</v>
      </c>
      <c r="V685" t="s">
        <v>42</v>
      </c>
      <c r="W685" t="s">
        <v>116</v>
      </c>
      <c r="X685" t="s">
        <v>116</v>
      </c>
      <c r="Y685" t="s">
        <v>117</v>
      </c>
      <c r="AF685" t="s">
        <v>13</v>
      </c>
      <c r="AG685" t="str">
        <f>HYPERLINK("https://doi.org/10.1515/9781474469012")</f>
        <v>https://doi.org/10.1515/9781474469012</v>
      </c>
      <c r="AH685" t="str">
        <f>HYPERLINK("http://www.degruyter.com/isbn/9781474469012")</f>
        <v>http://www.degruyter.com/isbn/9781474469012</v>
      </c>
      <c r="AI685" t="s">
        <v>68</v>
      </c>
      <c r="AL685" t="s">
        <v>47</v>
      </c>
      <c r="AM685">
        <v>1</v>
      </c>
      <c r="AN685" s="2">
        <v>9780748616213</v>
      </c>
    </row>
    <row r="686" spans="1:40" x14ac:dyDescent="0.3">
      <c r="A686" t="s">
        <v>3543</v>
      </c>
      <c r="B686" t="s">
        <v>1</v>
      </c>
      <c r="C686" t="s">
        <v>3544</v>
      </c>
      <c r="D686" t="s">
        <v>3545</v>
      </c>
      <c r="E686" t="s">
        <v>3546</v>
      </c>
      <c r="F686" t="s">
        <v>5</v>
      </c>
      <c r="G686" t="s">
        <v>6</v>
      </c>
      <c r="L686" t="s">
        <v>7</v>
      </c>
      <c r="M686">
        <v>2020</v>
      </c>
      <c r="N686" s="1">
        <v>44656</v>
      </c>
      <c r="O686" t="s">
        <v>3547</v>
      </c>
      <c r="P686">
        <v>1</v>
      </c>
      <c r="S686">
        <v>217.95</v>
      </c>
      <c r="T686">
        <v>250</v>
      </c>
      <c r="U686">
        <v>190</v>
      </c>
      <c r="V686" t="s">
        <v>9</v>
      </c>
      <c r="W686" t="s">
        <v>10</v>
      </c>
      <c r="X686" t="s">
        <v>11</v>
      </c>
      <c r="Y686" t="s">
        <v>52</v>
      </c>
      <c r="AF686" t="s">
        <v>13</v>
      </c>
      <c r="AG686" t="str">
        <f>HYPERLINK("https://doi.org/10.1515/9781474437011?locatt=mode:legacy")</f>
        <v>https://doi.org/10.1515/9781474437011?locatt=mode:legacy</v>
      </c>
      <c r="AH686" t="str">
        <f>HYPERLINK("http://www.degruyter.com/isbn/9781474437011")</f>
        <v>http://www.degruyter.com/isbn/9781474437011</v>
      </c>
      <c r="AI686" t="s">
        <v>14</v>
      </c>
      <c r="AL686" t="s">
        <v>15</v>
      </c>
      <c r="AM686">
        <v>1</v>
      </c>
      <c r="AN686" s="2">
        <v>9781474436991</v>
      </c>
    </row>
    <row r="687" spans="1:40" x14ac:dyDescent="0.3">
      <c r="A687" t="s">
        <v>3548</v>
      </c>
      <c r="B687" t="s">
        <v>1</v>
      </c>
      <c r="C687" t="s">
        <v>3549</v>
      </c>
      <c r="D687" t="s">
        <v>3550</v>
      </c>
      <c r="E687" t="s">
        <v>3551</v>
      </c>
      <c r="F687" t="s">
        <v>5</v>
      </c>
      <c r="G687" t="s">
        <v>6</v>
      </c>
      <c r="L687" t="s">
        <v>7</v>
      </c>
      <c r="M687">
        <v>2019</v>
      </c>
      <c r="N687" s="1">
        <v>44644</v>
      </c>
      <c r="O687" t="s">
        <v>3552</v>
      </c>
      <c r="P687">
        <v>1</v>
      </c>
      <c r="S687">
        <v>217.95</v>
      </c>
      <c r="T687">
        <v>250</v>
      </c>
      <c r="U687">
        <v>190</v>
      </c>
      <c r="V687" t="s">
        <v>42</v>
      </c>
      <c r="W687" t="s">
        <v>107</v>
      </c>
      <c r="X687" t="s">
        <v>108</v>
      </c>
      <c r="Y687" t="s">
        <v>109</v>
      </c>
      <c r="AF687" t="s">
        <v>13</v>
      </c>
      <c r="AG687" t="str">
        <f>HYPERLINK("https://doi.org/10.1515/9781474450621?locatt=mode:legacy")</f>
        <v>https://doi.org/10.1515/9781474450621?locatt=mode:legacy</v>
      </c>
      <c r="AH687" t="str">
        <f>HYPERLINK("http://www.degruyter.com/isbn/9781474450621")</f>
        <v>http://www.degruyter.com/isbn/9781474450621</v>
      </c>
      <c r="AI687" t="s">
        <v>280</v>
      </c>
      <c r="AL687" t="s">
        <v>47</v>
      </c>
      <c r="AM687">
        <v>1</v>
      </c>
      <c r="AN687" s="2">
        <v>9781474450607</v>
      </c>
    </row>
    <row r="688" spans="1:40" x14ac:dyDescent="0.3">
      <c r="A688" t="s">
        <v>3553</v>
      </c>
      <c r="B688" t="s">
        <v>1</v>
      </c>
      <c r="C688" t="s">
        <v>3554</v>
      </c>
      <c r="D688" t="s">
        <v>3555</v>
      </c>
      <c r="E688" t="s">
        <v>3556</v>
      </c>
      <c r="F688" t="s">
        <v>5</v>
      </c>
      <c r="G688" t="s">
        <v>6</v>
      </c>
      <c r="L688" t="s">
        <v>7</v>
      </c>
      <c r="M688">
        <v>2014</v>
      </c>
      <c r="N688" s="1">
        <v>41667</v>
      </c>
      <c r="O688" t="s">
        <v>3557</v>
      </c>
      <c r="P688">
        <v>1</v>
      </c>
      <c r="S688">
        <v>217.95</v>
      </c>
      <c r="T688">
        <v>250</v>
      </c>
      <c r="U688">
        <v>190</v>
      </c>
      <c r="V688" t="s">
        <v>9</v>
      </c>
      <c r="W688" t="s">
        <v>10</v>
      </c>
      <c r="X688" t="s">
        <v>11</v>
      </c>
      <c r="Y688" t="s">
        <v>12</v>
      </c>
      <c r="AF688" t="s">
        <v>13</v>
      </c>
      <c r="AG688" t="str">
        <f>HYPERLINK("https://doi.org/10.1515/9780748630479")</f>
        <v>https://doi.org/10.1515/9780748630479</v>
      </c>
      <c r="AH688" t="str">
        <f>HYPERLINK("http://www.degruyter.com/isbn/9780748630479")</f>
        <v>http://www.degruyter.com/isbn/9780748630479</v>
      </c>
      <c r="AI688" t="s">
        <v>34</v>
      </c>
      <c r="AL688" t="s">
        <v>15</v>
      </c>
      <c r="AM688">
        <v>1</v>
      </c>
      <c r="AN688" s="2">
        <v>9780748624430</v>
      </c>
    </row>
    <row r="689" spans="1:40" x14ac:dyDescent="0.3">
      <c r="A689" t="s">
        <v>3558</v>
      </c>
      <c r="B689" t="s">
        <v>1</v>
      </c>
      <c r="C689" t="s">
        <v>3559</v>
      </c>
      <c r="E689" t="s">
        <v>3560</v>
      </c>
      <c r="F689" t="s">
        <v>5</v>
      </c>
      <c r="G689" t="s">
        <v>6</v>
      </c>
      <c r="L689" t="s">
        <v>7</v>
      </c>
      <c r="M689">
        <v>2005</v>
      </c>
      <c r="N689" s="1">
        <v>44592</v>
      </c>
      <c r="O689" t="s">
        <v>3561</v>
      </c>
      <c r="P689">
        <v>1</v>
      </c>
      <c r="S689">
        <v>217.95</v>
      </c>
      <c r="T689">
        <v>250</v>
      </c>
      <c r="U689">
        <v>190</v>
      </c>
      <c r="V689" t="s">
        <v>9</v>
      </c>
      <c r="W689" t="s">
        <v>10</v>
      </c>
      <c r="X689" t="s">
        <v>11</v>
      </c>
      <c r="Y689" t="s">
        <v>12</v>
      </c>
      <c r="AF689" t="s">
        <v>13</v>
      </c>
      <c r="AG689" t="str">
        <f>HYPERLINK("https://doi.org/10.1515/9781474463874")</f>
        <v>https://doi.org/10.1515/9781474463874</v>
      </c>
      <c r="AH689" t="str">
        <f>HYPERLINK("http://www.degruyter.com/isbn/9781474463874")</f>
        <v>http://www.degruyter.com/isbn/9781474463874</v>
      </c>
      <c r="AI689" t="s">
        <v>68</v>
      </c>
      <c r="AL689" t="s">
        <v>15</v>
      </c>
      <c r="AM689">
        <v>1</v>
      </c>
      <c r="AN689" s="2">
        <v>9780748619610</v>
      </c>
    </row>
    <row r="690" spans="1:40" x14ac:dyDescent="0.3">
      <c r="A690" t="s">
        <v>3562</v>
      </c>
      <c r="B690" t="s">
        <v>1</v>
      </c>
      <c r="C690" t="s">
        <v>3563</v>
      </c>
      <c r="D690" t="s">
        <v>3564</v>
      </c>
      <c r="E690" t="s">
        <v>3565</v>
      </c>
      <c r="F690" t="s">
        <v>5</v>
      </c>
      <c r="G690" t="s">
        <v>6</v>
      </c>
      <c r="L690" t="s">
        <v>7</v>
      </c>
      <c r="M690">
        <v>2014</v>
      </c>
      <c r="N690" s="1">
        <v>41806</v>
      </c>
      <c r="O690" t="s">
        <v>3566</v>
      </c>
      <c r="P690">
        <v>1</v>
      </c>
      <c r="S690">
        <v>217.95</v>
      </c>
      <c r="T690">
        <v>250</v>
      </c>
      <c r="U690">
        <v>190</v>
      </c>
      <c r="V690" t="s">
        <v>20</v>
      </c>
      <c r="W690" t="s">
        <v>21</v>
      </c>
      <c r="X690" t="s">
        <v>22</v>
      </c>
      <c r="Y690" t="s">
        <v>23</v>
      </c>
      <c r="AF690" t="s">
        <v>13</v>
      </c>
      <c r="AG690" t="str">
        <f>HYPERLINK("https://doi.org/10.1515/9780748686155")</f>
        <v>https://doi.org/10.1515/9780748686155</v>
      </c>
      <c r="AH690" t="str">
        <f>HYPERLINK("http://www.degruyter.com/isbn/9780748686155")</f>
        <v>http://www.degruyter.com/isbn/9780748686155</v>
      </c>
      <c r="AI690" t="s">
        <v>34</v>
      </c>
      <c r="AL690" t="s">
        <v>15</v>
      </c>
      <c r="AM690">
        <v>1</v>
      </c>
      <c r="AN690" s="2">
        <v>9780748686148</v>
      </c>
    </row>
    <row r="691" spans="1:40" x14ac:dyDescent="0.3">
      <c r="A691" t="s">
        <v>3567</v>
      </c>
      <c r="B691" t="s">
        <v>1</v>
      </c>
      <c r="C691" t="s">
        <v>3568</v>
      </c>
      <c r="D691" t="s">
        <v>2122</v>
      </c>
      <c r="E691" t="s">
        <v>3569</v>
      </c>
      <c r="F691" t="s">
        <v>5</v>
      </c>
      <c r="G691" t="s">
        <v>6</v>
      </c>
      <c r="L691" t="s">
        <v>7</v>
      </c>
      <c r="M691">
        <v>2006</v>
      </c>
      <c r="N691" s="1">
        <v>38828</v>
      </c>
      <c r="O691" t="s">
        <v>661</v>
      </c>
      <c r="P691">
        <v>1</v>
      </c>
      <c r="S691">
        <v>217.95</v>
      </c>
      <c r="T691">
        <v>250</v>
      </c>
      <c r="U691">
        <v>190</v>
      </c>
      <c r="V691" t="s">
        <v>42</v>
      </c>
      <c r="W691" t="s">
        <v>107</v>
      </c>
      <c r="X691" t="s">
        <v>108</v>
      </c>
      <c r="Y691" t="s">
        <v>221</v>
      </c>
      <c r="AF691" t="s">
        <v>13</v>
      </c>
      <c r="AG691" t="str">
        <f>HYPERLINK("https://doi.org/10.1515/9780748626786")</f>
        <v>https://doi.org/10.1515/9780748626786</v>
      </c>
      <c r="AH691" t="str">
        <f>HYPERLINK("http://www.degruyter.com/isbn/9780748626786")</f>
        <v>http://www.degruyter.com/isbn/9780748626786</v>
      </c>
      <c r="AI691" t="s">
        <v>68</v>
      </c>
      <c r="AL691" t="s">
        <v>47</v>
      </c>
      <c r="AM691">
        <v>1</v>
      </c>
      <c r="AN691" s="2">
        <v>9780748624515</v>
      </c>
    </row>
    <row r="692" spans="1:40" x14ac:dyDescent="0.3">
      <c r="A692" t="s">
        <v>3570</v>
      </c>
      <c r="B692" t="s">
        <v>1</v>
      </c>
      <c r="C692" t="s">
        <v>3571</v>
      </c>
      <c r="E692" t="s">
        <v>3572</v>
      </c>
      <c r="F692" t="s">
        <v>5</v>
      </c>
      <c r="G692" t="s">
        <v>6</v>
      </c>
      <c r="L692" t="s">
        <v>7</v>
      </c>
      <c r="M692">
        <v>2014</v>
      </c>
      <c r="N692" s="1">
        <v>41924</v>
      </c>
      <c r="O692" t="s">
        <v>3573</v>
      </c>
      <c r="P692">
        <v>1</v>
      </c>
      <c r="S692">
        <v>209.95</v>
      </c>
      <c r="T692">
        <v>240</v>
      </c>
      <c r="U692">
        <v>180</v>
      </c>
      <c r="V692" t="s">
        <v>98</v>
      </c>
      <c r="W692" t="s">
        <v>99</v>
      </c>
      <c r="X692" t="s">
        <v>386</v>
      </c>
      <c r="Y692" t="s">
        <v>387</v>
      </c>
      <c r="AF692" t="s">
        <v>13</v>
      </c>
      <c r="AG692" t="str">
        <f>HYPERLINK("https://doi.org/10.1515/9780748669783")</f>
        <v>https://doi.org/10.1515/9780748669783</v>
      </c>
      <c r="AH692" t="str">
        <f>HYPERLINK("http://www.degruyter.com/isbn/9780748669783")</f>
        <v>http://www.degruyter.com/isbn/9780748669783</v>
      </c>
      <c r="AI692" t="s">
        <v>34</v>
      </c>
      <c r="AL692" t="s">
        <v>102</v>
      </c>
      <c r="AM692">
        <v>1</v>
      </c>
      <c r="AN692" s="2">
        <v>9780748669769</v>
      </c>
    </row>
    <row r="693" spans="1:40" x14ac:dyDescent="0.3">
      <c r="A693" t="s">
        <v>3574</v>
      </c>
      <c r="B693" t="s">
        <v>1</v>
      </c>
      <c r="C693" t="s">
        <v>3575</v>
      </c>
      <c r="E693" t="s">
        <v>3576</v>
      </c>
      <c r="F693" t="s">
        <v>5</v>
      </c>
      <c r="G693" t="s">
        <v>6</v>
      </c>
      <c r="L693" t="s">
        <v>7</v>
      </c>
      <c r="M693">
        <v>2003</v>
      </c>
      <c r="N693" s="1">
        <v>37764</v>
      </c>
      <c r="O693" t="s">
        <v>3577</v>
      </c>
      <c r="P693">
        <v>1</v>
      </c>
      <c r="S693">
        <v>287.95</v>
      </c>
      <c r="T693">
        <v>330</v>
      </c>
      <c r="U693">
        <v>250</v>
      </c>
      <c r="V693" t="s">
        <v>98</v>
      </c>
      <c r="W693" t="s">
        <v>99</v>
      </c>
      <c r="X693" t="s">
        <v>386</v>
      </c>
      <c r="Y693" t="s">
        <v>387</v>
      </c>
      <c r="AF693" t="s">
        <v>13</v>
      </c>
      <c r="AG693" t="str">
        <f>HYPERLINK("https://doi.org/10.1515/9781474472999")</f>
        <v>https://doi.org/10.1515/9781474472999</v>
      </c>
      <c r="AH693" t="str">
        <f>HYPERLINK("http://www.degruyter.com/isbn/9781474472999")</f>
        <v>http://www.degruyter.com/isbn/9781474472999</v>
      </c>
      <c r="AI693" t="s">
        <v>68</v>
      </c>
      <c r="AL693" t="s">
        <v>102</v>
      </c>
      <c r="AM693">
        <v>1</v>
      </c>
      <c r="AN693" s="2">
        <v>9780748615391</v>
      </c>
    </row>
    <row r="694" spans="1:40" x14ac:dyDescent="0.3">
      <c r="A694" t="s">
        <v>3578</v>
      </c>
      <c r="B694" t="s">
        <v>1</v>
      </c>
      <c r="C694" t="s">
        <v>3579</v>
      </c>
      <c r="D694" t="s">
        <v>3580</v>
      </c>
      <c r="E694" t="s">
        <v>3581</v>
      </c>
      <c r="F694" t="s">
        <v>5</v>
      </c>
      <c r="G694" t="s">
        <v>6</v>
      </c>
      <c r="L694" t="s">
        <v>7</v>
      </c>
      <c r="M694">
        <v>2021</v>
      </c>
      <c r="N694" s="1">
        <v>44656</v>
      </c>
      <c r="O694" t="s">
        <v>3582</v>
      </c>
      <c r="P694">
        <v>1</v>
      </c>
      <c r="S694">
        <v>227.95</v>
      </c>
      <c r="T694">
        <v>260</v>
      </c>
      <c r="U694">
        <v>200</v>
      </c>
      <c r="V694" t="s">
        <v>9</v>
      </c>
      <c r="W694" t="s">
        <v>10</v>
      </c>
      <c r="X694" t="s">
        <v>11</v>
      </c>
      <c r="Y694" t="s">
        <v>52</v>
      </c>
      <c r="AF694" t="s">
        <v>13</v>
      </c>
      <c r="AG694" t="str">
        <f>HYPERLINK("https://doi.org/10.1515/9781474477871")</f>
        <v>https://doi.org/10.1515/9781474477871</v>
      </c>
      <c r="AH694" t="str">
        <f>HYPERLINK("http://www.degruyter.com/isbn/9781474477871")</f>
        <v>http://www.degruyter.com/isbn/9781474477871</v>
      </c>
      <c r="AI694" t="s">
        <v>908</v>
      </c>
      <c r="AJ694" t="s">
        <v>35</v>
      </c>
      <c r="AL694" t="s">
        <v>53</v>
      </c>
      <c r="AM694">
        <v>1</v>
      </c>
      <c r="AN694" s="2">
        <v>9781474477857</v>
      </c>
    </row>
    <row r="695" spans="1:40" x14ac:dyDescent="0.3">
      <c r="A695" t="s">
        <v>3583</v>
      </c>
      <c r="B695" t="s">
        <v>1</v>
      </c>
      <c r="C695" t="s">
        <v>3584</v>
      </c>
      <c r="D695" t="s">
        <v>3585</v>
      </c>
      <c r="E695" t="s">
        <v>3586</v>
      </c>
      <c r="F695" t="s">
        <v>5</v>
      </c>
      <c r="G695" t="s">
        <v>6</v>
      </c>
      <c r="L695" t="s">
        <v>7</v>
      </c>
      <c r="M695">
        <v>1996</v>
      </c>
      <c r="N695" s="1">
        <v>44607</v>
      </c>
      <c r="O695" t="s">
        <v>3587</v>
      </c>
      <c r="P695">
        <v>1</v>
      </c>
      <c r="S695">
        <v>217.95</v>
      </c>
      <c r="T695">
        <v>250</v>
      </c>
      <c r="U695">
        <v>190</v>
      </c>
      <c r="V695" t="s">
        <v>20</v>
      </c>
      <c r="W695" t="s">
        <v>21</v>
      </c>
      <c r="X695" t="s">
        <v>22</v>
      </c>
      <c r="Y695" t="s">
        <v>23</v>
      </c>
      <c r="AF695" t="s">
        <v>13</v>
      </c>
      <c r="AG695" t="str">
        <f>HYPERLINK("https://www.degruyter.com/isbn/9781474465458")</f>
        <v>https://www.degruyter.com/isbn/9781474465458</v>
      </c>
      <c r="AH695" t="str">
        <f>HYPERLINK("http://www.degruyter.com/isbn/9781474465458")</f>
        <v>http://www.degruyter.com/isbn/9781474465458</v>
      </c>
      <c r="AI695" t="s">
        <v>24</v>
      </c>
      <c r="AL695" t="s">
        <v>15</v>
      </c>
      <c r="AM695">
        <v>1</v>
      </c>
      <c r="AN695" s="2">
        <v>9780748608720</v>
      </c>
    </row>
    <row r="696" spans="1:40" x14ac:dyDescent="0.3">
      <c r="A696" t="s">
        <v>3588</v>
      </c>
      <c r="B696" t="s">
        <v>1</v>
      </c>
      <c r="C696" t="s">
        <v>3589</v>
      </c>
      <c r="E696" t="s">
        <v>3590</v>
      </c>
      <c r="F696" t="s">
        <v>5</v>
      </c>
      <c r="G696" t="s">
        <v>6</v>
      </c>
      <c r="K696" t="s">
        <v>929</v>
      </c>
      <c r="L696" t="s">
        <v>7</v>
      </c>
      <c r="M696">
        <v>2018</v>
      </c>
      <c r="N696" s="1">
        <v>43360</v>
      </c>
      <c r="O696" t="s">
        <v>3591</v>
      </c>
      <c r="P696">
        <v>1</v>
      </c>
      <c r="V696" t="s">
        <v>58</v>
      </c>
      <c r="W696" t="s">
        <v>59</v>
      </c>
      <c r="X696" t="s">
        <v>60</v>
      </c>
      <c r="Y696" t="s">
        <v>169</v>
      </c>
      <c r="AF696" t="s">
        <v>13</v>
      </c>
      <c r="AG696" t="str">
        <f>HYPERLINK("https://doi.org/10.1515/9781474437974")</f>
        <v>https://doi.org/10.1515/9781474437974</v>
      </c>
      <c r="AH696" t="str">
        <f>HYPERLINK("http://www.degruyter.com/isbn/9781474437974")</f>
        <v>http://www.degruyter.com/isbn/9781474437974</v>
      </c>
      <c r="AI696" t="s">
        <v>46</v>
      </c>
      <c r="AM696">
        <v>1</v>
      </c>
      <c r="AN696" s="2"/>
    </row>
    <row r="697" spans="1:40" x14ac:dyDescent="0.3">
      <c r="A697" t="s">
        <v>3592</v>
      </c>
      <c r="B697" t="s">
        <v>1</v>
      </c>
      <c r="C697" t="s">
        <v>3593</v>
      </c>
      <c r="E697" t="s">
        <v>3594</v>
      </c>
      <c r="F697" t="s">
        <v>5</v>
      </c>
      <c r="G697" t="s">
        <v>6</v>
      </c>
      <c r="L697" t="s">
        <v>7</v>
      </c>
      <c r="M697">
        <v>2020</v>
      </c>
      <c r="N697" s="1">
        <v>44644</v>
      </c>
      <c r="O697" t="s">
        <v>3595</v>
      </c>
      <c r="P697">
        <v>1</v>
      </c>
      <c r="S697">
        <v>321.95</v>
      </c>
      <c r="T697">
        <v>370</v>
      </c>
      <c r="U697">
        <v>280</v>
      </c>
      <c r="V697" t="s">
        <v>20</v>
      </c>
      <c r="W697" t="s">
        <v>21</v>
      </c>
      <c r="X697" t="s">
        <v>22</v>
      </c>
      <c r="Y697" t="s">
        <v>23</v>
      </c>
      <c r="AF697" t="s">
        <v>13</v>
      </c>
      <c r="AG697" t="str">
        <f>HYPERLINK("https://doi.org/10.1515/9781474444194?locatt=mode:legacy")</f>
        <v>https://doi.org/10.1515/9781474444194?locatt=mode:legacy</v>
      </c>
      <c r="AH697" t="str">
        <f>HYPERLINK("http://www.degruyter.com/isbn/9781474444194")</f>
        <v>http://www.degruyter.com/isbn/9781474444194</v>
      </c>
      <c r="AI697" t="s">
        <v>14</v>
      </c>
      <c r="AL697" t="s">
        <v>15</v>
      </c>
      <c r="AM697">
        <v>1</v>
      </c>
      <c r="AN697" s="2">
        <v>9781474444170</v>
      </c>
    </row>
    <row r="698" spans="1:40" x14ac:dyDescent="0.3">
      <c r="A698" t="s">
        <v>3596</v>
      </c>
      <c r="B698" t="s">
        <v>1</v>
      </c>
      <c r="C698" t="s">
        <v>3597</v>
      </c>
      <c r="D698" t="s">
        <v>3598</v>
      </c>
      <c r="E698" t="s">
        <v>3599</v>
      </c>
      <c r="F698" t="s">
        <v>5</v>
      </c>
      <c r="G698" t="s">
        <v>6</v>
      </c>
      <c r="L698" t="s">
        <v>7</v>
      </c>
      <c r="M698">
        <v>2012</v>
      </c>
      <c r="N698" s="1">
        <v>41031</v>
      </c>
      <c r="O698" t="s">
        <v>3600</v>
      </c>
      <c r="P698">
        <v>1</v>
      </c>
      <c r="S698">
        <v>243.95</v>
      </c>
      <c r="T698">
        <v>280</v>
      </c>
      <c r="U698">
        <v>210</v>
      </c>
      <c r="V698" t="s">
        <v>20</v>
      </c>
      <c r="W698" t="s">
        <v>470</v>
      </c>
      <c r="X698" t="s">
        <v>1269</v>
      </c>
      <c r="Y698" t="s">
        <v>1705</v>
      </c>
      <c r="AF698" t="s">
        <v>13</v>
      </c>
      <c r="AG698" t="str">
        <f>HYPERLINK("https://doi.org/10.1515/9780748646579")</f>
        <v>https://doi.org/10.1515/9780748646579</v>
      </c>
      <c r="AH698" t="str">
        <f>HYPERLINK("http://www.degruyter.com/isbn/9780748646579")</f>
        <v>http://www.degruyter.com/isbn/9780748646579</v>
      </c>
      <c r="AI698" t="s">
        <v>68</v>
      </c>
      <c r="AL698" t="s">
        <v>15</v>
      </c>
      <c r="AM698">
        <v>1</v>
      </c>
      <c r="AN698" s="2">
        <v>9780748646562</v>
      </c>
    </row>
    <row r="699" spans="1:40" x14ac:dyDescent="0.3">
      <c r="A699" t="s">
        <v>3601</v>
      </c>
      <c r="B699" t="s">
        <v>1</v>
      </c>
      <c r="C699" t="s">
        <v>3602</v>
      </c>
      <c r="D699" t="s">
        <v>3603</v>
      </c>
      <c r="E699" t="s">
        <v>3604</v>
      </c>
      <c r="F699" t="s">
        <v>5</v>
      </c>
      <c r="G699" t="s">
        <v>6</v>
      </c>
      <c r="L699" t="s">
        <v>7</v>
      </c>
      <c r="M699">
        <v>2019</v>
      </c>
      <c r="N699" s="1">
        <v>44644</v>
      </c>
      <c r="O699" t="s">
        <v>3605</v>
      </c>
      <c r="P699">
        <v>1</v>
      </c>
      <c r="S699">
        <v>99.95</v>
      </c>
      <c r="T699">
        <v>114</v>
      </c>
      <c r="U699">
        <v>84</v>
      </c>
      <c r="V699" t="s">
        <v>847</v>
      </c>
      <c r="W699" t="s">
        <v>848</v>
      </c>
      <c r="X699" t="s">
        <v>20</v>
      </c>
      <c r="Y699" t="s">
        <v>3606</v>
      </c>
      <c r="AF699" t="s">
        <v>13</v>
      </c>
      <c r="AG699" t="str">
        <f>HYPERLINK("https://www.degruyter.com/isbn/9781474448024")</f>
        <v>https://www.degruyter.com/isbn/9781474448024</v>
      </c>
      <c r="AH699" t="str">
        <f>HYPERLINK("http://www.degruyter.com/isbn/9781474448024")</f>
        <v>http://www.degruyter.com/isbn/9781474448024</v>
      </c>
      <c r="AI699" t="s">
        <v>280</v>
      </c>
      <c r="AL699" t="s">
        <v>1070</v>
      </c>
      <c r="AM699">
        <v>1</v>
      </c>
      <c r="AN699" s="2">
        <v>9781474448017</v>
      </c>
    </row>
    <row r="700" spans="1:40" x14ac:dyDescent="0.3">
      <c r="A700" t="s">
        <v>3607</v>
      </c>
      <c r="B700" t="s">
        <v>1</v>
      </c>
      <c r="C700" t="s">
        <v>3608</v>
      </c>
      <c r="D700" t="s">
        <v>3609</v>
      </c>
      <c r="E700" t="s">
        <v>3610</v>
      </c>
      <c r="F700" t="s">
        <v>5</v>
      </c>
      <c r="G700" t="s">
        <v>6</v>
      </c>
      <c r="L700" t="s">
        <v>7</v>
      </c>
      <c r="M700">
        <v>2019</v>
      </c>
      <c r="N700" s="1">
        <v>44644</v>
      </c>
      <c r="O700" t="s">
        <v>3611</v>
      </c>
      <c r="P700">
        <v>1</v>
      </c>
      <c r="S700">
        <v>380.95</v>
      </c>
      <c r="T700">
        <v>430</v>
      </c>
      <c r="U700">
        <v>330</v>
      </c>
      <c r="V700" t="s">
        <v>268</v>
      </c>
      <c r="W700" t="s">
        <v>269</v>
      </c>
      <c r="X700" t="s">
        <v>269</v>
      </c>
      <c r="Y700" t="s">
        <v>3612</v>
      </c>
      <c r="AF700" t="s">
        <v>13</v>
      </c>
      <c r="AG700" t="str">
        <f>HYPERLINK("https://doi.org/10.1515/9781474412018")</f>
        <v>https://doi.org/10.1515/9781474412018</v>
      </c>
      <c r="AH700" t="str">
        <f>HYPERLINK("http://www.degruyter.com/isbn/9781474412018")</f>
        <v>http://www.degruyter.com/isbn/9781474412018</v>
      </c>
      <c r="AI700" t="s">
        <v>3613</v>
      </c>
      <c r="AL700" t="s">
        <v>272</v>
      </c>
      <c r="AM700">
        <v>1</v>
      </c>
      <c r="AN700" s="2">
        <v>9781474411998</v>
      </c>
    </row>
    <row r="701" spans="1:40" x14ac:dyDescent="0.3">
      <c r="A701" t="s">
        <v>3614</v>
      </c>
      <c r="B701" t="s">
        <v>1</v>
      </c>
      <c r="C701" t="s">
        <v>3615</v>
      </c>
      <c r="E701" t="s">
        <v>3616</v>
      </c>
      <c r="F701" t="s">
        <v>5</v>
      </c>
      <c r="G701" t="s">
        <v>6</v>
      </c>
      <c r="L701" t="s">
        <v>7</v>
      </c>
      <c r="M701">
        <v>2015</v>
      </c>
      <c r="N701" s="1">
        <v>42142</v>
      </c>
      <c r="O701" t="s">
        <v>3617</v>
      </c>
      <c r="P701">
        <v>1</v>
      </c>
      <c r="S701">
        <v>243.95</v>
      </c>
      <c r="T701">
        <v>280</v>
      </c>
      <c r="U701">
        <v>210</v>
      </c>
      <c r="V701" t="s">
        <v>79</v>
      </c>
      <c r="W701" t="s">
        <v>783</v>
      </c>
      <c r="X701" t="s">
        <v>783</v>
      </c>
      <c r="Y701" t="s">
        <v>784</v>
      </c>
      <c r="AF701" t="s">
        <v>13</v>
      </c>
      <c r="AG701" t="str">
        <f>HYPERLINK("https://doi.org/10.1515/9780748694440?locatt=mode:legacy")</f>
        <v>https://doi.org/10.1515/9780748694440?locatt=mode:legacy</v>
      </c>
      <c r="AH701" t="str">
        <f>HYPERLINK("http://www.degruyter.com/isbn/9780748694440")</f>
        <v>http://www.degruyter.com/isbn/9780748694440</v>
      </c>
      <c r="AI701" t="s">
        <v>34</v>
      </c>
      <c r="AL701" t="s">
        <v>83</v>
      </c>
      <c r="AM701">
        <v>1</v>
      </c>
      <c r="AN701" s="2">
        <v>9780748694433</v>
      </c>
    </row>
    <row r="702" spans="1:40" x14ac:dyDescent="0.3">
      <c r="A702" t="s">
        <v>3618</v>
      </c>
      <c r="B702" t="s">
        <v>1</v>
      </c>
      <c r="C702" t="s">
        <v>3619</v>
      </c>
      <c r="D702" t="s">
        <v>3620</v>
      </c>
      <c r="E702" t="s">
        <v>3621</v>
      </c>
      <c r="F702" t="s">
        <v>5</v>
      </c>
      <c r="G702" t="s">
        <v>6</v>
      </c>
      <c r="L702" t="s">
        <v>7</v>
      </c>
      <c r="M702">
        <v>2017</v>
      </c>
      <c r="N702" s="1">
        <v>42878</v>
      </c>
      <c r="O702" t="s">
        <v>3622</v>
      </c>
      <c r="P702">
        <v>1</v>
      </c>
      <c r="S702">
        <v>217.95</v>
      </c>
      <c r="T702">
        <v>250</v>
      </c>
      <c r="U702">
        <v>190</v>
      </c>
      <c r="V702" t="s">
        <v>98</v>
      </c>
      <c r="W702" t="s">
        <v>366</v>
      </c>
      <c r="X702" t="s">
        <v>367</v>
      </c>
      <c r="Y702" t="s">
        <v>368</v>
      </c>
      <c r="AF702" t="s">
        <v>13</v>
      </c>
      <c r="AG702" t="str">
        <f>HYPERLINK("https://doi.org/10.1515/9781474420877?locatt=mode:legacy")</f>
        <v>https://doi.org/10.1515/9781474420877?locatt=mode:legacy</v>
      </c>
      <c r="AH702" t="str">
        <f>HYPERLINK("http://www.degruyter.com/isbn/9781474420877")</f>
        <v>http://www.degruyter.com/isbn/9781474420877</v>
      </c>
      <c r="AI702" t="s">
        <v>222</v>
      </c>
      <c r="AL702" t="s">
        <v>102</v>
      </c>
      <c r="AM702">
        <v>1</v>
      </c>
      <c r="AN702" s="2">
        <v>9781474420860</v>
      </c>
    </row>
    <row r="703" spans="1:40" x14ac:dyDescent="0.3">
      <c r="A703" t="s">
        <v>3623</v>
      </c>
      <c r="B703" t="s">
        <v>1</v>
      </c>
      <c r="C703" t="s">
        <v>3624</v>
      </c>
      <c r="D703" t="s">
        <v>3625</v>
      </c>
      <c r="E703" t="s">
        <v>3626</v>
      </c>
      <c r="F703" t="s">
        <v>5</v>
      </c>
      <c r="G703" t="s">
        <v>6</v>
      </c>
      <c r="L703" t="s">
        <v>7</v>
      </c>
      <c r="M703">
        <v>2002</v>
      </c>
      <c r="N703" s="1">
        <v>44592</v>
      </c>
      <c r="O703" t="s">
        <v>3627</v>
      </c>
      <c r="P703">
        <v>1</v>
      </c>
      <c r="S703">
        <v>217.95</v>
      </c>
      <c r="T703">
        <v>250</v>
      </c>
      <c r="U703">
        <v>190</v>
      </c>
      <c r="V703" t="s">
        <v>58</v>
      </c>
      <c r="W703" t="s">
        <v>59</v>
      </c>
      <c r="X703" t="s">
        <v>60</v>
      </c>
      <c r="Y703" t="s">
        <v>1669</v>
      </c>
      <c r="AF703" t="s">
        <v>13</v>
      </c>
      <c r="AG703" t="str">
        <f>HYPERLINK("https://doi.org/10.1515/9780748674473")</f>
        <v>https://doi.org/10.1515/9780748674473</v>
      </c>
      <c r="AH703" t="str">
        <f>HYPERLINK("http://www.degruyter.com/isbn/9780748674473")</f>
        <v>http://www.degruyter.com/isbn/9780748674473</v>
      </c>
      <c r="AI703" t="s">
        <v>68</v>
      </c>
      <c r="AL703" t="s">
        <v>62</v>
      </c>
      <c r="AM703">
        <v>1</v>
      </c>
      <c r="AN703" s="2">
        <v>9781902930367</v>
      </c>
    </row>
    <row r="704" spans="1:40" x14ac:dyDescent="0.3">
      <c r="A704" t="s">
        <v>3628</v>
      </c>
      <c r="B704" t="s">
        <v>1</v>
      </c>
      <c r="C704" t="s">
        <v>3629</v>
      </c>
      <c r="E704" t="s">
        <v>3630</v>
      </c>
      <c r="F704" t="s">
        <v>5</v>
      </c>
      <c r="G704" t="s">
        <v>6</v>
      </c>
      <c r="L704" t="s">
        <v>7</v>
      </c>
      <c r="M704">
        <v>2013</v>
      </c>
      <c r="N704" s="1">
        <v>41506</v>
      </c>
      <c r="O704" t="s">
        <v>3631</v>
      </c>
      <c r="P704">
        <v>1</v>
      </c>
      <c r="S704">
        <v>191.95</v>
      </c>
      <c r="T704">
        <v>220</v>
      </c>
      <c r="U704">
        <v>170</v>
      </c>
      <c r="V704" t="s">
        <v>42</v>
      </c>
      <c r="W704" t="s">
        <v>161</v>
      </c>
      <c r="X704" t="s">
        <v>162</v>
      </c>
      <c r="Y704" t="s">
        <v>896</v>
      </c>
      <c r="AF704" t="s">
        <v>13</v>
      </c>
      <c r="AG704" t="str">
        <f>HYPERLINK("https://doi.org/10.1515/9780748683147")</f>
        <v>https://doi.org/10.1515/9780748683147</v>
      </c>
      <c r="AH704" t="str">
        <f>HYPERLINK("http://www.degruyter.com/isbn/9780748683147")</f>
        <v>http://www.degruyter.com/isbn/9780748683147</v>
      </c>
      <c r="AI704" t="s">
        <v>68</v>
      </c>
      <c r="AL704" t="s">
        <v>47</v>
      </c>
      <c r="AM704">
        <v>1</v>
      </c>
      <c r="AN704" s="2">
        <v>9780748683123</v>
      </c>
    </row>
    <row r="705" spans="1:40" x14ac:dyDescent="0.3">
      <c r="A705" t="s">
        <v>3632</v>
      </c>
      <c r="B705" t="s">
        <v>1</v>
      </c>
      <c r="C705" t="s">
        <v>3633</v>
      </c>
      <c r="E705" t="s">
        <v>3634</v>
      </c>
      <c r="F705" t="s">
        <v>5</v>
      </c>
      <c r="G705" t="s">
        <v>6</v>
      </c>
      <c r="L705" t="s">
        <v>7</v>
      </c>
      <c r="M705">
        <v>2019</v>
      </c>
      <c r="N705" s="1">
        <v>44656</v>
      </c>
      <c r="O705" t="s">
        <v>3635</v>
      </c>
      <c r="P705">
        <v>1</v>
      </c>
      <c r="S705">
        <v>227.95</v>
      </c>
      <c r="T705">
        <v>260</v>
      </c>
      <c r="U705">
        <v>200</v>
      </c>
      <c r="V705" t="s">
        <v>58</v>
      </c>
      <c r="W705" t="s">
        <v>59</v>
      </c>
      <c r="X705" t="s">
        <v>60</v>
      </c>
      <c r="Y705" t="s">
        <v>73</v>
      </c>
      <c r="AF705" t="s">
        <v>13</v>
      </c>
      <c r="AG705" t="str">
        <f>HYPERLINK("https://doi.org/10.1515/9781474442626")</f>
        <v>https://doi.org/10.1515/9781474442626</v>
      </c>
      <c r="AH705" t="str">
        <f>HYPERLINK("http://www.degruyter.com/isbn/9781474442626")</f>
        <v>http://www.degruyter.com/isbn/9781474442626</v>
      </c>
      <c r="AI705" t="s">
        <v>280</v>
      </c>
      <c r="AL705" t="s">
        <v>62</v>
      </c>
      <c r="AM705">
        <v>1</v>
      </c>
      <c r="AN705" s="2">
        <v>9781474442602</v>
      </c>
    </row>
    <row r="706" spans="1:40" x14ac:dyDescent="0.3">
      <c r="A706" t="s">
        <v>3636</v>
      </c>
      <c r="B706" t="s">
        <v>1</v>
      </c>
      <c r="C706" t="s">
        <v>3637</v>
      </c>
      <c r="E706" t="s">
        <v>3638</v>
      </c>
      <c r="F706" t="s">
        <v>5</v>
      </c>
      <c r="G706" t="s">
        <v>6</v>
      </c>
      <c r="L706" t="s">
        <v>7</v>
      </c>
      <c r="M706">
        <v>2006</v>
      </c>
      <c r="N706" s="1">
        <v>38902</v>
      </c>
      <c r="O706" t="s">
        <v>3639</v>
      </c>
      <c r="P706">
        <v>1</v>
      </c>
      <c r="S706">
        <v>279.95</v>
      </c>
      <c r="T706">
        <v>320</v>
      </c>
      <c r="U706">
        <v>240</v>
      </c>
      <c r="V706" t="s">
        <v>42</v>
      </c>
      <c r="W706" t="s">
        <v>107</v>
      </c>
      <c r="X706" t="s">
        <v>108</v>
      </c>
      <c r="Y706" t="s">
        <v>952</v>
      </c>
      <c r="AF706" t="s">
        <v>13</v>
      </c>
      <c r="AG706" t="str">
        <f>HYPERLINK("https://doi.org/10.1515/9780748627110")</f>
        <v>https://doi.org/10.1515/9780748627110</v>
      </c>
      <c r="AH706" t="str">
        <f>HYPERLINK("http://www.degruyter.com/isbn/9780748627110")</f>
        <v>http://www.degruyter.com/isbn/9780748627110</v>
      </c>
      <c r="AI706" t="s">
        <v>68</v>
      </c>
      <c r="AL706" t="s">
        <v>47</v>
      </c>
      <c r="AM706">
        <v>1</v>
      </c>
      <c r="AN706" s="2">
        <v>9780748622320</v>
      </c>
    </row>
    <row r="707" spans="1:40" x14ac:dyDescent="0.3">
      <c r="A707" t="s">
        <v>3640</v>
      </c>
      <c r="B707" t="s">
        <v>1</v>
      </c>
      <c r="C707" t="s">
        <v>3641</v>
      </c>
      <c r="D707" t="s">
        <v>3642</v>
      </c>
      <c r="E707" t="s">
        <v>3643</v>
      </c>
      <c r="F707" t="s">
        <v>5</v>
      </c>
      <c r="G707" t="s">
        <v>6</v>
      </c>
      <c r="L707" t="s">
        <v>7</v>
      </c>
      <c r="M707">
        <v>2001</v>
      </c>
      <c r="N707" s="1">
        <v>44607</v>
      </c>
      <c r="O707" t="s">
        <v>3644</v>
      </c>
      <c r="P707">
        <v>1</v>
      </c>
      <c r="S707">
        <v>217.95</v>
      </c>
      <c r="T707">
        <v>250</v>
      </c>
      <c r="U707">
        <v>190</v>
      </c>
      <c r="V707" t="s">
        <v>79</v>
      </c>
      <c r="W707" t="s">
        <v>209</v>
      </c>
      <c r="X707" t="s">
        <v>209</v>
      </c>
      <c r="Y707" t="s">
        <v>510</v>
      </c>
      <c r="AF707" t="s">
        <v>13</v>
      </c>
      <c r="AG707" t="str">
        <f>HYPERLINK("https://doi.org/10.1515/9781474468718")</f>
        <v>https://doi.org/10.1515/9781474468718</v>
      </c>
      <c r="AH707" t="str">
        <f>HYPERLINK("http://www.degruyter.com/isbn/9781474468718")</f>
        <v>http://www.degruyter.com/isbn/9781474468718</v>
      </c>
      <c r="AI707" t="s">
        <v>68</v>
      </c>
      <c r="AL707" t="s">
        <v>83</v>
      </c>
      <c r="AM707">
        <v>1</v>
      </c>
      <c r="AN707" s="2">
        <v>9780748614189</v>
      </c>
    </row>
    <row r="708" spans="1:40" x14ac:dyDescent="0.3">
      <c r="A708" t="s">
        <v>3645</v>
      </c>
      <c r="B708" t="s">
        <v>1</v>
      </c>
      <c r="C708" t="s">
        <v>3646</v>
      </c>
      <c r="E708" t="s">
        <v>3647</v>
      </c>
      <c r="F708" t="s">
        <v>5</v>
      </c>
      <c r="G708" t="s">
        <v>6</v>
      </c>
      <c r="L708" t="s">
        <v>7</v>
      </c>
      <c r="M708">
        <v>2011</v>
      </c>
      <c r="N708" s="1">
        <v>40626</v>
      </c>
      <c r="O708" t="s">
        <v>3648</v>
      </c>
      <c r="P708">
        <v>1</v>
      </c>
      <c r="S708">
        <v>253.95</v>
      </c>
      <c r="T708">
        <v>290</v>
      </c>
      <c r="U708">
        <v>220</v>
      </c>
      <c r="V708" t="s">
        <v>58</v>
      </c>
      <c r="W708" t="s">
        <v>59</v>
      </c>
      <c r="X708" t="s">
        <v>278</v>
      </c>
      <c r="Y708" t="s">
        <v>932</v>
      </c>
      <c r="AF708" t="s">
        <v>13</v>
      </c>
      <c r="AG708" t="str">
        <f>HYPERLINK("https://doi.org/10.1515/9780748636983?locatt=mode:legacy")</f>
        <v>https://doi.org/10.1515/9780748636983?locatt=mode:legacy</v>
      </c>
      <c r="AH708" t="str">
        <f>HYPERLINK("http://www.degruyter.com/isbn/9780748636983")</f>
        <v>http://www.degruyter.com/isbn/9780748636983</v>
      </c>
      <c r="AI708" t="s">
        <v>68</v>
      </c>
      <c r="AL708" t="s">
        <v>62</v>
      </c>
      <c r="AM708">
        <v>1</v>
      </c>
      <c r="AN708" s="2">
        <v>9780748636969</v>
      </c>
    </row>
    <row r="709" spans="1:40" x14ac:dyDescent="0.3">
      <c r="A709" t="s">
        <v>3649</v>
      </c>
      <c r="B709" t="s">
        <v>1</v>
      </c>
      <c r="C709" t="s">
        <v>3650</v>
      </c>
      <c r="E709" t="s">
        <v>3651</v>
      </c>
      <c r="F709" t="s">
        <v>5</v>
      </c>
      <c r="G709" t="s">
        <v>6</v>
      </c>
      <c r="L709" t="s">
        <v>7</v>
      </c>
      <c r="M709">
        <v>2003</v>
      </c>
      <c r="N709" s="1">
        <v>37638</v>
      </c>
      <c r="O709" t="s">
        <v>3652</v>
      </c>
      <c r="P709">
        <v>1</v>
      </c>
      <c r="S709">
        <v>295.95</v>
      </c>
      <c r="T709">
        <v>340</v>
      </c>
      <c r="U709">
        <v>260</v>
      </c>
      <c r="V709" t="s">
        <v>1325</v>
      </c>
      <c r="W709" t="s">
        <v>2407</v>
      </c>
      <c r="X709" t="s">
        <v>2407</v>
      </c>
      <c r="Y709" t="s">
        <v>3653</v>
      </c>
      <c r="AF709" t="s">
        <v>13</v>
      </c>
      <c r="AG709" t="str">
        <f>HYPERLINK("https://doi.org/10.1515/9781474465380")</f>
        <v>https://doi.org/10.1515/9781474465380</v>
      </c>
      <c r="AH709" t="str">
        <f>HYPERLINK("http://www.degruyter.com/isbn/9781474465380")</f>
        <v>http://www.degruyter.com/isbn/9781474465380</v>
      </c>
      <c r="AI709" t="s">
        <v>68</v>
      </c>
      <c r="AL709" t="s">
        <v>1328</v>
      </c>
      <c r="AM709">
        <v>1</v>
      </c>
      <c r="AN709" s="2">
        <v>9780748614370</v>
      </c>
    </row>
    <row r="710" spans="1:40" x14ac:dyDescent="0.3">
      <c r="A710" t="s">
        <v>3654</v>
      </c>
      <c r="B710" t="s">
        <v>1</v>
      </c>
      <c r="C710" t="s">
        <v>3655</v>
      </c>
      <c r="D710" t="s">
        <v>3656</v>
      </c>
      <c r="E710" t="s">
        <v>3657</v>
      </c>
      <c r="F710" t="s">
        <v>5</v>
      </c>
      <c r="G710" t="s">
        <v>6</v>
      </c>
      <c r="L710" t="s">
        <v>7</v>
      </c>
      <c r="M710">
        <v>1996</v>
      </c>
      <c r="N710" s="1">
        <v>44644</v>
      </c>
      <c r="O710" t="s">
        <v>3658</v>
      </c>
      <c r="P710">
        <v>1</v>
      </c>
      <c r="S710">
        <v>217.95</v>
      </c>
      <c r="T710">
        <v>250</v>
      </c>
      <c r="U710">
        <v>190</v>
      </c>
      <c r="V710" t="s">
        <v>42</v>
      </c>
      <c r="W710" t="s">
        <v>740</v>
      </c>
      <c r="X710" t="s">
        <v>741</v>
      </c>
      <c r="Y710" t="s">
        <v>1263</v>
      </c>
      <c r="AF710" t="s">
        <v>13</v>
      </c>
      <c r="AG710" t="str">
        <f>HYPERLINK("https://doi.org/10.1515/9781474468374")</f>
        <v>https://doi.org/10.1515/9781474468374</v>
      </c>
      <c r="AH710" t="str">
        <f>HYPERLINK("http://www.degruyter.com/isbn/9781474468374")</f>
        <v>http://www.degruyter.com/isbn/9781474468374</v>
      </c>
      <c r="AI710" t="s">
        <v>24</v>
      </c>
      <c r="AL710" t="s">
        <v>47</v>
      </c>
      <c r="AM710">
        <v>1</v>
      </c>
      <c r="AN710" s="2">
        <v>9780748607075</v>
      </c>
    </row>
    <row r="711" spans="1:40" x14ac:dyDescent="0.3">
      <c r="A711" t="s">
        <v>3659</v>
      </c>
      <c r="B711" t="s">
        <v>1</v>
      </c>
      <c r="C711" t="s">
        <v>3660</v>
      </c>
      <c r="D711" t="s">
        <v>3661</v>
      </c>
      <c r="E711" t="s">
        <v>3662</v>
      </c>
      <c r="F711" t="s">
        <v>5</v>
      </c>
      <c r="G711" t="s">
        <v>6</v>
      </c>
      <c r="L711" t="s">
        <v>7</v>
      </c>
      <c r="M711">
        <v>2000</v>
      </c>
      <c r="N711" s="1">
        <v>44683</v>
      </c>
      <c r="O711" t="s">
        <v>3663</v>
      </c>
      <c r="P711">
        <v>1</v>
      </c>
      <c r="S711">
        <v>217.95</v>
      </c>
      <c r="T711">
        <v>250</v>
      </c>
      <c r="U711">
        <v>190</v>
      </c>
      <c r="V711" t="s">
        <v>98</v>
      </c>
      <c r="W711" t="s">
        <v>99</v>
      </c>
      <c r="X711" t="s">
        <v>386</v>
      </c>
      <c r="Y711" t="s">
        <v>387</v>
      </c>
      <c r="AF711" t="s">
        <v>13</v>
      </c>
      <c r="AG711" t="str">
        <f>HYPERLINK("https://doi.org/10.1515/9781474401005")</f>
        <v>https://doi.org/10.1515/9781474401005</v>
      </c>
      <c r="AH711" t="str">
        <f>HYPERLINK("http://www.degruyter.com/isbn/9781474401005")</f>
        <v>http://www.degruyter.com/isbn/9781474401005</v>
      </c>
      <c r="AI711" t="s">
        <v>68</v>
      </c>
      <c r="AL711" t="s">
        <v>102</v>
      </c>
      <c r="AM711">
        <v>1</v>
      </c>
      <c r="AN711" s="2">
        <v>9780748612192</v>
      </c>
    </row>
    <row r="712" spans="1:40" x14ac:dyDescent="0.3">
      <c r="A712" t="s">
        <v>3664</v>
      </c>
      <c r="B712" t="s">
        <v>1</v>
      </c>
      <c r="C712" t="s">
        <v>3665</v>
      </c>
      <c r="E712" t="s">
        <v>3666</v>
      </c>
      <c r="F712" t="s">
        <v>5</v>
      </c>
      <c r="G712" t="s">
        <v>6</v>
      </c>
      <c r="L712" t="s">
        <v>7</v>
      </c>
      <c r="M712">
        <v>2007</v>
      </c>
      <c r="N712" s="1">
        <v>39183</v>
      </c>
      <c r="O712" t="s">
        <v>3667</v>
      </c>
      <c r="P712">
        <v>1</v>
      </c>
      <c r="S712">
        <v>295.95</v>
      </c>
      <c r="T712">
        <v>340</v>
      </c>
      <c r="U712">
        <v>260</v>
      </c>
      <c r="V712" t="s">
        <v>42</v>
      </c>
      <c r="W712" t="s">
        <v>107</v>
      </c>
      <c r="X712" t="s">
        <v>108</v>
      </c>
      <c r="Y712" t="s">
        <v>109</v>
      </c>
      <c r="AF712" t="s">
        <v>13</v>
      </c>
      <c r="AG712" t="str">
        <f>HYPERLINK("https://doi.org/10.1515/9780748630288")</f>
        <v>https://doi.org/10.1515/9780748630288</v>
      </c>
      <c r="AH712" t="str">
        <f>HYPERLINK("http://www.degruyter.com/isbn/9780748630288")</f>
        <v>http://www.degruyter.com/isbn/9780748630288</v>
      </c>
      <c r="AI712" t="s">
        <v>68</v>
      </c>
      <c r="AL712" t="s">
        <v>47</v>
      </c>
      <c r="AM712">
        <v>1</v>
      </c>
      <c r="AN712" s="2">
        <v>9780748623952</v>
      </c>
    </row>
    <row r="713" spans="1:40" x14ac:dyDescent="0.3">
      <c r="A713" t="s">
        <v>3668</v>
      </c>
      <c r="B713" t="s">
        <v>1</v>
      </c>
      <c r="C713" t="s">
        <v>3669</v>
      </c>
      <c r="E713" t="s">
        <v>3670</v>
      </c>
      <c r="F713" t="s">
        <v>5</v>
      </c>
      <c r="G713" t="s">
        <v>6</v>
      </c>
      <c r="L713" t="s">
        <v>7</v>
      </c>
      <c r="M713">
        <v>2020</v>
      </c>
      <c r="N713" s="1">
        <v>44644</v>
      </c>
      <c r="O713" t="s">
        <v>3671</v>
      </c>
      <c r="P713">
        <v>1</v>
      </c>
      <c r="S713">
        <v>217.95</v>
      </c>
      <c r="T713">
        <v>250</v>
      </c>
      <c r="U713">
        <v>190</v>
      </c>
      <c r="V713" t="s">
        <v>305</v>
      </c>
      <c r="W713" t="s">
        <v>650</v>
      </c>
      <c r="X713" t="s">
        <v>650</v>
      </c>
      <c r="Y713" t="s">
        <v>651</v>
      </c>
      <c r="AF713" t="s">
        <v>13</v>
      </c>
      <c r="AG713" t="str">
        <f>HYPERLINK("https://doi.org/10.1515/9781474457675")</f>
        <v>https://doi.org/10.1515/9781474457675</v>
      </c>
      <c r="AH713" t="str">
        <f>HYPERLINK("http://www.degruyter.com/isbn/9781474457675")</f>
        <v>http://www.degruyter.com/isbn/9781474457675</v>
      </c>
      <c r="AI713" t="s">
        <v>3672</v>
      </c>
      <c r="AL713" t="s">
        <v>308</v>
      </c>
      <c r="AM713">
        <v>1</v>
      </c>
      <c r="AN713" s="2">
        <v>9781474457651</v>
      </c>
    </row>
    <row r="714" spans="1:40" x14ac:dyDescent="0.3">
      <c r="A714" t="s">
        <v>3673</v>
      </c>
      <c r="B714" t="s">
        <v>1</v>
      </c>
      <c r="C714" t="s">
        <v>3674</v>
      </c>
      <c r="E714" t="s">
        <v>3675</v>
      </c>
      <c r="F714" t="s">
        <v>5</v>
      </c>
      <c r="G714" t="s">
        <v>6</v>
      </c>
      <c r="L714" t="s">
        <v>7</v>
      </c>
      <c r="M714">
        <v>1993</v>
      </c>
      <c r="N714" s="1">
        <v>44607</v>
      </c>
      <c r="O714" t="s">
        <v>3676</v>
      </c>
      <c r="P714">
        <v>1</v>
      </c>
      <c r="S714">
        <v>217.95</v>
      </c>
      <c r="T714">
        <v>250</v>
      </c>
      <c r="U714">
        <v>190</v>
      </c>
      <c r="V714" t="s">
        <v>42</v>
      </c>
      <c r="W714" t="s">
        <v>107</v>
      </c>
      <c r="X714" t="s">
        <v>108</v>
      </c>
      <c r="Y714" t="s">
        <v>109</v>
      </c>
      <c r="AF714" t="s">
        <v>13</v>
      </c>
      <c r="AG714" t="str">
        <f>HYPERLINK("https://doi.org/10.1515/9781474473392")</f>
        <v>https://doi.org/10.1515/9781474473392</v>
      </c>
      <c r="AH714" t="str">
        <f>HYPERLINK("http://www.degruyter.com/isbn/9781474473392")</f>
        <v>http://www.degruyter.com/isbn/9781474473392</v>
      </c>
      <c r="AI714" t="s">
        <v>24</v>
      </c>
      <c r="AL714" t="s">
        <v>47</v>
      </c>
      <c r="AM714">
        <v>1</v>
      </c>
      <c r="AN714" s="2">
        <v>9780748604159</v>
      </c>
    </row>
    <row r="715" spans="1:40" x14ac:dyDescent="0.3">
      <c r="A715" t="s">
        <v>3677</v>
      </c>
      <c r="B715" t="s">
        <v>1</v>
      </c>
      <c r="C715" t="s">
        <v>3678</v>
      </c>
      <c r="D715" t="s">
        <v>3679</v>
      </c>
      <c r="E715" t="s">
        <v>3680</v>
      </c>
      <c r="F715" t="s">
        <v>5</v>
      </c>
      <c r="G715" t="s">
        <v>6</v>
      </c>
      <c r="L715" t="s">
        <v>7</v>
      </c>
      <c r="M715">
        <v>2017</v>
      </c>
      <c r="N715" s="1">
        <v>42993</v>
      </c>
      <c r="O715" t="s">
        <v>3681</v>
      </c>
      <c r="P715">
        <v>1</v>
      </c>
      <c r="S715">
        <v>253.95</v>
      </c>
      <c r="T715">
        <v>290</v>
      </c>
      <c r="U715">
        <v>220</v>
      </c>
      <c r="V715" t="s">
        <v>58</v>
      </c>
      <c r="W715" t="s">
        <v>59</v>
      </c>
      <c r="X715" t="s">
        <v>60</v>
      </c>
      <c r="Y715" t="s">
        <v>145</v>
      </c>
      <c r="AF715" t="s">
        <v>13</v>
      </c>
      <c r="AG715" t="str">
        <f>HYPERLINK("https://doi.org/10.1515/9780748696390")</f>
        <v>https://doi.org/10.1515/9780748696390</v>
      </c>
      <c r="AH715" t="str">
        <f>HYPERLINK("http://www.degruyter.com/isbn/9780748696390")</f>
        <v>http://www.degruyter.com/isbn/9780748696390</v>
      </c>
      <c r="AI715" t="s">
        <v>222</v>
      </c>
      <c r="AL715" t="s">
        <v>62</v>
      </c>
      <c r="AM715">
        <v>1</v>
      </c>
      <c r="AN715" s="2">
        <v>9780748696383</v>
      </c>
    </row>
    <row r="716" spans="1:40" x14ac:dyDescent="0.3">
      <c r="A716" t="s">
        <v>3682</v>
      </c>
      <c r="B716" t="s">
        <v>1</v>
      </c>
      <c r="C716" t="s">
        <v>3683</v>
      </c>
      <c r="E716" t="s">
        <v>3684</v>
      </c>
      <c r="F716" t="s">
        <v>5</v>
      </c>
      <c r="G716" t="s">
        <v>6</v>
      </c>
      <c r="L716" t="s">
        <v>7</v>
      </c>
      <c r="M716">
        <v>2020</v>
      </c>
      <c r="N716" s="1">
        <v>44644</v>
      </c>
      <c r="O716" t="s">
        <v>3685</v>
      </c>
      <c r="P716">
        <v>1</v>
      </c>
      <c r="S716">
        <v>227.95</v>
      </c>
      <c r="T716">
        <v>260</v>
      </c>
      <c r="U716">
        <v>200</v>
      </c>
      <c r="V716" t="s">
        <v>58</v>
      </c>
      <c r="W716" t="s">
        <v>59</v>
      </c>
      <c r="X716" t="s">
        <v>60</v>
      </c>
      <c r="Y716" t="s">
        <v>73</v>
      </c>
      <c r="AF716" t="s">
        <v>13</v>
      </c>
      <c r="AG716" t="str">
        <f>HYPERLINK("https://doi.org/10.1515/9781474463546?locatt=mode:legacy")</f>
        <v>https://doi.org/10.1515/9781474463546?locatt=mode:legacy</v>
      </c>
      <c r="AH716" t="str">
        <f>HYPERLINK("http://www.degruyter.com/isbn/9781474463546")</f>
        <v>http://www.degruyter.com/isbn/9781474463546</v>
      </c>
      <c r="AI716" t="s">
        <v>14</v>
      </c>
      <c r="AL716" t="s">
        <v>62</v>
      </c>
      <c r="AM716">
        <v>1</v>
      </c>
      <c r="AN716" s="2">
        <v>9781474463522</v>
      </c>
    </row>
    <row r="717" spans="1:40" x14ac:dyDescent="0.3">
      <c r="A717" t="s">
        <v>3686</v>
      </c>
      <c r="B717" t="s">
        <v>1</v>
      </c>
      <c r="C717" t="s">
        <v>3687</v>
      </c>
      <c r="D717" t="s">
        <v>3688</v>
      </c>
      <c r="E717" t="s">
        <v>3689</v>
      </c>
      <c r="F717" t="s">
        <v>5</v>
      </c>
      <c r="G717" t="s">
        <v>6</v>
      </c>
      <c r="L717" t="s">
        <v>7</v>
      </c>
      <c r="M717">
        <v>2021</v>
      </c>
      <c r="N717" s="1">
        <v>44656</v>
      </c>
      <c r="O717" t="s">
        <v>3690</v>
      </c>
      <c r="P717">
        <v>1</v>
      </c>
      <c r="S717">
        <v>217.95</v>
      </c>
      <c r="T717">
        <v>250</v>
      </c>
      <c r="U717">
        <v>190</v>
      </c>
      <c r="V717" t="s">
        <v>268</v>
      </c>
      <c r="W717" t="s">
        <v>269</v>
      </c>
      <c r="X717" t="s">
        <v>269</v>
      </c>
      <c r="Y717" t="s">
        <v>3691</v>
      </c>
      <c r="AF717" t="s">
        <v>13</v>
      </c>
      <c r="AG717" t="str">
        <f>HYPERLINK("https://doi.org/10.1515/9781474479226")</f>
        <v>https://doi.org/10.1515/9781474479226</v>
      </c>
      <c r="AH717" t="str">
        <f>HYPERLINK("http://www.degruyter.com/isbn/9781474479226")</f>
        <v>http://www.degruyter.com/isbn/9781474479226</v>
      </c>
      <c r="AI717" t="s">
        <v>3692</v>
      </c>
      <c r="AL717" t="s">
        <v>272</v>
      </c>
      <c r="AM717">
        <v>1</v>
      </c>
      <c r="AN717" s="2">
        <v>9781474479202</v>
      </c>
    </row>
    <row r="718" spans="1:40" x14ac:dyDescent="0.3">
      <c r="A718" t="s">
        <v>3693</v>
      </c>
      <c r="B718" t="s">
        <v>1</v>
      </c>
      <c r="C718" t="s">
        <v>3694</v>
      </c>
      <c r="E718" t="s">
        <v>3695</v>
      </c>
      <c r="F718" t="s">
        <v>5</v>
      </c>
      <c r="G718" t="s">
        <v>6</v>
      </c>
      <c r="K718" t="s">
        <v>923</v>
      </c>
      <c r="L718" t="s">
        <v>7</v>
      </c>
      <c r="M718">
        <v>2017</v>
      </c>
      <c r="N718" s="1">
        <v>43061</v>
      </c>
      <c r="O718" t="s">
        <v>3696</v>
      </c>
      <c r="P718">
        <v>1</v>
      </c>
      <c r="V718" t="s">
        <v>42</v>
      </c>
      <c r="W718" t="s">
        <v>116</v>
      </c>
      <c r="X718" t="s">
        <v>116</v>
      </c>
      <c r="Y718" t="s">
        <v>117</v>
      </c>
      <c r="AF718" t="s">
        <v>13</v>
      </c>
      <c r="AG718" t="str">
        <f>HYPERLINK("https://doi.org/10.1515/9781474423946?locatt=mode:legacy")</f>
        <v>https://doi.org/10.1515/9781474423946?locatt=mode:legacy</v>
      </c>
      <c r="AH718" t="str">
        <f>HYPERLINK("http://www.degruyter.com/isbn/9781474423946")</f>
        <v>http://www.degruyter.com/isbn/9781474423946</v>
      </c>
      <c r="AI718" t="s">
        <v>222</v>
      </c>
      <c r="AM718">
        <v>1</v>
      </c>
      <c r="AN718" s="2"/>
    </row>
    <row r="719" spans="1:40" x14ac:dyDescent="0.3">
      <c r="A719" t="s">
        <v>3697</v>
      </c>
      <c r="B719" t="s">
        <v>1</v>
      </c>
      <c r="C719" t="s">
        <v>3698</v>
      </c>
      <c r="E719" t="s">
        <v>3699</v>
      </c>
      <c r="F719" t="s">
        <v>5</v>
      </c>
      <c r="G719" t="s">
        <v>6</v>
      </c>
      <c r="L719" t="s">
        <v>7</v>
      </c>
      <c r="M719">
        <v>2007</v>
      </c>
      <c r="N719" s="1">
        <v>39158</v>
      </c>
      <c r="O719" t="s">
        <v>3700</v>
      </c>
      <c r="P719">
        <v>1</v>
      </c>
      <c r="S719">
        <v>217.95</v>
      </c>
      <c r="T719">
        <v>250</v>
      </c>
      <c r="U719">
        <v>190</v>
      </c>
      <c r="V719" t="s">
        <v>20</v>
      </c>
      <c r="W719" t="s">
        <v>21</v>
      </c>
      <c r="X719" t="s">
        <v>22</v>
      </c>
      <c r="Y719" t="s">
        <v>23</v>
      </c>
      <c r="AF719" t="s">
        <v>13</v>
      </c>
      <c r="AG719" t="str">
        <f>HYPERLINK("https://doi.org/10.1515/9780748630530")</f>
        <v>https://doi.org/10.1515/9780748630530</v>
      </c>
      <c r="AH719" t="str">
        <f>HYPERLINK("http://www.degruyter.com/isbn/9780748630530")</f>
        <v>http://www.degruyter.com/isbn/9780748630530</v>
      </c>
      <c r="AI719" t="s">
        <v>68</v>
      </c>
      <c r="AL719" t="s">
        <v>15</v>
      </c>
      <c r="AM719">
        <v>1</v>
      </c>
      <c r="AN719" s="2">
        <v>9780748624577</v>
      </c>
    </row>
    <row r="720" spans="1:40" x14ac:dyDescent="0.3">
      <c r="A720" t="s">
        <v>3701</v>
      </c>
      <c r="B720" t="s">
        <v>1</v>
      </c>
      <c r="C720" t="s">
        <v>3702</v>
      </c>
      <c r="D720" t="s">
        <v>3703</v>
      </c>
      <c r="E720" t="s">
        <v>3704</v>
      </c>
      <c r="F720" t="s">
        <v>5</v>
      </c>
      <c r="G720" t="s">
        <v>6</v>
      </c>
      <c r="L720" t="s">
        <v>7</v>
      </c>
      <c r="M720">
        <v>2008</v>
      </c>
      <c r="N720" s="1">
        <v>39624</v>
      </c>
      <c r="O720" t="s">
        <v>3705</v>
      </c>
      <c r="P720">
        <v>1</v>
      </c>
      <c r="S720">
        <v>227.95</v>
      </c>
      <c r="T720">
        <v>260</v>
      </c>
      <c r="U720">
        <v>200</v>
      </c>
      <c r="V720" t="s">
        <v>9</v>
      </c>
      <c r="W720" t="s">
        <v>10</v>
      </c>
      <c r="X720" t="s">
        <v>11</v>
      </c>
      <c r="Y720" t="s">
        <v>12</v>
      </c>
      <c r="AF720" t="s">
        <v>13</v>
      </c>
      <c r="AG720" t="str">
        <f>HYPERLINK("https://doi.org/10.1515/9780748635269")</f>
        <v>https://doi.org/10.1515/9780748635269</v>
      </c>
      <c r="AH720" t="str">
        <f>HYPERLINK("http://www.degruyter.com/isbn/9780748635269")</f>
        <v>http://www.degruyter.com/isbn/9780748635269</v>
      </c>
      <c r="AI720" t="s">
        <v>68</v>
      </c>
      <c r="AL720" t="s">
        <v>15</v>
      </c>
      <c r="AM720">
        <v>1</v>
      </c>
      <c r="AN720" s="2">
        <v>9780748635252</v>
      </c>
    </row>
    <row r="721" spans="1:40" x14ac:dyDescent="0.3">
      <c r="A721" t="s">
        <v>3706</v>
      </c>
      <c r="B721" t="s">
        <v>1</v>
      </c>
      <c r="C721" t="s">
        <v>3707</v>
      </c>
      <c r="E721" t="s">
        <v>3708</v>
      </c>
      <c r="F721" t="s">
        <v>5</v>
      </c>
      <c r="G721" t="s">
        <v>6</v>
      </c>
      <c r="L721" t="s">
        <v>7</v>
      </c>
      <c r="M721">
        <v>2007</v>
      </c>
      <c r="N721" s="1">
        <v>44607</v>
      </c>
      <c r="O721" t="s">
        <v>3709</v>
      </c>
      <c r="P721">
        <v>1</v>
      </c>
      <c r="S721">
        <v>217.95</v>
      </c>
      <c r="T721">
        <v>250</v>
      </c>
      <c r="U721">
        <v>190</v>
      </c>
      <c r="V721" t="s">
        <v>305</v>
      </c>
      <c r="W721" t="s">
        <v>306</v>
      </c>
      <c r="X721" t="s">
        <v>306</v>
      </c>
      <c r="Y721" t="s">
        <v>2057</v>
      </c>
      <c r="AF721" t="s">
        <v>13</v>
      </c>
      <c r="AG721" t="str">
        <f>HYPERLINK("https://doi.org/10.1515/9781474469784")</f>
        <v>https://doi.org/10.1515/9781474469784</v>
      </c>
      <c r="AH721" t="str">
        <f>HYPERLINK("http://www.degruyter.com/isbn/9781474469784")</f>
        <v>http://www.degruyter.com/isbn/9781474469784</v>
      </c>
      <c r="AI721" t="s">
        <v>68</v>
      </c>
      <c r="AL721" t="s">
        <v>308</v>
      </c>
      <c r="AM721">
        <v>1</v>
      </c>
      <c r="AN721" s="2">
        <v>9780748628056</v>
      </c>
    </row>
    <row r="722" spans="1:40" x14ac:dyDescent="0.3">
      <c r="A722" t="s">
        <v>3710</v>
      </c>
      <c r="B722" t="s">
        <v>1</v>
      </c>
      <c r="C722" t="s">
        <v>3711</v>
      </c>
      <c r="D722" t="s">
        <v>3712</v>
      </c>
      <c r="E722" t="s">
        <v>3713</v>
      </c>
      <c r="F722" t="s">
        <v>5</v>
      </c>
      <c r="G722" t="s">
        <v>6</v>
      </c>
      <c r="L722" t="s">
        <v>7</v>
      </c>
      <c r="M722">
        <v>2019</v>
      </c>
      <c r="N722" s="1">
        <v>44644</v>
      </c>
      <c r="O722" t="s">
        <v>3714</v>
      </c>
      <c r="P722">
        <v>1</v>
      </c>
      <c r="S722">
        <v>253.95</v>
      </c>
      <c r="T722">
        <v>290</v>
      </c>
      <c r="U722">
        <v>220</v>
      </c>
      <c r="V722" t="s">
        <v>58</v>
      </c>
      <c r="W722" t="s">
        <v>59</v>
      </c>
      <c r="X722" t="s">
        <v>278</v>
      </c>
      <c r="Y722" t="s">
        <v>3169</v>
      </c>
      <c r="AF722" t="s">
        <v>13</v>
      </c>
      <c r="AG722" t="str">
        <f>HYPERLINK("https://doi.org/10.1515/9781474450546?locatt=mode:legacy")</f>
        <v>https://doi.org/10.1515/9781474450546?locatt=mode:legacy</v>
      </c>
      <c r="AH722" t="str">
        <f>HYPERLINK("http://www.degruyter.com/isbn/9781474450546")</f>
        <v>http://www.degruyter.com/isbn/9781474450546</v>
      </c>
      <c r="AI722" t="s">
        <v>280</v>
      </c>
      <c r="AL722" t="s">
        <v>62</v>
      </c>
      <c r="AM722">
        <v>1</v>
      </c>
      <c r="AN722" s="2">
        <v>9781474450522</v>
      </c>
    </row>
    <row r="723" spans="1:40" x14ac:dyDescent="0.3">
      <c r="A723" t="s">
        <v>3715</v>
      </c>
      <c r="B723" t="s">
        <v>1</v>
      </c>
      <c r="C723" t="s">
        <v>3716</v>
      </c>
      <c r="D723" t="s">
        <v>3717</v>
      </c>
      <c r="E723" t="s">
        <v>3718</v>
      </c>
      <c r="F723" t="s">
        <v>5</v>
      </c>
      <c r="G723" t="s">
        <v>6</v>
      </c>
      <c r="L723" t="s">
        <v>7</v>
      </c>
      <c r="M723">
        <v>2015</v>
      </c>
      <c r="N723" s="1">
        <v>42026</v>
      </c>
      <c r="O723" t="s">
        <v>3719</v>
      </c>
      <c r="P723">
        <v>1</v>
      </c>
      <c r="S723">
        <v>217.95</v>
      </c>
      <c r="T723">
        <v>250</v>
      </c>
      <c r="U723">
        <v>190</v>
      </c>
      <c r="V723" t="s">
        <v>79</v>
      </c>
      <c r="W723" t="s">
        <v>123</v>
      </c>
      <c r="X723" t="s">
        <v>123</v>
      </c>
      <c r="Y723" t="s">
        <v>124</v>
      </c>
      <c r="AF723" t="s">
        <v>13</v>
      </c>
      <c r="AG723" t="str">
        <f>HYPERLINK("https://doi.org/10.1515/9780748693634")</f>
        <v>https://doi.org/10.1515/9780748693634</v>
      </c>
      <c r="AH723" t="str">
        <f>HYPERLINK("http://www.degruyter.com/isbn/9780748693634")</f>
        <v>http://www.degruyter.com/isbn/9780748693634</v>
      </c>
      <c r="AI723" t="s">
        <v>34</v>
      </c>
      <c r="AL723" t="s">
        <v>83</v>
      </c>
      <c r="AM723">
        <v>1</v>
      </c>
      <c r="AN723" s="2">
        <v>9780748693627</v>
      </c>
    </row>
    <row r="724" spans="1:40" x14ac:dyDescent="0.3">
      <c r="A724" t="s">
        <v>3720</v>
      </c>
      <c r="B724" t="s">
        <v>1</v>
      </c>
      <c r="C724" t="s">
        <v>3721</v>
      </c>
      <c r="D724" t="s">
        <v>3722</v>
      </c>
      <c r="E724" t="s">
        <v>3723</v>
      </c>
      <c r="F724" t="s">
        <v>5</v>
      </c>
      <c r="G724" t="s">
        <v>6</v>
      </c>
      <c r="L724" t="s">
        <v>7</v>
      </c>
      <c r="M724">
        <v>2020</v>
      </c>
      <c r="N724" s="1">
        <v>44656</v>
      </c>
      <c r="O724" t="s">
        <v>3724</v>
      </c>
      <c r="P724">
        <v>1</v>
      </c>
      <c r="S724">
        <v>217.95</v>
      </c>
      <c r="T724">
        <v>250</v>
      </c>
      <c r="U724">
        <v>190</v>
      </c>
      <c r="V724" t="s">
        <v>58</v>
      </c>
      <c r="W724" t="s">
        <v>59</v>
      </c>
      <c r="X724" t="s">
        <v>60</v>
      </c>
      <c r="Y724" t="s">
        <v>1319</v>
      </c>
      <c r="AF724" t="s">
        <v>13</v>
      </c>
      <c r="AG724" t="str">
        <f>HYPERLINK("https://doi.org/10.1515/9781474447188")</f>
        <v>https://doi.org/10.1515/9781474447188</v>
      </c>
      <c r="AH724" t="str">
        <f>HYPERLINK("http://www.degruyter.com/isbn/9781474447188")</f>
        <v>http://www.degruyter.com/isbn/9781474447188</v>
      </c>
      <c r="AI724" t="s">
        <v>14</v>
      </c>
      <c r="AL724" t="s">
        <v>62</v>
      </c>
      <c r="AM724">
        <v>1</v>
      </c>
      <c r="AN724" s="2">
        <v>9781474447164</v>
      </c>
    </row>
    <row r="725" spans="1:40" x14ac:dyDescent="0.3">
      <c r="A725" t="s">
        <v>3725</v>
      </c>
      <c r="B725" t="s">
        <v>1</v>
      </c>
      <c r="C725" t="s">
        <v>3726</v>
      </c>
      <c r="D725" t="s">
        <v>3727</v>
      </c>
      <c r="E725" t="s">
        <v>3728</v>
      </c>
      <c r="F725" t="s">
        <v>5</v>
      </c>
      <c r="G725" t="s">
        <v>6</v>
      </c>
      <c r="L725" t="s">
        <v>7</v>
      </c>
      <c r="M725">
        <v>2011</v>
      </c>
      <c r="N725" s="1">
        <v>40707</v>
      </c>
      <c r="O725" t="s">
        <v>3729</v>
      </c>
      <c r="P725">
        <v>1</v>
      </c>
      <c r="S725">
        <v>243.95</v>
      </c>
      <c r="T725">
        <v>280</v>
      </c>
      <c r="U725">
        <v>210</v>
      </c>
      <c r="V725" t="s">
        <v>42</v>
      </c>
      <c r="W725" t="s">
        <v>107</v>
      </c>
      <c r="X725" t="s">
        <v>108</v>
      </c>
      <c r="Y725" t="s">
        <v>109</v>
      </c>
      <c r="AF725" t="s">
        <v>13</v>
      </c>
      <c r="AG725" t="str">
        <f>HYPERLINK("https://doi.org/10.1515/9780748637751")</f>
        <v>https://doi.org/10.1515/9780748637751</v>
      </c>
      <c r="AH725" t="str">
        <f>HYPERLINK("http://www.degruyter.com/isbn/9780748637751")</f>
        <v>http://www.degruyter.com/isbn/9780748637751</v>
      </c>
      <c r="AI725" t="s">
        <v>68</v>
      </c>
      <c r="AL725" t="s">
        <v>47</v>
      </c>
      <c r="AM725">
        <v>1</v>
      </c>
      <c r="AN725" s="2">
        <v>9780748637744</v>
      </c>
    </row>
    <row r="726" spans="1:40" x14ac:dyDescent="0.3">
      <c r="A726" t="s">
        <v>3730</v>
      </c>
      <c r="B726" t="s">
        <v>1</v>
      </c>
      <c r="C726" t="s">
        <v>3731</v>
      </c>
      <c r="D726" t="s">
        <v>3732</v>
      </c>
      <c r="E726" t="s">
        <v>3733</v>
      </c>
      <c r="F726" t="s">
        <v>5</v>
      </c>
      <c r="G726" t="s">
        <v>6</v>
      </c>
      <c r="L726" t="s">
        <v>7</v>
      </c>
      <c r="M726">
        <v>2014</v>
      </c>
      <c r="N726" s="1">
        <v>41828</v>
      </c>
      <c r="O726" t="s">
        <v>3734</v>
      </c>
      <c r="P726">
        <v>1</v>
      </c>
      <c r="S726">
        <v>217.95</v>
      </c>
      <c r="T726">
        <v>250</v>
      </c>
      <c r="U726">
        <v>190</v>
      </c>
      <c r="V726" t="s">
        <v>42</v>
      </c>
      <c r="W726" t="s">
        <v>43</v>
      </c>
      <c r="X726" t="s">
        <v>44</v>
      </c>
      <c r="Y726" t="s">
        <v>45</v>
      </c>
      <c r="AF726" t="s">
        <v>13</v>
      </c>
      <c r="AG726" t="str">
        <f>HYPERLINK("https://doi.org/10.1515/9780748695485?locatt=mode:legacy")</f>
        <v>https://doi.org/10.1515/9780748695485?locatt=mode:legacy</v>
      </c>
      <c r="AH726" t="str">
        <f>HYPERLINK("http://www.degruyter.com/isbn/9780748695485")</f>
        <v>http://www.degruyter.com/isbn/9780748695485</v>
      </c>
      <c r="AI726" t="s">
        <v>34</v>
      </c>
      <c r="AL726" t="s">
        <v>47</v>
      </c>
      <c r="AM726">
        <v>1</v>
      </c>
      <c r="AN726" s="2">
        <v>9780748695478</v>
      </c>
    </row>
    <row r="727" spans="1:40" x14ac:dyDescent="0.3">
      <c r="A727" t="s">
        <v>3735</v>
      </c>
      <c r="B727" t="s">
        <v>1</v>
      </c>
      <c r="C727" t="s">
        <v>3736</v>
      </c>
      <c r="D727" t="s">
        <v>3737</v>
      </c>
      <c r="E727" t="s">
        <v>3738</v>
      </c>
      <c r="F727" t="s">
        <v>5</v>
      </c>
      <c r="G727" t="s">
        <v>6</v>
      </c>
      <c r="L727" t="s">
        <v>7</v>
      </c>
      <c r="M727">
        <v>2015</v>
      </c>
      <c r="N727" s="1">
        <v>42269</v>
      </c>
      <c r="O727" t="s">
        <v>3739</v>
      </c>
      <c r="P727">
        <v>1</v>
      </c>
      <c r="S727">
        <v>217.95</v>
      </c>
      <c r="T727">
        <v>250</v>
      </c>
      <c r="U727">
        <v>190</v>
      </c>
      <c r="V727" t="s">
        <v>268</v>
      </c>
      <c r="W727" t="s">
        <v>269</v>
      </c>
      <c r="X727" t="s">
        <v>269</v>
      </c>
      <c r="Y727" t="s">
        <v>374</v>
      </c>
      <c r="AF727" t="s">
        <v>13</v>
      </c>
      <c r="AG727" t="str">
        <f>HYPERLINK("https://doi.org/10.1515/9781474403344?locatt=mode:legacy")</f>
        <v>https://doi.org/10.1515/9781474403344?locatt=mode:legacy</v>
      </c>
      <c r="AH727" t="str">
        <f>HYPERLINK("http://www.degruyter.com/isbn/9781474403344")</f>
        <v>http://www.degruyter.com/isbn/9781474403344</v>
      </c>
      <c r="AI727" t="s">
        <v>3740</v>
      </c>
      <c r="AL727" t="s">
        <v>272</v>
      </c>
      <c r="AM727">
        <v>1</v>
      </c>
      <c r="AN727" s="2">
        <v>9781474403337</v>
      </c>
    </row>
    <row r="728" spans="1:40" x14ac:dyDescent="0.3">
      <c r="A728" t="s">
        <v>3741</v>
      </c>
      <c r="B728" t="s">
        <v>1</v>
      </c>
      <c r="C728" t="s">
        <v>3742</v>
      </c>
      <c r="D728" t="s">
        <v>3743</v>
      </c>
      <c r="E728" t="s">
        <v>3744</v>
      </c>
      <c r="F728" t="s">
        <v>5</v>
      </c>
      <c r="G728" t="s">
        <v>6</v>
      </c>
      <c r="L728" t="s">
        <v>7</v>
      </c>
      <c r="M728">
        <v>2013</v>
      </c>
      <c r="N728" s="1">
        <v>41449</v>
      </c>
      <c r="O728" t="s">
        <v>3745</v>
      </c>
      <c r="P728">
        <v>1</v>
      </c>
      <c r="S728">
        <v>217.95</v>
      </c>
      <c r="T728">
        <v>250</v>
      </c>
      <c r="U728">
        <v>190</v>
      </c>
      <c r="V728" t="s">
        <v>42</v>
      </c>
      <c r="W728" t="s">
        <v>43</v>
      </c>
      <c r="X728" t="s">
        <v>1061</v>
      </c>
      <c r="Y728" t="s">
        <v>1339</v>
      </c>
      <c r="AF728" t="s">
        <v>13</v>
      </c>
      <c r="AG728" t="str">
        <f>HYPERLINK("https://doi.org/10.1515/9780748683406")</f>
        <v>https://doi.org/10.1515/9780748683406</v>
      </c>
      <c r="AH728" t="str">
        <f>HYPERLINK("http://www.degruyter.com/isbn/9780748683406")</f>
        <v>http://www.degruyter.com/isbn/9780748683406</v>
      </c>
      <c r="AI728" t="s">
        <v>68</v>
      </c>
      <c r="AL728" t="s">
        <v>47</v>
      </c>
      <c r="AM728">
        <v>1</v>
      </c>
      <c r="AN728" s="2">
        <v>9780748640164</v>
      </c>
    </row>
    <row r="729" spans="1:40" x14ac:dyDescent="0.3">
      <c r="A729" t="s">
        <v>3746</v>
      </c>
      <c r="B729" t="s">
        <v>1</v>
      </c>
      <c r="C729" t="s">
        <v>3747</v>
      </c>
      <c r="E729" t="s">
        <v>3748</v>
      </c>
      <c r="F729" t="s">
        <v>5</v>
      </c>
      <c r="G729" t="s">
        <v>6</v>
      </c>
      <c r="L729" t="s">
        <v>7</v>
      </c>
      <c r="M729">
        <v>2016</v>
      </c>
      <c r="N729" s="1">
        <v>42661</v>
      </c>
      <c r="O729" t="s">
        <v>3749</v>
      </c>
      <c r="P729">
        <v>1</v>
      </c>
      <c r="S729">
        <v>217.95</v>
      </c>
      <c r="T729">
        <v>250</v>
      </c>
      <c r="U729">
        <v>190</v>
      </c>
      <c r="V729" t="s">
        <v>42</v>
      </c>
      <c r="W729" t="s">
        <v>43</v>
      </c>
      <c r="X729" t="s">
        <v>178</v>
      </c>
      <c r="Y729" t="s">
        <v>3750</v>
      </c>
      <c r="AF729" t="s">
        <v>13</v>
      </c>
      <c r="AG729" t="str">
        <f>HYPERLINK("https://doi.org/10.1515/9781474403009")</f>
        <v>https://doi.org/10.1515/9781474403009</v>
      </c>
      <c r="AH729" t="str">
        <f>HYPERLINK("http://www.degruyter.com/isbn/9781474403009")</f>
        <v>http://www.degruyter.com/isbn/9781474403009</v>
      </c>
      <c r="AI729" t="s">
        <v>180</v>
      </c>
      <c r="AL729" t="s">
        <v>47</v>
      </c>
      <c r="AM729">
        <v>1</v>
      </c>
      <c r="AN729" s="2">
        <v>9781474402996</v>
      </c>
    </row>
    <row r="730" spans="1:40" x14ac:dyDescent="0.3">
      <c r="A730" t="s">
        <v>3751</v>
      </c>
      <c r="B730" t="s">
        <v>1</v>
      </c>
      <c r="C730" t="s">
        <v>3752</v>
      </c>
      <c r="E730" t="s">
        <v>3753</v>
      </c>
      <c r="F730" t="s">
        <v>5</v>
      </c>
      <c r="G730" t="s">
        <v>6</v>
      </c>
      <c r="L730" t="s">
        <v>7</v>
      </c>
      <c r="M730">
        <v>2021</v>
      </c>
      <c r="N730" s="1">
        <v>44656</v>
      </c>
      <c r="O730" t="s">
        <v>3754</v>
      </c>
      <c r="P730">
        <v>1</v>
      </c>
      <c r="S730">
        <v>217.95</v>
      </c>
      <c r="T730">
        <v>250</v>
      </c>
      <c r="U730">
        <v>190</v>
      </c>
      <c r="V730" t="s">
        <v>42</v>
      </c>
      <c r="W730" t="s">
        <v>107</v>
      </c>
      <c r="X730" t="s">
        <v>108</v>
      </c>
      <c r="Y730" t="s">
        <v>109</v>
      </c>
      <c r="AF730" t="s">
        <v>13</v>
      </c>
      <c r="AG730" t="str">
        <f>HYPERLINK("https://doi.org/10.1515/9781474488549")</f>
        <v>https://doi.org/10.1515/9781474488549</v>
      </c>
      <c r="AH730" t="str">
        <f>HYPERLINK("http://www.degruyter.com/isbn/9781474488549")</f>
        <v>http://www.degruyter.com/isbn/9781474488549</v>
      </c>
      <c r="AI730" t="s">
        <v>110</v>
      </c>
      <c r="AL730" t="s">
        <v>47</v>
      </c>
      <c r="AM730">
        <v>1</v>
      </c>
      <c r="AN730" s="2">
        <v>9781474488525</v>
      </c>
    </row>
    <row r="731" spans="1:40" x14ac:dyDescent="0.3">
      <c r="A731" t="s">
        <v>3755</v>
      </c>
      <c r="B731" t="s">
        <v>1</v>
      </c>
      <c r="C731" t="s">
        <v>3756</v>
      </c>
      <c r="D731" t="s">
        <v>3757</v>
      </c>
      <c r="E731" t="s">
        <v>3758</v>
      </c>
      <c r="F731" t="s">
        <v>5</v>
      </c>
      <c r="G731" t="s">
        <v>6</v>
      </c>
      <c r="L731" t="s">
        <v>7</v>
      </c>
      <c r="M731">
        <v>2007</v>
      </c>
      <c r="N731" s="1">
        <v>39167</v>
      </c>
      <c r="O731" t="s">
        <v>3759</v>
      </c>
      <c r="P731">
        <v>1</v>
      </c>
      <c r="S731">
        <v>261.95</v>
      </c>
      <c r="T731">
        <v>300</v>
      </c>
      <c r="U731">
        <v>230</v>
      </c>
      <c r="V731" t="s">
        <v>20</v>
      </c>
      <c r="W731" t="s">
        <v>21</v>
      </c>
      <c r="X731" t="s">
        <v>22</v>
      </c>
      <c r="Y731" t="s">
        <v>23</v>
      </c>
      <c r="AF731" t="s">
        <v>13</v>
      </c>
      <c r="AG731" t="str">
        <f>HYPERLINK("https://doi.org/10.1515/9780748630110")</f>
        <v>https://doi.org/10.1515/9780748630110</v>
      </c>
      <c r="AH731" t="str">
        <f>HYPERLINK("http://www.degruyter.com/isbn/9780748630110")</f>
        <v>http://www.degruyter.com/isbn/9780748630110</v>
      </c>
      <c r="AI731" t="s">
        <v>68</v>
      </c>
      <c r="AL731" t="s">
        <v>15</v>
      </c>
      <c r="AM731">
        <v>1</v>
      </c>
      <c r="AN731" s="2">
        <v>9780748623600</v>
      </c>
    </row>
    <row r="732" spans="1:40" x14ac:dyDescent="0.3">
      <c r="A732" t="s">
        <v>3760</v>
      </c>
      <c r="B732" t="s">
        <v>1</v>
      </c>
      <c r="C732" t="s">
        <v>3761</v>
      </c>
      <c r="D732" t="s">
        <v>3762</v>
      </c>
      <c r="E732" t="s">
        <v>3763</v>
      </c>
      <c r="F732" t="s">
        <v>5</v>
      </c>
      <c r="G732" t="s">
        <v>6</v>
      </c>
      <c r="K732" t="s">
        <v>929</v>
      </c>
      <c r="L732" t="s">
        <v>7</v>
      </c>
      <c r="M732">
        <v>2020</v>
      </c>
      <c r="N732" s="1">
        <v>43917</v>
      </c>
      <c r="O732" t="s">
        <v>3764</v>
      </c>
      <c r="P732">
        <v>1</v>
      </c>
      <c r="V732" t="s">
        <v>58</v>
      </c>
      <c r="W732" t="s">
        <v>59</v>
      </c>
      <c r="X732" t="s">
        <v>60</v>
      </c>
      <c r="Y732" t="s">
        <v>3765</v>
      </c>
      <c r="AF732" t="s">
        <v>13</v>
      </c>
      <c r="AG732" t="str">
        <f>HYPERLINK("https://doi.org/10.1515/9781474454780?locatt=mode:legacy")</f>
        <v>https://doi.org/10.1515/9781474454780?locatt=mode:legacy</v>
      </c>
      <c r="AH732" t="str">
        <f>HYPERLINK("http://www.degruyter.com/isbn/9781474454780")</f>
        <v>http://www.degruyter.com/isbn/9781474454780</v>
      </c>
      <c r="AI732" t="s">
        <v>14</v>
      </c>
      <c r="AM732">
        <v>1</v>
      </c>
      <c r="AN732" s="2"/>
    </row>
    <row r="733" spans="1:40" x14ac:dyDescent="0.3">
      <c r="A733" t="s">
        <v>3766</v>
      </c>
      <c r="B733" t="s">
        <v>1</v>
      </c>
      <c r="C733" t="s">
        <v>3767</v>
      </c>
      <c r="D733" t="s">
        <v>3768</v>
      </c>
      <c r="E733" t="s">
        <v>3769</v>
      </c>
      <c r="F733" t="s">
        <v>5</v>
      </c>
      <c r="G733" t="s">
        <v>6</v>
      </c>
      <c r="L733" t="s">
        <v>7</v>
      </c>
      <c r="M733">
        <v>2009</v>
      </c>
      <c r="N733" s="1">
        <v>40091</v>
      </c>
      <c r="O733" t="s">
        <v>3770</v>
      </c>
      <c r="P733">
        <v>1</v>
      </c>
      <c r="S733">
        <v>253.95</v>
      </c>
      <c r="T733">
        <v>290</v>
      </c>
      <c r="U733">
        <v>220</v>
      </c>
      <c r="V733" t="s">
        <v>58</v>
      </c>
      <c r="W733" t="s">
        <v>59</v>
      </c>
      <c r="X733" t="s">
        <v>3771</v>
      </c>
      <c r="Y733" t="s">
        <v>3772</v>
      </c>
      <c r="AF733" t="s">
        <v>13</v>
      </c>
      <c r="AG733" t="str">
        <f>HYPERLINK("https://doi.org/10.1515/9780748642113?locatt=mode:legacy")</f>
        <v>https://doi.org/10.1515/9780748642113?locatt=mode:legacy</v>
      </c>
      <c r="AH733" t="str">
        <f>HYPERLINK("http://www.degruyter.com/isbn/9780748642113")</f>
        <v>http://www.degruyter.com/isbn/9780748642113</v>
      </c>
      <c r="AI733" t="s">
        <v>68</v>
      </c>
      <c r="AL733" t="s">
        <v>62</v>
      </c>
      <c r="AM733">
        <v>1</v>
      </c>
      <c r="AN733" s="2">
        <v>9780748639908</v>
      </c>
    </row>
    <row r="734" spans="1:40" x14ac:dyDescent="0.3">
      <c r="A734" t="s">
        <v>3773</v>
      </c>
      <c r="B734" t="s">
        <v>1</v>
      </c>
      <c r="C734" t="s">
        <v>3774</v>
      </c>
      <c r="D734" t="s">
        <v>3775</v>
      </c>
      <c r="E734" t="s">
        <v>3776</v>
      </c>
      <c r="F734" t="s">
        <v>5</v>
      </c>
      <c r="G734" t="s">
        <v>6</v>
      </c>
      <c r="L734" t="s">
        <v>7</v>
      </c>
      <c r="M734">
        <v>2014</v>
      </c>
      <c r="N734" s="1">
        <v>41709</v>
      </c>
      <c r="O734" t="s">
        <v>3777</v>
      </c>
      <c r="P734">
        <v>1</v>
      </c>
      <c r="S734">
        <v>217.95</v>
      </c>
      <c r="T734">
        <v>250</v>
      </c>
      <c r="U734">
        <v>190</v>
      </c>
      <c r="V734" t="s">
        <v>42</v>
      </c>
      <c r="W734" t="s">
        <v>43</v>
      </c>
      <c r="X734" t="s">
        <v>44</v>
      </c>
      <c r="Y734" t="s">
        <v>45</v>
      </c>
      <c r="AF734" t="s">
        <v>13</v>
      </c>
      <c r="AG734" t="str">
        <f>HYPERLINK("https://doi.org/10.1515/9780748685592")</f>
        <v>https://doi.org/10.1515/9780748685592</v>
      </c>
      <c r="AH734" t="str">
        <f>HYPERLINK("http://www.degruyter.com/isbn/9780748685592")</f>
        <v>http://www.degruyter.com/isbn/9780748685592</v>
      </c>
      <c r="AI734" t="s">
        <v>34</v>
      </c>
      <c r="AL734" t="s">
        <v>47</v>
      </c>
      <c r="AM734">
        <v>1</v>
      </c>
      <c r="AN734" s="2">
        <v>9780748685585</v>
      </c>
    </row>
    <row r="735" spans="1:40" x14ac:dyDescent="0.3">
      <c r="A735" t="s">
        <v>3778</v>
      </c>
      <c r="B735" t="s">
        <v>1</v>
      </c>
      <c r="C735" t="s">
        <v>3779</v>
      </c>
      <c r="D735" t="s">
        <v>3780</v>
      </c>
      <c r="E735" t="s">
        <v>3781</v>
      </c>
      <c r="F735" t="s">
        <v>5</v>
      </c>
      <c r="G735" t="s">
        <v>6</v>
      </c>
      <c r="L735" t="s">
        <v>7</v>
      </c>
      <c r="M735">
        <v>2011</v>
      </c>
      <c r="N735" s="1">
        <v>40679</v>
      </c>
      <c r="O735" t="s">
        <v>3782</v>
      </c>
      <c r="P735">
        <v>1</v>
      </c>
      <c r="S735">
        <v>253.95</v>
      </c>
      <c r="T735">
        <v>290</v>
      </c>
      <c r="U735">
        <v>220</v>
      </c>
      <c r="V735" t="s">
        <v>58</v>
      </c>
      <c r="W735" t="s">
        <v>59</v>
      </c>
      <c r="X735" t="s">
        <v>60</v>
      </c>
      <c r="Y735" t="s">
        <v>169</v>
      </c>
      <c r="AF735" t="s">
        <v>13</v>
      </c>
      <c r="AG735" t="str">
        <f>HYPERLINK("https://doi.org/10.1515/9780748646326")</f>
        <v>https://doi.org/10.1515/9780748646326</v>
      </c>
      <c r="AH735" t="str">
        <f>HYPERLINK("http://www.degruyter.com/isbn/9780748646326")</f>
        <v>http://www.degruyter.com/isbn/9780748646326</v>
      </c>
      <c r="AI735" t="s">
        <v>68</v>
      </c>
      <c r="AL735" t="s">
        <v>62</v>
      </c>
      <c r="AM735">
        <v>1</v>
      </c>
      <c r="AN735" s="2">
        <v>9780748639021</v>
      </c>
    </row>
    <row r="736" spans="1:40" x14ac:dyDescent="0.3">
      <c r="A736" t="s">
        <v>3783</v>
      </c>
      <c r="B736" t="s">
        <v>1</v>
      </c>
      <c r="C736" t="s">
        <v>3784</v>
      </c>
      <c r="E736" t="s">
        <v>3785</v>
      </c>
      <c r="F736" t="s">
        <v>5</v>
      </c>
      <c r="G736" t="s">
        <v>6</v>
      </c>
      <c r="L736" t="s">
        <v>7</v>
      </c>
      <c r="M736">
        <v>2007</v>
      </c>
      <c r="N736" s="1">
        <v>39190</v>
      </c>
      <c r="O736" t="s">
        <v>3786</v>
      </c>
      <c r="P736">
        <v>1</v>
      </c>
      <c r="S736">
        <v>217.95</v>
      </c>
      <c r="T736">
        <v>250</v>
      </c>
      <c r="U736">
        <v>190</v>
      </c>
      <c r="V736" t="s">
        <v>58</v>
      </c>
      <c r="W736" t="s">
        <v>59</v>
      </c>
      <c r="X736" t="s">
        <v>60</v>
      </c>
      <c r="Y736" t="s">
        <v>3787</v>
      </c>
      <c r="AF736" t="s">
        <v>13</v>
      </c>
      <c r="AG736" t="str">
        <f>HYPERLINK("https://doi.org/10.1515/9780748628834?locatt=mode:legacy")</f>
        <v>https://doi.org/10.1515/9780748628834?locatt=mode:legacy</v>
      </c>
      <c r="AH736" t="str">
        <f>HYPERLINK("http://www.degruyter.com/isbn/9780748628834")</f>
        <v>http://www.degruyter.com/isbn/9780748628834</v>
      </c>
      <c r="AI736" t="s">
        <v>68</v>
      </c>
      <c r="AL736" t="s">
        <v>62</v>
      </c>
      <c r="AM736">
        <v>1</v>
      </c>
      <c r="AN736" s="2">
        <v>9780748618163</v>
      </c>
    </row>
    <row r="737" spans="1:40" x14ac:dyDescent="0.3">
      <c r="A737" t="s">
        <v>3788</v>
      </c>
      <c r="B737" t="s">
        <v>1</v>
      </c>
      <c r="C737" t="s">
        <v>3789</v>
      </c>
      <c r="E737" t="s">
        <v>3790</v>
      </c>
      <c r="F737" t="s">
        <v>5</v>
      </c>
      <c r="G737" t="s">
        <v>6</v>
      </c>
      <c r="L737" t="s">
        <v>7</v>
      </c>
      <c r="M737">
        <v>2013</v>
      </c>
      <c r="N737" s="1">
        <v>41347</v>
      </c>
      <c r="O737" t="s">
        <v>3791</v>
      </c>
      <c r="P737">
        <v>1</v>
      </c>
      <c r="S737">
        <v>217.95</v>
      </c>
      <c r="T737">
        <v>250</v>
      </c>
      <c r="U737">
        <v>190</v>
      </c>
      <c r="V737" t="s">
        <v>9</v>
      </c>
      <c r="W737" t="s">
        <v>10</v>
      </c>
      <c r="X737" t="s">
        <v>11</v>
      </c>
      <c r="Y737" t="s">
        <v>3792</v>
      </c>
      <c r="AF737" t="s">
        <v>13</v>
      </c>
      <c r="AG737" t="str">
        <f>HYPERLINK("https://doi.org/10.1515/9780748677658")</f>
        <v>https://doi.org/10.1515/9780748677658</v>
      </c>
      <c r="AH737" t="str">
        <f>HYPERLINK("http://www.degruyter.com/isbn/9780748677658")</f>
        <v>http://www.degruyter.com/isbn/9780748677658</v>
      </c>
      <c r="AI737" t="s">
        <v>3793</v>
      </c>
      <c r="AL737" t="s">
        <v>15</v>
      </c>
      <c r="AM737">
        <v>1</v>
      </c>
      <c r="AN737" s="2">
        <v>9780748643103</v>
      </c>
    </row>
    <row r="738" spans="1:40" x14ac:dyDescent="0.3">
      <c r="A738" t="s">
        <v>3794</v>
      </c>
      <c r="B738" t="s">
        <v>1</v>
      </c>
      <c r="C738" t="s">
        <v>3795</v>
      </c>
      <c r="D738" t="s">
        <v>3796</v>
      </c>
      <c r="E738" t="s">
        <v>3797</v>
      </c>
      <c r="F738" t="s">
        <v>5</v>
      </c>
      <c r="G738" t="s">
        <v>6</v>
      </c>
      <c r="L738" t="s">
        <v>7</v>
      </c>
      <c r="M738">
        <v>2020</v>
      </c>
      <c r="N738" s="1">
        <v>44644</v>
      </c>
      <c r="O738" t="s">
        <v>3798</v>
      </c>
      <c r="P738">
        <v>1</v>
      </c>
      <c r="S738">
        <v>253.95</v>
      </c>
      <c r="T738">
        <v>290</v>
      </c>
      <c r="U738">
        <v>220</v>
      </c>
      <c r="V738" t="s">
        <v>79</v>
      </c>
      <c r="W738" t="s">
        <v>209</v>
      </c>
      <c r="X738" t="s">
        <v>209</v>
      </c>
      <c r="Y738" t="s">
        <v>699</v>
      </c>
      <c r="AF738" t="s">
        <v>13</v>
      </c>
      <c r="AG738" t="str">
        <f>HYPERLINK("https://doi.org/10.1515/9781474454223")</f>
        <v>https://doi.org/10.1515/9781474454223</v>
      </c>
      <c r="AH738" t="str">
        <f>HYPERLINK("http://www.degruyter.com/isbn/9781474454223")</f>
        <v>http://www.degruyter.com/isbn/9781474454223</v>
      </c>
      <c r="AI738" t="s">
        <v>14</v>
      </c>
      <c r="AL738" t="s">
        <v>83</v>
      </c>
      <c r="AM738">
        <v>1</v>
      </c>
      <c r="AN738" s="2">
        <v>9781474454193</v>
      </c>
    </row>
    <row r="739" spans="1:40" x14ac:dyDescent="0.3">
      <c r="A739" t="s">
        <v>3799</v>
      </c>
      <c r="B739" t="s">
        <v>1</v>
      </c>
      <c r="C739" t="s">
        <v>1998</v>
      </c>
      <c r="D739" t="s">
        <v>3800</v>
      </c>
      <c r="E739" t="s">
        <v>2000</v>
      </c>
      <c r="F739" t="s">
        <v>5</v>
      </c>
      <c r="G739" t="s">
        <v>6</v>
      </c>
      <c r="L739" t="s">
        <v>7</v>
      </c>
      <c r="M739">
        <v>2012</v>
      </c>
      <c r="N739" s="1">
        <v>44719</v>
      </c>
      <c r="O739" t="s">
        <v>3801</v>
      </c>
      <c r="P739">
        <v>1</v>
      </c>
      <c r="S739">
        <v>217.95</v>
      </c>
      <c r="T739">
        <v>250</v>
      </c>
      <c r="U739">
        <v>190</v>
      </c>
      <c r="V739" t="s">
        <v>20</v>
      </c>
      <c r="W739" t="s">
        <v>21</v>
      </c>
      <c r="X739" t="s">
        <v>575</v>
      </c>
      <c r="Y739" t="s">
        <v>576</v>
      </c>
      <c r="AF739" t="s">
        <v>13</v>
      </c>
      <c r="AG739" t="str">
        <f>HYPERLINK("https://doi.org/10.1515/9781474468862")</f>
        <v>https://doi.org/10.1515/9781474468862</v>
      </c>
      <c r="AH739" t="str">
        <f>HYPERLINK("http://www.degruyter.com/isbn/9781474468862")</f>
        <v>http://www.degruyter.com/isbn/9781474468862</v>
      </c>
      <c r="AI739" t="s">
        <v>68</v>
      </c>
      <c r="AL739" t="s">
        <v>15</v>
      </c>
      <c r="AM739">
        <v>1</v>
      </c>
      <c r="AN739" s="2">
        <v>9781845860042</v>
      </c>
    </row>
    <row r="740" spans="1:40" x14ac:dyDescent="0.3">
      <c r="A740" t="s">
        <v>3802</v>
      </c>
      <c r="B740" t="s">
        <v>1</v>
      </c>
      <c r="C740" t="s">
        <v>3803</v>
      </c>
      <c r="D740" t="s">
        <v>3804</v>
      </c>
      <c r="E740" t="s">
        <v>3805</v>
      </c>
      <c r="F740" t="s">
        <v>5</v>
      </c>
      <c r="G740" t="s">
        <v>6</v>
      </c>
      <c r="L740" t="s">
        <v>7</v>
      </c>
      <c r="M740">
        <v>1997</v>
      </c>
      <c r="N740" s="1">
        <v>44719</v>
      </c>
      <c r="O740" t="s">
        <v>3806</v>
      </c>
      <c r="P740">
        <v>1</v>
      </c>
      <c r="S740">
        <v>287.95</v>
      </c>
      <c r="T740">
        <v>330</v>
      </c>
      <c r="U740">
        <v>250</v>
      </c>
      <c r="V740" t="s">
        <v>58</v>
      </c>
      <c r="W740" t="s">
        <v>129</v>
      </c>
      <c r="X740" t="s">
        <v>130</v>
      </c>
      <c r="Y740" t="s">
        <v>1826</v>
      </c>
      <c r="AF740" t="s">
        <v>13</v>
      </c>
      <c r="AG740" t="str">
        <f>HYPERLINK("https://doi.org/10.1515/9781474473071")</f>
        <v>https://doi.org/10.1515/9781474473071</v>
      </c>
      <c r="AH740" t="str">
        <f>HYPERLINK("http://www.degruyter.com/isbn/9781474473071")</f>
        <v>http://www.degruyter.com/isbn/9781474473071</v>
      </c>
      <c r="AI740" t="s">
        <v>24</v>
      </c>
      <c r="AL740" t="s">
        <v>62</v>
      </c>
      <c r="AM740">
        <v>1</v>
      </c>
      <c r="AN740" s="2">
        <v>9781853311666</v>
      </c>
    </row>
    <row r="741" spans="1:40" x14ac:dyDescent="0.3">
      <c r="A741" t="s">
        <v>3807</v>
      </c>
      <c r="B741" t="s">
        <v>1</v>
      </c>
      <c r="C741" t="s">
        <v>3808</v>
      </c>
      <c r="D741" t="s">
        <v>3809</v>
      </c>
      <c r="E741" t="s">
        <v>3810</v>
      </c>
      <c r="F741" t="s">
        <v>5</v>
      </c>
      <c r="G741" t="s">
        <v>6</v>
      </c>
      <c r="L741" t="s">
        <v>7</v>
      </c>
      <c r="M741">
        <v>2021</v>
      </c>
      <c r="N741" s="1">
        <v>44693</v>
      </c>
      <c r="O741" t="s">
        <v>3811</v>
      </c>
      <c r="P741">
        <v>1</v>
      </c>
      <c r="S741">
        <v>209.95</v>
      </c>
      <c r="T741">
        <v>240</v>
      </c>
      <c r="U741">
        <v>180</v>
      </c>
      <c r="V741" t="s">
        <v>42</v>
      </c>
      <c r="W741" t="s">
        <v>107</v>
      </c>
      <c r="X741" t="s">
        <v>108</v>
      </c>
      <c r="Y741" t="s">
        <v>109</v>
      </c>
      <c r="AF741" t="s">
        <v>13</v>
      </c>
      <c r="AG741" t="str">
        <f>HYPERLINK("https://doi.org/10.1515/9781474488587")</f>
        <v>https://doi.org/10.1515/9781474488587</v>
      </c>
      <c r="AH741" t="str">
        <f>HYPERLINK("http://www.degruyter.com/isbn/9781474488587")</f>
        <v>http://www.degruyter.com/isbn/9781474488587</v>
      </c>
      <c r="AI741" t="s">
        <v>110</v>
      </c>
      <c r="AL741" t="s">
        <v>47</v>
      </c>
      <c r="AM741">
        <v>1</v>
      </c>
      <c r="AN741" s="2">
        <v>9781474488563</v>
      </c>
    </row>
    <row r="742" spans="1:40" x14ac:dyDescent="0.3">
      <c r="A742" t="s">
        <v>3812</v>
      </c>
      <c r="B742" t="s">
        <v>1</v>
      </c>
      <c r="C742" t="s">
        <v>3813</v>
      </c>
      <c r="D742" t="s">
        <v>3814</v>
      </c>
      <c r="E742" t="s">
        <v>3815</v>
      </c>
      <c r="F742" t="s">
        <v>5</v>
      </c>
      <c r="G742" t="s">
        <v>6</v>
      </c>
      <c r="L742" t="s">
        <v>7</v>
      </c>
      <c r="M742">
        <v>2019</v>
      </c>
      <c r="N742" s="1">
        <v>44644</v>
      </c>
      <c r="O742" t="s">
        <v>3816</v>
      </c>
      <c r="P742">
        <v>1</v>
      </c>
      <c r="S742">
        <v>253.95</v>
      </c>
      <c r="T742">
        <v>290</v>
      </c>
      <c r="U742">
        <v>220</v>
      </c>
      <c r="V742" t="s">
        <v>268</v>
      </c>
      <c r="W742" t="s">
        <v>269</v>
      </c>
      <c r="X742" t="s">
        <v>269</v>
      </c>
      <c r="Y742" t="s">
        <v>3817</v>
      </c>
      <c r="AF742" t="s">
        <v>13</v>
      </c>
      <c r="AG742" t="str">
        <f>HYPERLINK("https://doi.org/10.1515/9781474445627")</f>
        <v>https://doi.org/10.1515/9781474445627</v>
      </c>
      <c r="AH742" t="str">
        <f>HYPERLINK("http://www.degruyter.com/isbn/9781474445627")</f>
        <v>http://www.degruyter.com/isbn/9781474445627</v>
      </c>
      <c r="AI742" t="s">
        <v>3613</v>
      </c>
      <c r="AL742" t="s">
        <v>272</v>
      </c>
      <c r="AM742">
        <v>1</v>
      </c>
      <c r="AN742" s="2">
        <v>9781474445603</v>
      </c>
    </row>
    <row r="743" spans="1:40" x14ac:dyDescent="0.3">
      <c r="A743" t="s">
        <v>3818</v>
      </c>
      <c r="B743" t="s">
        <v>1</v>
      </c>
      <c r="C743" t="s">
        <v>3819</v>
      </c>
      <c r="E743" t="s">
        <v>3820</v>
      </c>
      <c r="F743" t="s">
        <v>5</v>
      </c>
      <c r="G743" t="s">
        <v>6</v>
      </c>
      <c r="L743" t="s">
        <v>7</v>
      </c>
      <c r="M743">
        <v>2017</v>
      </c>
      <c r="N743" s="1">
        <v>42799</v>
      </c>
      <c r="O743" t="s">
        <v>3821</v>
      </c>
      <c r="P743">
        <v>1</v>
      </c>
      <c r="S743">
        <v>243.95</v>
      </c>
      <c r="T743">
        <v>280</v>
      </c>
      <c r="U743">
        <v>210</v>
      </c>
      <c r="V743" t="s">
        <v>79</v>
      </c>
      <c r="W743" t="s">
        <v>783</v>
      </c>
      <c r="X743" t="s">
        <v>783</v>
      </c>
      <c r="Y743" t="s">
        <v>784</v>
      </c>
      <c r="AF743" t="s">
        <v>13</v>
      </c>
      <c r="AG743" t="str">
        <f>HYPERLINK("https://doi.org/10.1515/9780748675524")</f>
        <v>https://doi.org/10.1515/9780748675524</v>
      </c>
      <c r="AH743" t="str">
        <f>HYPERLINK("http://www.degruyter.com/isbn/9780748675524")</f>
        <v>http://www.degruyter.com/isbn/9780748675524</v>
      </c>
      <c r="AI743" t="s">
        <v>222</v>
      </c>
      <c r="AL743" t="s">
        <v>83</v>
      </c>
      <c r="AM743">
        <v>1</v>
      </c>
      <c r="AN743" s="2">
        <v>9780748675500</v>
      </c>
    </row>
    <row r="744" spans="1:40" x14ac:dyDescent="0.3">
      <c r="A744" t="s">
        <v>3822</v>
      </c>
      <c r="B744" t="s">
        <v>1</v>
      </c>
      <c r="C744" t="s">
        <v>3823</v>
      </c>
      <c r="E744" t="s">
        <v>3824</v>
      </c>
      <c r="F744" t="s">
        <v>5</v>
      </c>
      <c r="G744" t="s">
        <v>6</v>
      </c>
      <c r="L744" t="s">
        <v>7</v>
      </c>
      <c r="M744">
        <v>2019</v>
      </c>
      <c r="N744" s="1">
        <v>44644</v>
      </c>
      <c r="O744" t="s">
        <v>3825</v>
      </c>
      <c r="P744">
        <v>1</v>
      </c>
      <c r="S744">
        <v>217.95</v>
      </c>
      <c r="T744">
        <v>250</v>
      </c>
      <c r="U744">
        <v>190</v>
      </c>
      <c r="V744" t="s">
        <v>268</v>
      </c>
      <c r="W744" t="s">
        <v>269</v>
      </c>
      <c r="X744" t="s">
        <v>269</v>
      </c>
      <c r="Y744" t="s">
        <v>3826</v>
      </c>
      <c r="AF744" t="s">
        <v>13</v>
      </c>
      <c r="AG744" t="str">
        <f>HYPERLINK("https://doi.org/10.1515/9781474477208")</f>
        <v>https://doi.org/10.1515/9781474477208</v>
      </c>
      <c r="AH744" t="str">
        <f>HYPERLINK("http://www.degruyter.com/isbn/9781474477208")</f>
        <v>http://www.degruyter.com/isbn/9781474477208</v>
      </c>
      <c r="AI744" t="s">
        <v>3827</v>
      </c>
      <c r="AL744" t="s">
        <v>272</v>
      </c>
      <c r="AM744">
        <v>1</v>
      </c>
      <c r="AN744" s="2">
        <v>9781904968979</v>
      </c>
    </row>
    <row r="745" spans="1:40" x14ac:dyDescent="0.3">
      <c r="A745" t="s">
        <v>3828</v>
      </c>
      <c r="B745" t="s">
        <v>1</v>
      </c>
      <c r="C745" t="s">
        <v>3829</v>
      </c>
      <c r="D745" t="s">
        <v>3830</v>
      </c>
      <c r="E745" t="s">
        <v>3831</v>
      </c>
      <c r="F745" t="s">
        <v>5</v>
      </c>
      <c r="G745" t="s">
        <v>6</v>
      </c>
      <c r="L745" t="s">
        <v>7</v>
      </c>
      <c r="M745">
        <v>1997</v>
      </c>
      <c r="N745" s="1">
        <v>44719</v>
      </c>
      <c r="O745" t="s">
        <v>3832</v>
      </c>
      <c r="P745">
        <v>1</v>
      </c>
      <c r="S745">
        <v>295.95</v>
      </c>
      <c r="T745">
        <v>340</v>
      </c>
      <c r="U745">
        <v>260</v>
      </c>
      <c r="V745" t="s">
        <v>79</v>
      </c>
      <c r="W745" t="s">
        <v>783</v>
      </c>
      <c r="X745" t="s">
        <v>783</v>
      </c>
      <c r="Y745" t="s">
        <v>784</v>
      </c>
      <c r="AF745" t="s">
        <v>13</v>
      </c>
      <c r="AG745" t="str">
        <f>HYPERLINK("https://doi.org/10.1515/9781474472845")</f>
        <v>https://doi.org/10.1515/9781474472845</v>
      </c>
      <c r="AH745" t="str">
        <f>HYPERLINK("http://www.degruyter.com/isbn/9781474472845")</f>
        <v>http://www.degruyter.com/isbn/9781474472845</v>
      </c>
      <c r="AI745" t="s">
        <v>24</v>
      </c>
      <c r="AL745" t="s">
        <v>83</v>
      </c>
      <c r="AM745">
        <v>1</v>
      </c>
      <c r="AN745" s="2">
        <v>9780748608980</v>
      </c>
    </row>
    <row r="746" spans="1:40" x14ac:dyDescent="0.3">
      <c r="A746" t="s">
        <v>3833</v>
      </c>
      <c r="B746" t="s">
        <v>1</v>
      </c>
      <c r="C746" t="s">
        <v>3834</v>
      </c>
      <c r="E746" t="s">
        <v>3835</v>
      </c>
      <c r="F746" t="s">
        <v>5</v>
      </c>
      <c r="G746" t="s">
        <v>6</v>
      </c>
      <c r="L746" t="s">
        <v>7</v>
      </c>
      <c r="M746">
        <v>2000</v>
      </c>
      <c r="N746" s="1">
        <v>44634</v>
      </c>
      <c r="O746" t="s">
        <v>3836</v>
      </c>
      <c r="P746">
        <v>1</v>
      </c>
      <c r="S746">
        <v>217.95</v>
      </c>
      <c r="T746">
        <v>250</v>
      </c>
      <c r="U746">
        <v>190</v>
      </c>
      <c r="V746" t="s">
        <v>58</v>
      </c>
      <c r="W746" t="s">
        <v>59</v>
      </c>
      <c r="X746" t="s">
        <v>60</v>
      </c>
      <c r="Y746" t="s">
        <v>145</v>
      </c>
      <c r="AF746" t="s">
        <v>13</v>
      </c>
      <c r="AG746" t="str">
        <f>HYPERLINK("https://doi.org/10.1515/9781474468961")</f>
        <v>https://doi.org/10.1515/9781474468961</v>
      </c>
      <c r="AH746" t="str">
        <f>HYPERLINK("http://www.degruyter.com/isbn/9781474468961")</f>
        <v>http://www.degruyter.com/isbn/9781474468961</v>
      </c>
      <c r="AI746" t="s">
        <v>1149</v>
      </c>
      <c r="AL746" t="s">
        <v>62</v>
      </c>
      <c r="AM746">
        <v>1</v>
      </c>
      <c r="AN746" s="2">
        <v>9780748612680</v>
      </c>
    </row>
    <row r="747" spans="1:40" x14ac:dyDescent="0.3">
      <c r="A747" t="s">
        <v>3837</v>
      </c>
      <c r="B747" t="s">
        <v>1</v>
      </c>
      <c r="C747" t="s">
        <v>3838</v>
      </c>
      <c r="D747" t="s">
        <v>3839</v>
      </c>
      <c r="E747" t="s">
        <v>3840</v>
      </c>
      <c r="F747" t="s">
        <v>5</v>
      </c>
      <c r="G747" t="s">
        <v>6</v>
      </c>
      <c r="L747" t="s">
        <v>7</v>
      </c>
      <c r="M747">
        <v>2011</v>
      </c>
      <c r="N747" s="1">
        <v>40702</v>
      </c>
      <c r="O747" t="s">
        <v>1806</v>
      </c>
      <c r="P747">
        <v>1</v>
      </c>
      <c r="S747">
        <v>217.95</v>
      </c>
      <c r="T747">
        <v>250</v>
      </c>
      <c r="U747">
        <v>190</v>
      </c>
      <c r="V747" t="s">
        <v>98</v>
      </c>
      <c r="W747" t="s">
        <v>99</v>
      </c>
      <c r="X747" t="s">
        <v>386</v>
      </c>
      <c r="Y747" t="s">
        <v>387</v>
      </c>
      <c r="AF747" t="s">
        <v>13</v>
      </c>
      <c r="AG747" t="str">
        <f>HYPERLINK("https://doi.org/10.1515/9780748647002")</f>
        <v>https://doi.org/10.1515/9780748647002</v>
      </c>
      <c r="AH747" t="str">
        <f>HYPERLINK("http://www.degruyter.com/isbn/9780748647002")</f>
        <v>http://www.degruyter.com/isbn/9780748647002</v>
      </c>
      <c r="AI747" t="s">
        <v>68</v>
      </c>
      <c r="AL747" t="s">
        <v>102</v>
      </c>
      <c r="AM747">
        <v>1</v>
      </c>
      <c r="AN747" s="2">
        <v>9780748643158</v>
      </c>
    </row>
    <row r="748" spans="1:40" x14ac:dyDescent="0.3">
      <c r="A748" t="s">
        <v>3841</v>
      </c>
      <c r="B748" t="s">
        <v>1</v>
      </c>
      <c r="C748" t="s">
        <v>3842</v>
      </c>
      <c r="E748" t="s">
        <v>3843</v>
      </c>
      <c r="F748" t="s">
        <v>5</v>
      </c>
      <c r="G748" t="s">
        <v>6</v>
      </c>
      <c r="L748" t="s">
        <v>7</v>
      </c>
      <c r="M748">
        <v>2020</v>
      </c>
      <c r="N748" s="1">
        <v>44656</v>
      </c>
      <c r="O748" t="s">
        <v>3844</v>
      </c>
      <c r="P748">
        <v>1</v>
      </c>
      <c r="S748">
        <v>243.95</v>
      </c>
      <c r="T748">
        <v>280</v>
      </c>
      <c r="U748">
        <v>210</v>
      </c>
      <c r="V748" t="s">
        <v>79</v>
      </c>
      <c r="W748" t="s">
        <v>734</v>
      </c>
      <c r="X748" t="s">
        <v>734</v>
      </c>
      <c r="Y748" t="s">
        <v>735</v>
      </c>
      <c r="AF748" t="s">
        <v>13</v>
      </c>
      <c r="AG748" t="str">
        <f>HYPERLINK("https://doi.org/10.1515/9781474459426")</f>
        <v>https://doi.org/10.1515/9781474459426</v>
      </c>
      <c r="AH748" t="str">
        <f>HYPERLINK("http://www.degruyter.com/isbn/9781474459426")</f>
        <v>http://www.degruyter.com/isbn/9781474459426</v>
      </c>
      <c r="AI748" t="s">
        <v>14</v>
      </c>
      <c r="AL748" t="s">
        <v>83</v>
      </c>
      <c r="AM748">
        <v>1</v>
      </c>
      <c r="AN748" s="2">
        <v>9781474461351</v>
      </c>
    </row>
    <row r="749" spans="1:40" x14ac:dyDescent="0.3">
      <c r="A749" t="s">
        <v>3845</v>
      </c>
      <c r="B749" t="s">
        <v>1</v>
      </c>
      <c r="C749" t="s">
        <v>3846</v>
      </c>
      <c r="D749" t="s">
        <v>3847</v>
      </c>
      <c r="E749" t="s">
        <v>3848</v>
      </c>
      <c r="F749" t="s">
        <v>5</v>
      </c>
      <c r="G749" t="s">
        <v>6</v>
      </c>
      <c r="L749" t="s">
        <v>7</v>
      </c>
      <c r="M749">
        <v>2014</v>
      </c>
      <c r="N749" s="1">
        <v>41982</v>
      </c>
      <c r="O749" t="s">
        <v>3849</v>
      </c>
      <c r="P749">
        <v>1</v>
      </c>
      <c r="S749">
        <v>217.95</v>
      </c>
      <c r="T749">
        <v>250</v>
      </c>
      <c r="U749">
        <v>190</v>
      </c>
      <c r="V749" t="s">
        <v>42</v>
      </c>
      <c r="W749" t="s">
        <v>43</v>
      </c>
      <c r="X749" t="s">
        <v>44</v>
      </c>
      <c r="Y749" t="s">
        <v>45</v>
      </c>
      <c r="AF749" t="s">
        <v>13</v>
      </c>
      <c r="AG749" t="str">
        <f>HYPERLINK("https://doi.org/10.1515/9780748694167")</f>
        <v>https://doi.org/10.1515/9780748694167</v>
      </c>
      <c r="AH749" t="str">
        <f>HYPERLINK("http://www.degruyter.com/isbn/9780748694167")</f>
        <v>http://www.degruyter.com/isbn/9780748694167</v>
      </c>
      <c r="AI749" t="s">
        <v>34</v>
      </c>
      <c r="AL749" t="s">
        <v>47</v>
      </c>
      <c r="AM749">
        <v>1</v>
      </c>
      <c r="AN749" s="2">
        <v>9780748694150</v>
      </c>
    </row>
    <row r="750" spans="1:40" x14ac:dyDescent="0.3">
      <c r="A750" t="s">
        <v>3850</v>
      </c>
      <c r="B750" t="s">
        <v>1</v>
      </c>
      <c r="C750" t="s">
        <v>3851</v>
      </c>
      <c r="D750" t="s">
        <v>3852</v>
      </c>
      <c r="E750" t="s">
        <v>3853</v>
      </c>
      <c r="F750" t="s">
        <v>5</v>
      </c>
      <c r="G750" t="s">
        <v>6</v>
      </c>
      <c r="L750" t="s">
        <v>7</v>
      </c>
      <c r="M750">
        <v>2019</v>
      </c>
      <c r="N750" s="1">
        <v>44644</v>
      </c>
      <c r="O750" t="s">
        <v>3854</v>
      </c>
      <c r="P750">
        <v>1</v>
      </c>
      <c r="S750">
        <v>217.95</v>
      </c>
      <c r="T750">
        <v>250</v>
      </c>
      <c r="U750">
        <v>190</v>
      </c>
      <c r="V750" t="s">
        <v>98</v>
      </c>
      <c r="W750" t="s">
        <v>366</v>
      </c>
      <c r="X750" t="s">
        <v>367</v>
      </c>
      <c r="Y750" t="s">
        <v>368</v>
      </c>
      <c r="AF750" t="s">
        <v>13</v>
      </c>
      <c r="AG750" t="str">
        <f>HYPERLINK("https://doi.org/10.1515/9781474444453?locatt=mode:legacy")</f>
        <v>https://doi.org/10.1515/9781474444453?locatt=mode:legacy</v>
      </c>
      <c r="AH750" t="str">
        <f>HYPERLINK("http://www.degruyter.com/isbn/9781474444453")</f>
        <v>http://www.degruyter.com/isbn/9781474444453</v>
      </c>
      <c r="AI750" t="s">
        <v>280</v>
      </c>
      <c r="AL750" t="s">
        <v>102</v>
      </c>
      <c r="AM750">
        <v>1</v>
      </c>
      <c r="AN750" s="2">
        <v>9781474444439</v>
      </c>
    </row>
    <row r="751" spans="1:40" x14ac:dyDescent="0.3">
      <c r="A751" t="s">
        <v>3855</v>
      </c>
      <c r="B751" t="s">
        <v>1</v>
      </c>
      <c r="C751" t="s">
        <v>3856</v>
      </c>
      <c r="E751" t="s">
        <v>3857</v>
      </c>
      <c r="F751" t="s">
        <v>5</v>
      </c>
      <c r="G751" t="s">
        <v>6</v>
      </c>
      <c r="L751" t="s">
        <v>7</v>
      </c>
      <c r="M751">
        <v>2016</v>
      </c>
      <c r="N751" s="1">
        <v>42402</v>
      </c>
      <c r="O751" t="s">
        <v>2986</v>
      </c>
      <c r="P751">
        <v>1</v>
      </c>
      <c r="S751">
        <v>253.95</v>
      </c>
      <c r="T751">
        <v>290</v>
      </c>
      <c r="U751">
        <v>220</v>
      </c>
      <c r="V751" t="s">
        <v>79</v>
      </c>
      <c r="W751" t="s">
        <v>209</v>
      </c>
      <c r="X751" t="s">
        <v>209</v>
      </c>
      <c r="Y751" t="s">
        <v>510</v>
      </c>
      <c r="AF751" t="s">
        <v>13</v>
      </c>
      <c r="AG751" t="str">
        <f>HYPERLINK("https://doi.org/10.1515/9780748695027")</f>
        <v>https://doi.org/10.1515/9780748695027</v>
      </c>
      <c r="AH751" t="str">
        <f>HYPERLINK("http://www.degruyter.com/isbn/9780748695027")</f>
        <v>http://www.degruyter.com/isbn/9780748695027</v>
      </c>
      <c r="AI751" t="s">
        <v>180</v>
      </c>
      <c r="AL751" t="s">
        <v>83</v>
      </c>
      <c r="AM751">
        <v>1</v>
      </c>
      <c r="AN751" s="2">
        <v>9780748695003</v>
      </c>
    </row>
    <row r="752" spans="1:40" x14ac:dyDescent="0.3">
      <c r="A752" t="s">
        <v>3858</v>
      </c>
      <c r="B752" t="s">
        <v>1</v>
      </c>
      <c r="C752" t="s">
        <v>3859</v>
      </c>
      <c r="D752" t="s">
        <v>1146</v>
      </c>
      <c r="E752" t="s">
        <v>3860</v>
      </c>
      <c r="F752" t="s">
        <v>5</v>
      </c>
      <c r="G752" t="s">
        <v>6</v>
      </c>
      <c r="L752" t="s">
        <v>7</v>
      </c>
      <c r="M752">
        <v>1999</v>
      </c>
      <c r="N752" s="1">
        <v>44607</v>
      </c>
      <c r="O752" t="s">
        <v>1899</v>
      </c>
      <c r="P752">
        <v>1</v>
      </c>
      <c r="S752">
        <v>217.95</v>
      </c>
      <c r="T752">
        <v>250</v>
      </c>
      <c r="U752">
        <v>190</v>
      </c>
      <c r="V752" t="s">
        <v>42</v>
      </c>
      <c r="W752" t="s">
        <v>116</v>
      </c>
      <c r="X752" t="s">
        <v>116</v>
      </c>
      <c r="Y752" t="s">
        <v>117</v>
      </c>
      <c r="AF752" t="s">
        <v>13</v>
      </c>
      <c r="AG752" t="str">
        <f>HYPERLINK("https://doi.org/10.1515/9781474465700")</f>
        <v>https://doi.org/10.1515/9781474465700</v>
      </c>
      <c r="AH752" t="str">
        <f>HYPERLINK("http://www.degruyter.com/isbn/9781474465700")</f>
        <v>http://www.degruyter.com/isbn/9781474465700</v>
      </c>
      <c r="AI752" t="s">
        <v>24</v>
      </c>
      <c r="AL752" t="s">
        <v>47</v>
      </c>
      <c r="AM752">
        <v>1</v>
      </c>
      <c r="AN752" s="2">
        <v>9780748610686</v>
      </c>
    </row>
    <row r="753" spans="1:40" x14ac:dyDescent="0.3">
      <c r="A753" t="s">
        <v>3861</v>
      </c>
      <c r="B753" t="s">
        <v>1</v>
      </c>
      <c r="C753" t="s">
        <v>3862</v>
      </c>
      <c r="E753" t="s">
        <v>3863</v>
      </c>
      <c r="F753" t="s">
        <v>5</v>
      </c>
      <c r="G753" t="s">
        <v>6</v>
      </c>
      <c r="L753" t="s">
        <v>7</v>
      </c>
      <c r="M753">
        <v>2009</v>
      </c>
      <c r="N753" s="1">
        <v>39832</v>
      </c>
      <c r="O753" t="s">
        <v>3864</v>
      </c>
      <c r="P753">
        <v>1</v>
      </c>
      <c r="S753">
        <v>261.95</v>
      </c>
      <c r="T753">
        <v>300</v>
      </c>
      <c r="U753">
        <v>230</v>
      </c>
      <c r="V753" t="s">
        <v>98</v>
      </c>
      <c r="W753" t="s">
        <v>99</v>
      </c>
      <c r="X753" t="s">
        <v>386</v>
      </c>
      <c r="Y753" t="s">
        <v>387</v>
      </c>
      <c r="AF753" t="s">
        <v>13</v>
      </c>
      <c r="AG753" t="str">
        <f>HYPERLINK("https://doi.org/10.1515/9780748637355")</f>
        <v>https://doi.org/10.1515/9780748637355</v>
      </c>
      <c r="AH753" t="str">
        <f>HYPERLINK("http://www.degruyter.com/isbn/9780748637355")</f>
        <v>http://www.degruyter.com/isbn/9780748637355</v>
      </c>
      <c r="AI753" t="s">
        <v>68</v>
      </c>
      <c r="AL753" t="s">
        <v>102</v>
      </c>
      <c r="AM753">
        <v>1</v>
      </c>
      <c r="AN753" s="2">
        <v>9780748637263</v>
      </c>
    </row>
    <row r="754" spans="1:40" x14ac:dyDescent="0.3">
      <c r="A754" t="s">
        <v>3865</v>
      </c>
      <c r="B754" t="s">
        <v>1</v>
      </c>
      <c r="C754" t="s">
        <v>3866</v>
      </c>
      <c r="D754" t="s">
        <v>3867</v>
      </c>
      <c r="E754" t="s">
        <v>3868</v>
      </c>
      <c r="F754" t="s">
        <v>5</v>
      </c>
      <c r="G754" t="s">
        <v>6</v>
      </c>
      <c r="K754" t="s">
        <v>929</v>
      </c>
      <c r="L754" t="s">
        <v>7</v>
      </c>
      <c r="M754">
        <v>2017</v>
      </c>
      <c r="N754" s="1">
        <v>43040</v>
      </c>
      <c r="O754" t="s">
        <v>3869</v>
      </c>
      <c r="P754">
        <v>1</v>
      </c>
      <c r="V754" t="s">
        <v>42</v>
      </c>
      <c r="W754" t="s">
        <v>107</v>
      </c>
      <c r="X754" t="s">
        <v>108</v>
      </c>
      <c r="Y754" t="s">
        <v>2244</v>
      </c>
      <c r="AF754" t="s">
        <v>13</v>
      </c>
      <c r="AG754" t="str">
        <f>HYPERLINK("https://doi.org/10.1515/9781474423540")</f>
        <v>https://doi.org/10.1515/9781474423540</v>
      </c>
      <c r="AH754" t="str">
        <f>HYPERLINK("http://www.degruyter.com/isbn/9781474423540")</f>
        <v>http://www.degruyter.com/isbn/9781474423540</v>
      </c>
      <c r="AI754" t="s">
        <v>222</v>
      </c>
      <c r="AM754">
        <v>1</v>
      </c>
      <c r="AN754" s="2"/>
    </row>
    <row r="755" spans="1:40" x14ac:dyDescent="0.3">
      <c r="A755" t="s">
        <v>3870</v>
      </c>
      <c r="B755" t="s">
        <v>1</v>
      </c>
      <c r="C755" t="s">
        <v>3871</v>
      </c>
      <c r="D755" t="s">
        <v>3872</v>
      </c>
      <c r="E755" t="s">
        <v>3873</v>
      </c>
      <c r="F755" t="s">
        <v>5</v>
      </c>
      <c r="G755" t="s">
        <v>6</v>
      </c>
      <c r="L755" t="s">
        <v>7</v>
      </c>
      <c r="M755">
        <v>2011</v>
      </c>
      <c r="N755" s="1">
        <v>40625</v>
      </c>
      <c r="O755" t="s">
        <v>3874</v>
      </c>
      <c r="P755">
        <v>1</v>
      </c>
      <c r="S755">
        <v>243.95</v>
      </c>
      <c r="T755">
        <v>280</v>
      </c>
      <c r="U755">
        <v>210</v>
      </c>
      <c r="V755" t="s">
        <v>297</v>
      </c>
      <c r="W755" t="s">
        <v>298</v>
      </c>
      <c r="X755" t="s">
        <v>298</v>
      </c>
      <c r="Y755" t="s">
        <v>299</v>
      </c>
      <c r="AF755" t="s">
        <v>13</v>
      </c>
      <c r="AG755" t="str">
        <f>HYPERLINK("https://doi.org/10.1515/9780748645992?locatt=mode:legacy")</f>
        <v>https://doi.org/10.1515/9780748645992?locatt=mode:legacy</v>
      </c>
      <c r="AH755" t="str">
        <f>HYPERLINK("http://www.degruyter.com/isbn/9780748645992")</f>
        <v>http://www.degruyter.com/isbn/9780748645992</v>
      </c>
      <c r="AI755" t="s">
        <v>68</v>
      </c>
      <c r="AL755" t="s">
        <v>83</v>
      </c>
      <c r="AM755">
        <v>1</v>
      </c>
      <c r="AN755" s="2">
        <v>9780748641826</v>
      </c>
    </row>
    <row r="756" spans="1:40" x14ac:dyDescent="0.3">
      <c r="A756" t="s">
        <v>3875</v>
      </c>
      <c r="B756" t="s">
        <v>1</v>
      </c>
      <c r="C756" t="s">
        <v>3876</v>
      </c>
      <c r="D756" t="s">
        <v>3877</v>
      </c>
      <c r="E756" t="s">
        <v>3878</v>
      </c>
      <c r="F756" t="s">
        <v>5</v>
      </c>
      <c r="G756" t="s">
        <v>6</v>
      </c>
      <c r="L756" t="s">
        <v>7</v>
      </c>
      <c r="M756">
        <v>2020</v>
      </c>
      <c r="N756" s="1">
        <v>44656</v>
      </c>
      <c r="O756" t="s">
        <v>3879</v>
      </c>
      <c r="P756">
        <v>1</v>
      </c>
      <c r="S756">
        <v>217.95</v>
      </c>
      <c r="T756">
        <v>250</v>
      </c>
      <c r="U756">
        <v>190</v>
      </c>
      <c r="V756" t="s">
        <v>9</v>
      </c>
      <c r="W756" t="s">
        <v>10</v>
      </c>
      <c r="X756" t="s">
        <v>11</v>
      </c>
      <c r="Y756" t="s">
        <v>52</v>
      </c>
      <c r="AF756" t="s">
        <v>13</v>
      </c>
      <c r="AG756" t="str">
        <f>HYPERLINK("https://doi.org/10.1515/9781474451062?locatt=mode:legacy")</f>
        <v>https://doi.org/10.1515/9781474451062?locatt=mode:legacy</v>
      </c>
      <c r="AH756" t="str">
        <f>HYPERLINK("http://www.degruyter.com/isbn/9781474451062")</f>
        <v>http://www.degruyter.com/isbn/9781474451062</v>
      </c>
      <c r="AI756" t="s">
        <v>14</v>
      </c>
      <c r="AL756" t="s">
        <v>15</v>
      </c>
      <c r="AM756">
        <v>1</v>
      </c>
      <c r="AN756" s="2">
        <v>9781474451048</v>
      </c>
    </row>
    <row r="757" spans="1:40" x14ac:dyDescent="0.3">
      <c r="A757" t="s">
        <v>3880</v>
      </c>
      <c r="B757" t="s">
        <v>1</v>
      </c>
      <c r="C757" t="s">
        <v>3881</v>
      </c>
      <c r="D757" t="s">
        <v>3882</v>
      </c>
      <c r="E757" t="s">
        <v>3883</v>
      </c>
      <c r="F757" t="s">
        <v>5</v>
      </c>
      <c r="G757" t="s">
        <v>6</v>
      </c>
      <c r="L757" t="s">
        <v>7</v>
      </c>
      <c r="M757">
        <v>2006</v>
      </c>
      <c r="N757" s="1">
        <v>38916</v>
      </c>
      <c r="O757" t="s">
        <v>3884</v>
      </c>
      <c r="P757">
        <v>1</v>
      </c>
      <c r="S757">
        <v>217.95</v>
      </c>
      <c r="T757">
        <v>250</v>
      </c>
      <c r="U757">
        <v>190</v>
      </c>
      <c r="V757" t="s">
        <v>305</v>
      </c>
      <c r="W757" t="s">
        <v>2566</v>
      </c>
      <c r="X757" t="s">
        <v>2567</v>
      </c>
      <c r="Y757" t="s">
        <v>3885</v>
      </c>
      <c r="AF757" t="s">
        <v>13</v>
      </c>
      <c r="AG757" t="str">
        <f>HYPERLINK("https://doi.org/10.1515/9780748627189")</f>
        <v>https://doi.org/10.1515/9780748627189</v>
      </c>
      <c r="AH757" t="str">
        <f>HYPERLINK("http://www.degruyter.com/isbn/9780748627189")</f>
        <v>http://www.degruyter.com/isbn/9780748627189</v>
      </c>
      <c r="AI757" t="s">
        <v>68</v>
      </c>
      <c r="AL757" t="s">
        <v>308</v>
      </c>
      <c r="AM757">
        <v>1</v>
      </c>
      <c r="AN757" s="2">
        <v>9780748621842</v>
      </c>
    </row>
    <row r="758" spans="1:40" x14ac:dyDescent="0.3">
      <c r="A758" t="s">
        <v>3886</v>
      </c>
      <c r="B758" t="s">
        <v>1</v>
      </c>
      <c r="C758" t="s">
        <v>3887</v>
      </c>
      <c r="D758" t="s">
        <v>3888</v>
      </c>
      <c r="E758" t="s">
        <v>3889</v>
      </c>
      <c r="F758" t="s">
        <v>5</v>
      </c>
      <c r="G758" t="s">
        <v>6</v>
      </c>
      <c r="L758" t="s">
        <v>7</v>
      </c>
      <c r="M758">
        <v>2010</v>
      </c>
      <c r="N758" s="1">
        <v>40437</v>
      </c>
      <c r="O758" t="s">
        <v>3890</v>
      </c>
      <c r="P758">
        <v>1</v>
      </c>
      <c r="S758">
        <v>227.95</v>
      </c>
      <c r="T758">
        <v>260</v>
      </c>
      <c r="U758">
        <v>200</v>
      </c>
      <c r="V758" t="s">
        <v>42</v>
      </c>
      <c r="W758" t="s">
        <v>107</v>
      </c>
      <c r="X758" t="s">
        <v>108</v>
      </c>
      <c r="Y758" t="s">
        <v>952</v>
      </c>
      <c r="AF758" t="s">
        <v>13</v>
      </c>
      <c r="AG758" t="str">
        <f>HYPERLINK("https://doi.org/10.1515/9780748637652")</f>
        <v>https://doi.org/10.1515/9780748637652</v>
      </c>
      <c r="AH758" t="str">
        <f>HYPERLINK("http://www.degruyter.com/isbn/9780748637652")</f>
        <v>http://www.degruyter.com/isbn/9780748637652</v>
      </c>
      <c r="AI758" t="s">
        <v>68</v>
      </c>
      <c r="AL758" t="s">
        <v>47</v>
      </c>
      <c r="AM758">
        <v>1</v>
      </c>
      <c r="AN758" s="2">
        <v>9780748637645</v>
      </c>
    </row>
    <row r="759" spans="1:40" x14ac:dyDescent="0.3">
      <c r="A759" t="s">
        <v>3891</v>
      </c>
      <c r="B759" t="s">
        <v>1</v>
      </c>
      <c r="C759" t="s">
        <v>3892</v>
      </c>
      <c r="D759" t="s">
        <v>3893</v>
      </c>
      <c r="E759" t="s">
        <v>3894</v>
      </c>
      <c r="F759" t="s">
        <v>5</v>
      </c>
      <c r="G759" t="s">
        <v>6</v>
      </c>
      <c r="L759" t="s">
        <v>7</v>
      </c>
      <c r="M759">
        <v>2020</v>
      </c>
      <c r="N759" s="1">
        <v>44644</v>
      </c>
      <c r="O759" t="s">
        <v>3895</v>
      </c>
      <c r="P759">
        <v>1</v>
      </c>
      <c r="S759">
        <v>227.95</v>
      </c>
      <c r="T759">
        <v>260</v>
      </c>
      <c r="U759">
        <v>200</v>
      </c>
      <c r="V759" t="s">
        <v>9</v>
      </c>
      <c r="W759" t="s">
        <v>10</v>
      </c>
      <c r="X759" t="s">
        <v>11</v>
      </c>
      <c r="Y759" t="s">
        <v>3896</v>
      </c>
      <c r="AF759" t="s">
        <v>13</v>
      </c>
      <c r="AG759" t="str">
        <f>HYPERLINK("https://doi.org/10.1515/9781474452090")</f>
        <v>https://doi.org/10.1515/9781474452090</v>
      </c>
      <c r="AH759" t="str">
        <f>HYPERLINK("http://www.degruyter.com/isbn/9781474452090")</f>
        <v>http://www.degruyter.com/isbn/9781474452090</v>
      </c>
      <c r="AI759" t="s">
        <v>14</v>
      </c>
      <c r="AL759" t="s">
        <v>15</v>
      </c>
      <c r="AM759">
        <v>1</v>
      </c>
      <c r="AN759" s="2">
        <v>9781474452076</v>
      </c>
    </row>
    <row r="760" spans="1:40" x14ac:dyDescent="0.3">
      <c r="A760" t="s">
        <v>3897</v>
      </c>
      <c r="B760" t="s">
        <v>1</v>
      </c>
      <c r="C760" t="s">
        <v>3898</v>
      </c>
      <c r="E760" t="s">
        <v>3899</v>
      </c>
      <c r="F760" t="s">
        <v>5</v>
      </c>
      <c r="G760" t="s">
        <v>6</v>
      </c>
      <c r="L760" t="s">
        <v>7</v>
      </c>
      <c r="M760">
        <v>2020</v>
      </c>
      <c r="N760" s="1">
        <v>44644</v>
      </c>
      <c r="O760" t="s">
        <v>3900</v>
      </c>
      <c r="P760">
        <v>1</v>
      </c>
      <c r="S760">
        <v>217.95</v>
      </c>
      <c r="T760">
        <v>250</v>
      </c>
      <c r="U760">
        <v>190</v>
      </c>
      <c r="V760" t="s">
        <v>20</v>
      </c>
      <c r="W760" t="s">
        <v>21</v>
      </c>
      <c r="X760" t="s">
        <v>839</v>
      </c>
      <c r="Y760" t="s">
        <v>1475</v>
      </c>
      <c r="AF760" t="s">
        <v>13</v>
      </c>
      <c r="AG760" t="str">
        <f>HYPERLINK("https://doi.org/10.1515/9781474478762")</f>
        <v>https://doi.org/10.1515/9781474478762</v>
      </c>
      <c r="AH760" t="str">
        <f>HYPERLINK("http://www.degruyter.com/isbn/9781474478762")</f>
        <v>http://www.degruyter.com/isbn/9781474478762</v>
      </c>
      <c r="AI760" t="s">
        <v>14</v>
      </c>
      <c r="AL760" t="s">
        <v>15</v>
      </c>
      <c r="AM760">
        <v>1</v>
      </c>
      <c r="AN760" s="2">
        <v>9781474478731</v>
      </c>
    </row>
    <row r="761" spans="1:40" x14ac:dyDescent="0.3">
      <c r="A761" t="s">
        <v>3901</v>
      </c>
      <c r="B761" t="s">
        <v>1</v>
      </c>
      <c r="C761" t="s">
        <v>3902</v>
      </c>
      <c r="E761" t="s">
        <v>3903</v>
      </c>
      <c r="F761" t="s">
        <v>5</v>
      </c>
      <c r="G761" t="s">
        <v>6</v>
      </c>
      <c r="L761" t="s">
        <v>7</v>
      </c>
      <c r="M761">
        <v>2008</v>
      </c>
      <c r="N761" s="1">
        <v>39797</v>
      </c>
      <c r="O761" t="s">
        <v>3904</v>
      </c>
      <c r="P761">
        <v>1</v>
      </c>
      <c r="S761">
        <v>295.95</v>
      </c>
      <c r="T761">
        <v>340</v>
      </c>
      <c r="U761">
        <v>260</v>
      </c>
      <c r="V761" t="s">
        <v>79</v>
      </c>
      <c r="W761" t="s">
        <v>209</v>
      </c>
      <c r="X761" t="s">
        <v>209</v>
      </c>
      <c r="Y761" t="s">
        <v>510</v>
      </c>
      <c r="AF761" t="s">
        <v>13</v>
      </c>
      <c r="AG761" t="str">
        <f>HYPERLINK("https://doi.org/10.1515/9780748628643?locatt=mode:legacy")</f>
        <v>https://doi.org/10.1515/9780748628643?locatt=mode:legacy</v>
      </c>
      <c r="AH761" t="str">
        <f>HYPERLINK("http://www.degruyter.com/isbn/9780748628643")</f>
        <v>http://www.degruyter.com/isbn/9780748628643</v>
      </c>
      <c r="AI761" t="s">
        <v>68</v>
      </c>
      <c r="AL761" t="s">
        <v>83</v>
      </c>
      <c r="AM761">
        <v>1</v>
      </c>
      <c r="AN761" s="2">
        <v>9780748616275</v>
      </c>
    </row>
    <row r="762" spans="1:40" x14ac:dyDescent="0.3">
      <c r="A762" t="s">
        <v>3905</v>
      </c>
      <c r="B762" t="s">
        <v>1</v>
      </c>
      <c r="C762" t="s">
        <v>3906</v>
      </c>
      <c r="D762" t="s">
        <v>3907</v>
      </c>
      <c r="E762" t="s">
        <v>3908</v>
      </c>
      <c r="F762" t="s">
        <v>5</v>
      </c>
      <c r="G762" t="s">
        <v>6</v>
      </c>
      <c r="L762" t="s">
        <v>7</v>
      </c>
      <c r="M762">
        <v>2016</v>
      </c>
      <c r="N762" s="1">
        <v>42475</v>
      </c>
      <c r="O762" t="s">
        <v>3909</v>
      </c>
      <c r="P762">
        <v>1</v>
      </c>
      <c r="S762">
        <v>217.95</v>
      </c>
      <c r="T762">
        <v>250</v>
      </c>
      <c r="U762">
        <v>190</v>
      </c>
      <c r="V762" t="s">
        <v>20</v>
      </c>
      <c r="W762" t="s">
        <v>1018</v>
      </c>
      <c r="X762" t="s">
        <v>1018</v>
      </c>
      <c r="Y762" t="s">
        <v>2215</v>
      </c>
      <c r="AF762" t="s">
        <v>13</v>
      </c>
      <c r="AG762" t="str">
        <f>HYPERLINK("https://doi.org/10.1515/9781474402743")</f>
        <v>https://doi.org/10.1515/9781474402743</v>
      </c>
      <c r="AH762" t="str">
        <f>HYPERLINK("http://www.degruyter.com/isbn/9781474402743")</f>
        <v>http://www.degruyter.com/isbn/9781474402743</v>
      </c>
      <c r="AI762" t="s">
        <v>180</v>
      </c>
      <c r="AL762" t="s">
        <v>15</v>
      </c>
      <c r="AM762">
        <v>1</v>
      </c>
      <c r="AN762" s="2">
        <v>9781474402736</v>
      </c>
    </row>
    <row r="763" spans="1:40" x14ac:dyDescent="0.3">
      <c r="A763" t="s">
        <v>3910</v>
      </c>
      <c r="B763" t="s">
        <v>1</v>
      </c>
      <c r="C763" t="s">
        <v>3911</v>
      </c>
      <c r="E763" t="s">
        <v>3912</v>
      </c>
      <c r="F763" t="s">
        <v>5</v>
      </c>
      <c r="G763" t="s">
        <v>6</v>
      </c>
      <c r="L763" t="s">
        <v>7</v>
      </c>
      <c r="M763">
        <v>2016</v>
      </c>
      <c r="N763" s="1">
        <v>42633</v>
      </c>
      <c r="O763" t="s">
        <v>3913</v>
      </c>
      <c r="P763">
        <v>1</v>
      </c>
      <c r="S763">
        <v>253.95</v>
      </c>
      <c r="T763">
        <v>290</v>
      </c>
      <c r="U763">
        <v>220</v>
      </c>
      <c r="V763" t="s">
        <v>79</v>
      </c>
      <c r="W763" t="s">
        <v>123</v>
      </c>
      <c r="X763" t="s">
        <v>123</v>
      </c>
      <c r="Y763" t="s">
        <v>124</v>
      </c>
      <c r="AF763" t="s">
        <v>13</v>
      </c>
      <c r="AG763" t="str">
        <f>HYPERLINK("https://doi.org/10.1515/9781474415095")</f>
        <v>https://doi.org/10.1515/9781474415095</v>
      </c>
      <c r="AH763" t="str">
        <f>HYPERLINK("http://www.degruyter.com/isbn/9781474415095")</f>
        <v>http://www.degruyter.com/isbn/9781474415095</v>
      </c>
      <c r="AI763" t="s">
        <v>180</v>
      </c>
      <c r="AL763" t="s">
        <v>83</v>
      </c>
      <c r="AM763">
        <v>1</v>
      </c>
      <c r="AN763" s="2">
        <v>9781474415071</v>
      </c>
    </row>
    <row r="764" spans="1:40" x14ac:dyDescent="0.3">
      <c r="A764" t="s">
        <v>3914</v>
      </c>
      <c r="B764" t="s">
        <v>1</v>
      </c>
      <c r="C764" t="s">
        <v>3915</v>
      </c>
      <c r="D764" t="s">
        <v>3916</v>
      </c>
      <c r="E764" t="s">
        <v>3917</v>
      </c>
      <c r="F764" t="s">
        <v>5</v>
      </c>
      <c r="G764" t="s">
        <v>6</v>
      </c>
      <c r="L764" t="s">
        <v>7</v>
      </c>
      <c r="M764">
        <v>2019</v>
      </c>
      <c r="N764" s="1">
        <v>44656</v>
      </c>
      <c r="O764" t="s">
        <v>3918</v>
      </c>
      <c r="P764">
        <v>1</v>
      </c>
      <c r="S764">
        <v>217.95</v>
      </c>
      <c r="T764">
        <v>250</v>
      </c>
      <c r="U764">
        <v>190</v>
      </c>
      <c r="V764" t="s">
        <v>20</v>
      </c>
      <c r="W764" t="s">
        <v>21</v>
      </c>
      <c r="X764" t="s">
        <v>3919</v>
      </c>
      <c r="Y764" t="s">
        <v>3920</v>
      </c>
      <c r="AF764" t="s">
        <v>13</v>
      </c>
      <c r="AG764" t="str">
        <f>HYPERLINK("https://doi.org/10.1515/9781474430234")</f>
        <v>https://doi.org/10.1515/9781474430234</v>
      </c>
      <c r="AH764" t="str">
        <f>HYPERLINK("http://www.degruyter.com/isbn/9781474430234")</f>
        <v>http://www.degruyter.com/isbn/9781474430234</v>
      </c>
      <c r="AI764" t="s">
        <v>280</v>
      </c>
      <c r="AL764" t="s">
        <v>15</v>
      </c>
      <c r="AM764">
        <v>1</v>
      </c>
      <c r="AN764" s="2">
        <v>9781474430210</v>
      </c>
    </row>
    <row r="765" spans="1:40" x14ac:dyDescent="0.3">
      <c r="A765" t="s">
        <v>3921</v>
      </c>
      <c r="B765" t="s">
        <v>1</v>
      </c>
      <c r="C765" t="s">
        <v>3922</v>
      </c>
      <c r="D765" t="s">
        <v>3923</v>
      </c>
      <c r="E765" t="s">
        <v>3924</v>
      </c>
      <c r="F765" t="s">
        <v>5</v>
      </c>
      <c r="G765" t="s">
        <v>6</v>
      </c>
      <c r="L765" t="s">
        <v>7</v>
      </c>
      <c r="M765">
        <v>2020</v>
      </c>
      <c r="N765" s="1">
        <v>44656</v>
      </c>
      <c r="O765" t="s">
        <v>3925</v>
      </c>
      <c r="P765">
        <v>1</v>
      </c>
      <c r="S765">
        <v>261.95</v>
      </c>
      <c r="T765">
        <v>300</v>
      </c>
      <c r="U765">
        <v>230</v>
      </c>
      <c r="V765" t="s">
        <v>79</v>
      </c>
      <c r="W765" t="s">
        <v>227</v>
      </c>
      <c r="X765" t="s">
        <v>3926</v>
      </c>
      <c r="Y765" t="s">
        <v>3927</v>
      </c>
      <c r="AF765" t="s">
        <v>13</v>
      </c>
      <c r="AG765" t="str">
        <f>HYPERLINK("https://doi.org/10.1515/9781474405751")</f>
        <v>https://doi.org/10.1515/9781474405751</v>
      </c>
      <c r="AH765" t="str">
        <f>HYPERLINK("http://www.degruyter.com/isbn/9781474405751")</f>
        <v>http://www.degruyter.com/isbn/9781474405751</v>
      </c>
      <c r="AI765" t="s">
        <v>14</v>
      </c>
      <c r="AL765" t="s">
        <v>83</v>
      </c>
      <c r="AM765">
        <v>1</v>
      </c>
      <c r="AN765" s="2">
        <v>9781474405737</v>
      </c>
    </row>
    <row r="766" spans="1:40" x14ac:dyDescent="0.3">
      <c r="A766" t="s">
        <v>3928</v>
      </c>
      <c r="B766" t="s">
        <v>1</v>
      </c>
      <c r="C766" t="s">
        <v>3929</v>
      </c>
      <c r="E766" t="s">
        <v>3930</v>
      </c>
      <c r="F766" t="s">
        <v>5</v>
      </c>
      <c r="G766" t="s">
        <v>6</v>
      </c>
      <c r="L766" t="s">
        <v>7</v>
      </c>
      <c r="M766">
        <v>1997</v>
      </c>
      <c r="N766" s="1">
        <v>44672</v>
      </c>
      <c r="O766" t="s">
        <v>3931</v>
      </c>
      <c r="P766">
        <v>1</v>
      </c>
      <c r="S766">
        <v>45.95</v>
      </c>
      <c r="T766">
        <v>49.9</v>
      </c>
      <c r="U766">
        <v>39.979999999999997</v>
      </c>
      <c r="V766" t="s">
        <v>20</v>
      </c>
      <c r="W766" t="s">
        <v>21</v>
      </c>
      <c r="X766" t="s">
        <v>3445</v>
      </c>
      <c r="Y766" t="s">
        <v>3932</v>
      </c>
      <c r="AF766" t="s">
        <v>13</v>
      </c>
      <c r="AG766" t="str">
        <f>HYPERLINK("https://doi.org/10.1515/9780585105161")</f>
        <v>https://doi.org/10.1515/9780585105161</v>
      </c>
      <c r="AH766" t="str">
        <f>HYPERLINK("http://www.degruyter.com/isbn/9780585105161")</f>
        <v>http://www.degruyter.com/isbn/9780585105161</v>
      </c>
      <c r="AI766" t="s">
        <v>24</v>
      </c>
      <c r="AL766" t="s">
        <v>15</v>
      </c>
      <c r="AM766">
        <v>1</v>
      </c>
      <c r="AN766" s="2">
        <v>9781853312014</v>
      </c>
    </row>
    <row r="767" spans="1:40" x14ac:dyDescent="0.3">
      <c r="A767" t="s">
        <v>3933</v>
      </c>
      <c r="B767" t="s">
        <v>1</v>
      </c>
      <c r="C767" t="s">
        <v>3934</v>
      </c>
      <c r="D767" t="s">
        <v>3935</v>
      </c>
      <c r="E767" t="s">
        <v>3936</v>
      </c>
      <c r="F767" t="s">
        <v>5</v>
      </c>
      <c r="G767" t="s">
        <v>6</v>
      </c>
      <c r="L767" t="s">
        <v>7</v>
      </c>
      <c r="M767">
        <v>1995</v>
      </c>
      <c r="N767" s="1">
        <v>44599</v>
      </c>
      <c r="O767" t="s">
        <v>3937</v>
      </c>
      <c r="P767">
        <v>1</v>
      </c>
      <c r="S767">
        <v>217.95</v>
      </c>
      <c r="T767">
        <v>250</v>
      </c>
      <c r="U767">
        <v>190</v>
      </c>
      <c r="V767" t="s">
        <v>98</v>
      </c>
      <c r="W767" t="s">
        <v>1513</v>
      </c>
      <c r="X767" t="s">
        <v>1514</v>
      </c>
      <c r="Y767" t="s">
        <v>1515</v>
      </c>
      <c r="AF767" t="s">
        <v>13</v>
      </c>
      <c r="AG767" t="str">
        <f>HYPERLINK("https://doi.org/10.1515/9781474465519")</f>
        <v>https://doi.org/10.1515/9781474465519</v>
      </c>
      <c r="AH767" t="str">
        <f>HYPERLINK("http://www.degruyter.com/isbn/9781474465519")</f>
        <v>http://www.degruyter.com/isbn/9781474465519</v>
      </c>
      <c r="AI767" t="s">
        <v>3938</v>
      </c>
      <c r="AL767" t="s">
        <v>102</v>
      </c>
      <c r="AM767">
        <v>1</v>
      </c>
      <c r="AN767" s="2">
        <v>9780748606184</v>
      </c>
    </row>
    <row r="768" spans="1:40" x14ac:dyDescent="0.3">
      <c r="A768" t="s">
        <v>3939</v>
      </c>
      <c r="B768" t="s">
        <v>1</v>
      </c>
      <c r="C768" t="s">
        <v>3940</v>
      </c>
      <c r="D768" t="s">
        <v>3941</v>
      </c>
      <c r="E768" t="s">
        <v>3942</v>
      </c>
      <c r="F768" t="s">
        <v>5</v>
      </c>
      <c r="G768" t="s">
        <v>6</v>
      </c>
      <c r="K768" t="s">
        <v>929</v>
      </c>
      <c r="L768" t="s">
        <v>7</v>
      </c>
      <c r="M768">
        <v>2013</v>
      </c>
      <c r="N768" s="1">
        <v>41295</v>
      </c>
      <c r="O768" t="s">
        <v>1280</v>
      </c>
      <c r="P768">
        <v>1</v>
      </c>
      <c r="V768" t="s">
        <v>268</v>
      </c>
      <c r="W768" t="s">
        <v>269</v>
      </c>
      <c r="X768" t="s">
        <v>269</v>
      </c>
      <c r="Y768" t="s">
        <v>3691</v>
      </c>
      <c r="AF768" t="s">
        <v>13</v>
      </c>
      <c r="AG768" t="str">
        <f>HYPERLINK("https://doi.org/10.1515/9780748668182?locatt=mode:legacy")</f>
        <v>https://doi.org/10.1515/9780748668182?locatt=mode:legacy</v>
      </c>
      <c r="AH768" t="str">
        <f>HYPERLINK("http://www.degruyter.com/isbn/9780748668182")</f>
        <v>http://www.degruyter.com/isbn/9780748668182</v>
      </c>
      <c r="AI768" t="s">
        <v>412</v>
      </c>
      <c r="AM768">
        <v>1</v>
      </c>
      <c r="AN768" s="2"/>
    </row>
    <row r="769" spans="1:40" x14ac:dyDescent="0.3">
      <c r="A769" t="s">
        <v>3943</v>
      </c>
      <c r="B769" t="s">
        <v>1</v>
      </c>
      <c r="C769" t="s">
        <v>3944</v>
      </c>
      <c r="D769" t="s">
        <v>3945</v>
      </c>
      <c r="E769" t="s">
        <v>3946</v>
      </c>
      <c r="F769" t="s">
        <v>5</v>
      </c>
      <c r="G769" t="s">
        <v>6</v>
      </c>
      <c r="L769" t="s">
        <v>7</v>
      </c>
      <c r="M769">
        <v>2010</v>
      </c>
      <c r="N769" s="1">
        <v>44607</v>
      </c>
      <c r="O769" t="s">
        <v>3947</v>
      </c>
      <c r="P769">
        <v>1</v>
      </c>
      <c r="S769">
        <v>217.95</v>
      </c>
      <c r="T769">
        <v>250</v>
      </c>
      <c r="U769">
        <v>190</v>
      </c>
      <c r="V769" t="s">
        <v>42</v>
      </c>
      <c r="W769" t="s">
        <v>116</v>
      </c>
      <c r="X769" t="s">
        <v>116</v>
      </c>
      <c r="Y769" t="s">
        <v>1129</v>
      </c>
      <c r="AF769" t="s">
        <v>13</v>
      </c>
      <c r="AG769" t="str">
        <f>HYPERLINK("https://doi.org/10.1515/9780748680771")</f>
        <v>https://doi.org/10.1515/9780748680771</v>
      </c>
      <c r="AH769" t="str">
        <f>HYPERLINK("http://www.degruyter.com/isbn/9780748680771")</f>
        <v>http://www.degruyter.com/isbn/9780748680771</v>
      </c>
      <c r="AI769" t="s">
        <v>68</v>
      </c>
      <c r="AL769" t="s">
        <v>47</v>
      </c>
      <c r="AM769">
        <v>1</v>
      </c>
      <c r="AN769" s="2">
        <v>9780748641512</v>
      </c>
    </row>
    <row r="770" spans="1:40" x14ac:dyDescent="0.3">
      <c r="A770" t="s">
        <v>3948</v>
      </c>
      <c r="B770" t="s">
        <v>1</v>
      </c>
      <c r="C770" t="s">
        <v>3949</v>
      </c>
      <c r="D770" t="s">
        <v>3950</v>
      </c>
      <c r="E770" t="s">
        <v>3951</v>
      </c>
      <c r="F770" t="s">
        <v>5</v>
      </c>
      <c r="G770" t="s">
        <v>6</v>
      </c>
      <c r="L770" t="s">
        <v>7</v>
      </c>
      <c r="M770">
        <v>2018</v>
      </c>
      <c r="N770" s="1">
        <v>44656</v>
      </c>
      <c r="O770" t="s">
        <v>3952</v>
      </c>
      <c r="P770">
        <v>1</v>
      </c>
      <c r="S770">
        <v>243.95</v>
      </c>
      <c r="T770">
        <v>280</v>
      </c>
      <c r="U770">
        <v>210</v>
      </c>
      <c r="V770" t="s">
        <v>42</v>
      </c>
      <c r="W770" t="s">
        <v>43</v>
      </c>
      <c r="X770" t="s">
        <v>44</v>
      </c>
      <c r="Y770" t="s">
        <v>45</v>
      </c>
      <c r="AF770" t="s">
        <v>13</v>
      </c>
      <c r="AG770" t="str">
        <f>HYPERLINK("https://doi.org/10.1515/9781474422901?locatt=mode:legacy")</f>
        <v>https://doi.org/10.1515/9781474422901?locatt=mode:legacy</v>
      </c>
      <c r="AH770" t="str">
        <f>HYPERLINK("http://www.degruyter.com/isbn/9781474422901")</f>
        <v>http://www.degruyter.com/isbn/9781474422901</v>
      </c>
      <c r="AI770" t="s">
        <v>46</v>
      </c>
      <c r="AL770" t="s">
        <v>47</v>
      </c>
      <c r="AM770">
        <v>1</v>
      </c>
      <c r="AN770" s="2">
        <v>9781474422888</v>
      </c>
    </row>
    <row r="771" spans="1:40" x14ac:dyDescent="0.3">
      <c r="A771" t="s">
        <v>3953</v>
      </c>
      <c r="B771" t="s">
        <v>1</v>
      </c>
      <c r="C771" t="s">
        <v>3954</v>
      </c>
      <c r="D771" t="s">
        <v>3955</v>
      </c>
      <c r="E771" t="s">
        <v>3956</v>
      </c>
      <c r="F771" t="s">
        <v>5</v>
      </c>
      <c r="G771" t="s">
        <v>6</v>
      </c>
      <c r="L771" t="s">
        <v>7</v>
      </c>
      <c r="M771">
        <v>2016</v>
      </c>
      <c r="N771" s="1">
        <v>42487</v>
      </c>
      <c r="O771" t="s">
        <v>3957</v>
      </c>
      <c r="P771">
        <v>1</v>
      </c>
      <c r="S771">
        <v>253.95</v>
      </c>
      <c r="T771">
        <v>290</v>
      </c>
      <c r="U771">
        <v>220</v>
      </c>
      <c r="V771" t="s">
        <v>58</v>
      </c>
      <c r="W771" t="s">
        <v>59</v>
      </c>
      <c r="X771" t="s">
        <v>60</v>
      </c>
      <c r="Y771" t="s">
        <v>1171</v>
      </c>
      <c r="AF771" t="s">
        <v>13</v>
      </c>
      <c r="AG771" t="str">
        <f>HYPERLINK("https://doi.org/10.1515/9781474413688")</f>
        <v>https://doi.org/10.1515/9781474413688</v>
      </c>
      <c r="AH771" t="str">
        <f>HYPERLINK("http://www.degruyter.com/isbn/9781474413688")</f>
        <v>http://www.degruyter.com/isbn/9781474413688</v>
      </c>
      <c r="AI771" t="s">
        <v>180</v>
      </c>
      <c r="AL771" t="s">
        <v>62</v>
      </c>
      <c r="AM771">
        <v>1</v>
      </c>
      <c r="AN771" s="2">
        <v>9781474413664</v>
      </c>
    </row>
    <row r="772" spans="1:40" x14ac:dyDescent="0.3">
      <c r="A772" t="s">
        <v>3958</v>
      </c>
      <c r="B772" t="s">
        <v>1</v>
      </c>
      <c r="C772" t="s">
        <v>3959</v>
      </c>
      <c r="D772" t="s">
        <v>3960</v>
      </c>
      <c r="E772" t="s">
        <v>3961</v>
      </c>
      <c r="F772" t="s">
        <v>5</v>
      </c>
      <c r="G772" t="s">
        <v>6</v>
      </c>
      <c r="L772" t="s">
        <v>7</v>
      </c>
      <c r="M772">
        <v>1999</v>
      </c>
      <c r="N772" s="1">
        <v>44607</v>
      </c>
      <c r="O772" t="s">
        <v>3962</v>
      </c>
      <c r="P772">
        <v>1</v>
      </c>
      <c r="S772">
        <v>217.95</v>
      </c>
      <c r="T772">
        <v>250</v>
      </c>
      <c r="U772">
        <v>190</v>
      </c>
      <c r="V772" t="s">
        <v>20</v>
      </c>
      <c r="W772" t="s">
        <v>21</v>
      </c>
      <c r="X772" t="s">
        <v>22</v>
      </c>
      <c r="Y772" t="s">
        <v>23</v>
      </c>
      <c r="AF772" t="s">
        <v>13</v>
      </c>
      <c r="AG772" t="str">
        <f>HYPERLINK("https://doi.org/10.1515/9781474472005")</f>
        <v>https://doi.org/10.1515/9781474472005</v>
      </c>
      <c r="AH772" t="str">
        <f>HYPERLINK("http://www.degruyter.com/isbn/9781474472005")</f>
        <v>http://www.degruyter.com/isbn/9781474472005</v>
      </c>
      <c r="AI772" t="s">
        <v>24</v>
      </c>
      <c r="AL772" t="s">
        <v>15</v>
      </c>
      <c r="AM772">
        <v>1</v>
      </c>
      <c r="AN772" s="2">
        <v>9781902930138</v>
      </c>
    </row>
    <row r="773" spans="1:40" x14ac:dyDescent="0.3">
      <c r="A773" t="s">
        <v>3963</v>
      </c>
      <c r="B773" t="s">
        <v>1</v>
      </c>
      <c r="C773" t="s">
        <v>3964</v>
      </c>
      <c r="E773" t="s">
        <v>3965</v>
      </c>
      <c r="F773" t="s">
        <v>5</v>
      </c>
      <c r="G773" t="s">
        <v>6</v>
      </c>
      <c r="L773" t="s">
        <v>7</v>
      </c>
      <c r="M773">
        <v>2019</v>
      </c>
      <c r="N773" s="1">
        <v>44656</v>
      </c>
      <c r="O773" t="s">
        <v>3966</v>
      </c>
      <c r="P773">
        <v>1</v>
      </c>
      <c r="S773">
        <v>417.95</v>
      </c>
      <c r="T773">
        <v>480</v>
      </c>
      <c r="U773">
        <v>370</v>
      </c>
      <c r="V773" t="s">
        <v>42</v>
      </c>
      <c r="W773" t="s">
        <v>116</v>
      </c>
      <c r="X773" t="s">
        <v>116</v>
      </c>
      <c r="Y773" t="s">
        <v>3967</v>
      </c>
      <c r="AF773" t="s">
        <v>13</v>
      </c>
      <c r="AG773" t="str">
        <f>HYPERLINK("https://doi.org/10.1515/9781474449168")</f>
        <v>https://doi.org/10.1515/9781474449168</v>
      </c>
      <c r="AH773" t="str">
        <f>HYPERLINK("http://www.degruyter.com/isbn/9781474449168")</f>
        <v>http://www.degruyter.com/isbn/9781474449168</v>
      </c>
      <c r="AI773" t="s">
        <v>3968</v>
      </c>
      <c r="AL773" t="s">
        <v>47</v>
      </c>
      <c r="AM773">
        <v>1</v>
      </c>
      <c r="AN773" s="2">
        <v>9781474449144</v>
      </c>
    </row>
    <row r="774" spans="1:40" x14ac:dyDescent="0.3">
      <c r="A774" t="s">
        <v>3969</v>
      </c>
      <c r="B774" t="s">
        <v>1</v>
      </c>
      <c r="C774" t="s">
        <v>3970</v>
      </c>
      <c r="D774" t="s">
        <v>3971</v>
      </c>
      <c r="E774" t="s">
        <v>3972</v>
      </c>
      <c r="F774" t="s">
        <v>5</v>
      </c>
      <c r="G774" t="s">
        <v>6</v>
      </c>
      <c r="L774" t="s">
        <v>7</v>
      </c>
      <c r="M774">
        <v>2015</v>
      </c>
      <c r="N774" s="1">
        <v>42108</v>
      </c>
      <c r="O774" t="s">
        <v>3973</v>
      </c>
      <c r="P774">
        <v>1</v>
      </c>
      <c r="S774">
        <v>217.95</v>
      </c>
      <c r="T774">
        <v>250</v>
      </c>
      <c r="U774">
        <v>190</v>
      </c>
      <c r="V774" t="s">
        <v>58</v>
      </c>
      <c r="W774" t="s">
        <v>1135</v>
      </c>
      <c r="X774" t="s">
        <v>1136</v>
      </c>
      <c r="Y774" t="s">
        <v>3974</v>
      </c>
      <c r="AF774" t="s">
        <v>13</v>
      </c>
      <c r="AG774" t="str">
        <f>HYPERLINK("https://doi.org/10.1515/9780748696635?locatt=mode:legacy")</f>
        <v>https://doi.org/10.1515/9780748696635?locatt=mode:legacy</v>
      </c>
      <c r="AH774" t="str">
        <f>HYPERLINK("http://www.degruyter.com/isbn/9780748696635")</f>
        <v>http://www.degruyter.com/isbn/9780748696635</v>
      </c>
      <c r="AI774" t="s">
        <v>34</v>
      </c>
      <c r="AL774" t="s">
        <v>62</v>
      </c>
      <c r="AM774">
        <v>1</v>
      </c>
      <c r="AN774" s="2">
        <v>9780748696628</v>
      </c>
    </row>
    <row r="775" spans="1:40" x14ac:dyDescent="0.3">
      <c r="A775" t="s">
        <v>3975</v>
      </c>
      <c r="B775" t="s">
        <v>1</v>
      </c>
      <c r="C775" t="s">
        <v>3976</v>
      </c>
      <c r="D775" t="s">
        <v>3977</v>
      </c>
      <c r="E775" t="s">
        <v>3978</v>
      </c>
      <c r="F775" t="s">
        <v>5</v>
      </c>
      <c r="G775" t="s">
        <v>6</v>
      </c>
      <c r="L775" t="s">
        <v>7</v>
      </c>
      <c r="M775">
        <v>2020</v>
      </c>
      <c r="N775" s="1">
        <v>44644</v>
      </c>
      <c r="O775" t="s">
        <v>3979</v>
      </c>
      <c r="P775">
        <v>1</v>
      </c>
      <c r="S775">
        <v>217.95</v>
      </c>
      <c r="T775">
        <v>250</v>
      </c>
      <c r="U775">
        <v>190</v>
      </c>
      <c r="V775" t="s">
        <v>9</v>
      </c>
      <c r="W775" t="s">
        <v>10</v>
      </c>
      <c r="X775" t="s">
        <v>11</v>
      </c>
      <c r="Y775" t="s">
        <v>3896</v>
      </c>
      <c r="AF775" t="s">
        <v>13</v>
      </c>
      <c r="AG775" t="str">
        <f>HYPERLINK("https://doi.org/10.1515/9781474475174")</f>
        <v>https://doi.org/10.1515/9781474475174</v>
      </c>
      <c r="AH775" t="str">
        <f>HYPERLINK("http://www.degruyter.com/isbn/9781474475174")</f>
        <v>http://www.degruyter.com/isbn/9781474475174</v>
      </c>
      <c r="AI775" t="s">
        <v>14</v>
      </c>
      <c r="AL775" t="s">
        <v>15</v>
      </c>
      <c r="AM775">
        <v>1</v>
      </c>
      <c r="AN775" s="2">
        <v>9781474475150</v>
      </c>
    </row>
    <row r="776" spans="1:40" x14ac:dyDescent="0.3">
      <c r="A776" t="s">
        <v>3980</v>
      </c>
      <c r="B776" t="s">
        <v>1</v>
      </c>
      <c r="C776" t="s">
        <v>3981</v>
      </c>
      <c r="D776" t="s">
        <v>3982</v>
      </c>
      <c r="E776" t="s">
        <v>3983</v>
      </c>
      <c r="F776" t="s">
        <v>5</v>
      </c>
      <c r="G776" t="s">
        <v>6</v>
      </c>
      <c r="L776" t="s">
        <v>7</v>
      </c>
      <c r="M776">
        <v>2009</v>
      </c>
      <c r="N776" s="1">
        <v>39968</v>
      </c>
      <c r="O776" t="s">
        <v>3984</v>
      </c>
      <c r="P776">
        <v>1</v>
      </c>
      <c r="S776">
        <v>217.95</v>
      </c>
      <c r="T776">
        <v>250</v>
      </c>
      <c r="U776">
        <v>190</v>
      </c>
      <c r="V776" t="s">
        <v>20</v>
      </c>
      <c r="W776" t="s">
        <v>21</v>
      </c>
      <c r="X776" t="s">
        <v>575</v>
      </c>
      <c r="Y776" t="s">
        <v>576</v>
      </c>
      <c r="AF776" t="s">
        <v>13</v>
      </c>
      <c r="AG776" t="str">
        <f>HYPERLINK("https://doi.org/10.1515/9780748636211?locatt=mode:legacy")</f>
        <v>https://doi.org/10.1515/9780748636211?locatt=mode:legacy</v>
      </c>
      <c r="AH776" t="str">
        <f>HYPERLINK("http://www.degruyter.com/isbn/9780748636211")</f>
        <v>http://www.degruyter.com/isbn/9780748636211</v>
      </c>
      <c r="AI776" t="s">
        <v>68</v>
      </c>
      <c r="AL776" t="s">
        <v>15</v>
      </c>
      <c r="AM776">
        <v>1</v>
      </c>
      <c r="AN776" s="2">
        <v>9780748636204</v>
      </c>
    </row>
    <row r="777" spans="1:40" x14ac:dyDescent="0.3">
      <c r="A777" t="s">
        <v>3985</v>
      </c>
      <c r="B777" t="s">
        <v>1</v>
      </c>
      <c r="C777" t="s">
        <v>3986</v>
      </c>
      <c r="D777" t="s">
        <v>3987</v>
      </c>
      <c r="E777" t="s">
        <v>3988</v>
      </c>
      <c r="F777" t="s">
        <v>5</v>
      </c>
      <c r="G777" t="s">
        <v>6</v>
      </c>
      <c r="L777" t="s">
        <v>7</v>
      </c>
      <c r="M777">
        <v>1999</v>
      </c>
      <c r="N777" s="1">
        <v>44599</v>
      </c>
      <c r="O777" t="s">
        <v>3989</v>
      </c>
      <c r="P777">
        <v>1</v>
      </c>
      <c r="S777">
        <v>217.95</v>
      </c>
      <c r="T777">
        <v>250</v>
      </c>
      <c r="U777">
        <v>190</v>
      </c>
      <c r="V777" t="s">
        <v>495</v>
      </c>
      <c r="W777" t="s">
        <v>3990</v>
      </c>
      <c r="X777" t="s">
        <v>3990</v>
      </c>
      <c r="Y777" t="s">
        <v>3991</v>
      </c>
      <c r="AF777" t="s">
        <v>13</v>
      </c>
      <c r="AG777" t="str">
        <f>HYPERLINK("https://doi.org/10.1515/9780585122847")</f>
        <v>https://doi.org/10.1515/9780585122847</v>
      </c>
      <c r="AH777" t="str">
        <f>HYPERLINK("http://www.degruyter.com/isbn/9780585122847")</f>
        <v>http://www.degruyter.com/isbn/9780585122847</v>
      </c>
      <c r="AI777" t="s">
        <v>24</v>
      </c>
      <c r="AL777" t="s">
        <v>498</v>
      </c>
      <c r="AM777">
        <v>1</v>
      </c>
      <c r="AN777" s="2">
        <v>9781853312069</v>
      </c>
    </row>
    <row r="778" spans="1:40" x14ac:dyDescent="0.3">
      <c r="A778" t="s">
        <v>3992</v>
      </c>
      <c r="B778" t="s">
        <v>1</v>
      </c>
      <c r="C778" t="s">
        <v>3993</v>
      </c>
      <c r="E778" t="s">
        <v>3994</v>
      </c>
      <c r="F778" t="s">
        <v>5</v>
      </c>
      <c r="G778" t="s">
        <v>6</v>
      </c>
      <c r="L778" t="s">
        <v>7</v>
      </c>
      <c r="M778">
        <v>2005</v>
      </c>
      <c r="N778" s="1">
        <v>38700</v>
      </c>
      <c r="O778" t="s">
        <v>3995</v>
      </c>
      <c r="P778">
        <v>1</v>
      </c>
      <c r="S778">
        <v>243.95</v>
      </c>
      <c r="T778">
        <v>280</v>
      </c>
      <c r="U778">
        <v>210</v>
      </c>
      <c r="V778" t="s">
        <v>42</v>
      </c>
      <c r="W778" t="s">
        <v>116</v>
      </c>
      <c r="X778" t="s">
        <v>116</v>
      </c>
      <c r="Y778" t="s">
        <v>117</v>
      </c>
      <c r="AF778" t="s">
        <v>13</v>
      </c>
      <c r="AG778" t="str">
        <f>HYPERLINK("https://doi.org/10.1515/9780748626243")</f>
        <v>https://doi.org/10.1515/9780748626243</v>
      </c>
      <c r="AH778" t="str">
        <f>HYPERLINK("http://www.degruyter.com/isbn/9780748626243")</f>
        <v>http://www.degruyter.com/isbn/9780748626243</v>
      </c>
      <c r="AI778" t="s">
        <v>68</v>
      </c>
      <c r="AL778" t="s">
        <v>47</v>
      </c>
      <c r="AM778">
        <v>1</v>
      </c>
      <c r="AN778" s="2">
        <v>9780748618941</v>
      </c>
    </row>
    <row r="779" spans="1:40" x14ac:dyDescent="0.3">
      <c r="A779" t="s">
        <v>3996</v>
      </c>
      <c r="B779" t="s">
        <v>1</v>
      </c>
      <c r="C779" t="s">
        <v>3997</v>
      </c>
      <c r="D779" t="s">
        <v>3998</v>
      </c>
      <c r="E779" t="s">
        <v>3999</v>
      </c>
      <c r="F779" t="s">
        <v>5</v>
      </c>
      <c r="G779" t="s">
        <v>6</v>
      </c>
      <c r="L779" t="s">
        <v>7</v>
      </c>
      <c r="M779">
        <v>2018</v>
      </c>
      <c r="N779" s="1">
        <v>44644</v>
      </c>
      <c r="O779" t="s">
        <v>4000</v>
      </c>
      <c r="P779">
        <v>1</v>
      </c>
      <c r="S779">
        <v>217.95</v>
      </c>
      <c r="T779">
        <v>250</v>
      </c>
      <c r="U779">
        <v>190</v>
      </c>
      <c r="V779" t="s">
        <v>9</v>
      </c>
      <c r="W779" t="s">
        <v>10</v>
      </c>
      <c r="X779" t="s">
        <v>11</v>
      </c>
      <c r="Y779" t="s">
        <v>52</v>
      </c>
      <c r="AF779" t="s">
        <v>13</v>
      </c>
      <c r="AG779" t="str">
        <f>HYPERLINK("https://doi.org/10.1515/9781474428705")</f>
        <v>https://doi.org/10.1515/9781474428705</v>
      </c>
      <c r="AH779" t="str">
        <f>HYPERLINK("http://www.degruyter.com/isbn/9781474428705")</f>
        <v>http://www.degruyter.com/isbn/9781474428705</v>
      </c>
      <c r="AI779" t="s">
        <v>46</v>
      </c>
      <c r="AL779" t="s">
        <v>15</v>
      </c>
      <c r="AM779">
        <v>1</v>
      </c>
      <c r="AN779" s="2">
        <v>9781474428682</v>
      </c>
    </row>
    <row r="780" spans="1:40" x14ac:dyDescent="0.3">
      <c r="A780" t="s">
        <v>4001</v>
      </c>
      <c r="B780" t="s">
        <v>1</v>
      </c>
      <c r="C780" t="s">
        <v>4002</v>
      </c>
      <c r="E780" t="s">
        <v>4003</v>
      </c>
      <c r="F780" t="s">
        <v>5</v>
      </c>
      <c r="G780" t="s">
        <v>6</v>
      </c>
      <c r="L780" t="s">
        <v>7</v>
      </c>
      <c r="M780">
        <v>2016</v>
      </c>
      <c r="N780" s="1">
        <v>42635</v>
      </c>
      <c r="O780" t="s">
        <v>4004</v>
      </c>
      <c r="P780">
        <v>1</v>
      </c>
      <c r="S780">
        <v>217.95</v>
      </c>
      <c r="T780">
        <v>250</v>
      </c>
      <c r="U780">
        <v>190</v>
      </c>
      <c r="V780" t="s">
        <v>305</v>
      </c>
      <c r="W780" t="s">
        <v>306</v>
      </c>
      <c r="X780" t="s">
        <v>306</v>
      </c>
      <c r="Y780" t="s">
        <v>4005</v>
      </c>
      <c r="AF780" t="s">
        <v>13</v>
      </c>
      <c r="AG780" t="str">
        <f>HYPERLINK("https://doi.org/10.1515/9781474415545")</f>
        <v>https://doi.org/10.1515/9781474415545</v>
      </c>
      <c r="AH780" t="str">
        <f>HYPERLINK("http://www.degruyter.com/isbn/9781474415545")</f>
        <v>http://www.degruyter.com/isbn/9781474415545</v>
      </c>
      <c r="AI780" t="s">
        <v>180</v>
      </c>
      <c r="AL780" t="s">
        <v>308</v>
      </c>
      <c r="AM780">
        <v>1</v>
      </c>
      <c r="AN780" s="2">
        <v>9781474415538</v>
      </c>
    </row>
    <row r="781" spans="1:40" x14ac:dyDescent="0.3">
      <c r="A781" t="s">
        <v>4006</v>
      </c>
      <c r="B781" t="s">
        <v>1</v>
      </c>
      <c r="C781" t="s">
        <v>4007</v>
      </c>
      <c r="E781" t="s">
        <v>4008</v>
      </c>
      <c r="F781" t="s">
        <v>5</v>
      </c>
      <c r="G781" t="s">
        <v>6</v>
      </c>
      <c r="L781" t="s">
        <v>7</v>
      </c>
      <c r="M781">
        <v>2010</v>
      </c>
      <c r="N781" s="1">
        <v>40313</v>
      </c>
      <c r="O781" t="s">
        <v>4009</v>
      </c>
      <c r="P781">
        <v>1</v>
      </c>
      <c r="S781">
        <v>253.95</v>
      </c>
      <c r="T781">
        <v>290</v>
      </c>
      <c r="U781">
        <v>220</v>
      </c>
      <c r="V781" t="s">
        <v>30</v>
      </c>
      <c r="W781" t="s">
        <v>2320</v>
      </c>
      <c r="X781" t="s">
        <v>2320</v>
      </c>
      <c r="Y781" t="s">
        <v>2321</v>
      </c>
      <c r="AF781" t="s">
        <v>13</v>
      </c>
      <c r="AG781" t="str">
        <f>HYPERLINK("https://doi.org/10.1515/9780748631674")</f>
        <v>https://doi.org/10.1515/9780748631674</v>
      </c>
      <c r="AH781" t="str">
        <f>HYPERLINK("http://www.degruyter.com/isbn/9780748631674")</f>
        <v>http://www.degruyter.com/isbn/9780748631674</v>
      </c>
      <c r="AI781" t="s">
        <v>68</v>
      </c>
      <c r="AL781" t="s">
        <v>272</v>
      </c>
      <c r="AM781">
        <v>1</v>
      </c>
      <c r="AN781" s="2">
        <v>9780748627769</v>
      </c>
    </row>
    <row r="782" spans="1:40" x14ac:dyDescent="0.3">
      <c r="A782" t="s">
        <v>4010</v>
      </c>
      <c r="B782" t="s">
        <v>1</v>
      </c>
      <c r="C782" t="s">
        <v>4011</v>
      </c>
      <c r="D782" t="s">
        <v>4012</v>
      </c>
      <c r="E782" t="s">
        <v>4013</v>
      </c>
      <c r="F782" t="s">
        <v>5</v>
      </c>
      <c r="G782" t="s">
        <v>6</v>
      </c>
      <c r="L782" t="s">
        <v>7</v>
      </c>
      <c r="M782">
        <v>2001</v>
      </c>
      <c r="N782" s="1">
        <v>37082</v>
      </c>
      <c r="O782" t="s">
        <v>4014</v>
      </c>
      <c r="P782">
        <v>1</v>
      </c>
      <c r="S782">
        <v>217.95</v>
      </c>
      <c r="T782">
        <v>250</v>
      </c>
      <c r="U782">
        <v>190</v>
      </c>
      <c r="V782" t="s">
        <v>9</v>
      </c>
      <c r="W782" t="s">
        <v>10</v>
      </c>
      <c r="X782" t="s">
        <v>11</v>
      </c>
      <c r="Y782" t="s">
        <v>12</v>
      </c>
      <c r="AF782" t="s">
        <v>13</v>
      </c>
      <c r="AG782" t="str">
        <f>HYPERLINK("https://doi.org/10.1515/9781474467810")</f>
        <v>https://doi.org/10.1515/9781474467810</v>
      </c>
      <c r="AH782" t="str">
        <f>HYPERLINK("http://www.degruyter.com/isbn/9781474467810")</f>
        <v>http://www.degruyter.com/isbn/9781474467810</v>
      </c>
      <c r="AI782" t="s">
        <v>68</v>
      </c>
      <c r="AL782" t="s">
        <v>15</v>
      </c>
      <c r="AM782">
        <v>1</v>
      </c>
      <c r="AN782" s="2">
        <v>9780748612888</v>
      </c>
    </row>
    <row r="783" spans="1:40" x14ac:dyDescent="0.3">
      <c r="A783" t="s">
        <v>4015</v>
      </c>
      <c r="B783" t="s">
        <v>1</v>
      </c>
      <c r="C783" t="s">
        <v>4016</v>
      </c>
      <c r="D783" t="s">
        <v>4017</v>
      </c>
      <c r="E783" t="s">
        <v>4018</v>
      </c>
      <c r="F783" t="s">
        <v>5</v>
      </c>
      <c r="G783" t="s">
        <v>6</v>
      </c>
      <c r="L783" t="s">
        <v>7</v>
      </c>
      <c r="M783">
        <v>2015</v>
      </c>
      <c r="N783" s="1">
        <v>42179</v>
      </c>
      <c r="O783" t="s">
        <v>4019</v>
      </c>
      <c r="P783">
        <v>1</v>
      </c>
      <c r="S783">
        <v>217.95</v>
      </c>
      <c r="T783">
        <v>250</v>
      </c>
      <c r="U783">
        <v>190</v>
      </c>
      <c r="V783" t="s">
        <v>42</v>
      </c>
      <c r="W783" t="s">
        <v>43</v>
      </c>
      <c r="X783" t="s">
        <v>44</v>
      </c>
      <c r="Y783" t="s">
        <v>45</v>
      </c>
      <c r="AF783" t="s">
        <v>13</v>
      </c>
      <c r="AG783" t="str">
        <f>HYPERLINK("https://doi.org/10.1515/9780748696352")</f>
        <v>https://doi.org/10.1515/9780748696352</v>
      </c>
      <c r="AH783" t="str">
        <f>HYPERLINK("http://www.degruyter.com/isbn/9780748696352")</f>
        <v>http://www.degruyter.com/isbn/9780748696352</v>
      </c>
      <c r="AI783" t="s">
        <v>34</v>
      </c>
      <c r="AL783" t="s">
        <v>47</v>
      </c>
      <c r="AM783">
        <v>1</v>
      </c>
      <c r="AN783" s="2">
        <v>9780748696345</v>
      </c>
    </row>
    <row r="784" spans="1:40" x14ac:dyDescent="0.3">
      <c r="A784" t="s">
        <v>4020</v>
      </c>
      <c r="B784" t="s">
        <v>1</v>
      </c>
      <c r="C784" t="s">
        <v>4021</v>
      </c>
      <c r="D784" t="s">
        <v>4022</v>
      </c>
      <c r="E784" t="s">
        <v>4023</v>
      </c>
      <c r="F784" t="s">
        <v>5</v>
      </c>
      <c r="G784" t="s">
        <v>6</v>
      </c>
      <c r="L784" t="s">
        <v>7</v>
      </c>
      <c r="M784">
        <v>2018</v>
      </c>
      <c r="N784" s="1">
        <v>44656</v>
      </c>
      <c r="O784" t="s">
        <v>4024</v>
      </c>
      <c r="P784">
        <v>1</v>
      </c>
      <c r="S784">
        <v>227.95</v>
      </c>
      <c r="T784">
        <v>260</v>
      </c>
      <c r="U784">
        <v>200</v>
      </c>
      <c r="V784" t="s">
        <v>79</v>
      </c>
      <c r="W784" t="s">
        <v>123</v>
      </c>
      <c r="X784" t="s">
        <v>123</v>
      </c>
      <c r="Y784" t="s">
        <v>124</v>
      </c>
      <c r="AF784" t="s">
        <v>13</v>
      </c>
      <c r="AG784" t="str">
        <f>HYPERLINK("https://doi.org/10.1515/9781474413251?locatt=mode:legacy")</f>
        <v>https://doi.org/10.1515/9781474413251?locatt=mode:legacy</v>
      </c>
      <c r="AH784" t="str">
        <f>HYPERLINK("http://www.degruyter.com/isbn/9781474413251")</f>
        <v>http://www.degruyter.com/isbn/9781474413251</v>
      </c>
      <c r="AI784" t="s">
        <v>46</v>
      </c>
      <c r="AL784" t="s">
        <v>83</v>
      </c>
      <c r="AM784">
        <v>1</v>
      </c>
      <c r="AN784" s="2">
        <v>9781474413244</v>
      </c>
    </row>
    <row r="785" spans="1:40" x14ac:dyDescent="0.3">
      <c r="A785" t="s">
        <v>4025</v>
      </c>
      <c r="B785" t="s">
        <v>1</v>
      </c>
      <c r="C785" t="s">
        <v>4026</v>
      </c>
      <c r="D785" t="s">
        <v>4027</v>
      </c>
      <c r="E785" t="s">
        <v>4028</v>
      </c>
      <c r="F785" t="s">
        <v>5</v>
      </c>
      <c r="G785" t="s">
        <v>6</v>
      </c>
      <c r="L785" t="s">
        <v>7</v>
      </c>
      <c r="M785">
        <v>2015</v>
      </c>
      <c r="N785" s="1">
        <v>42143</v>
      </c>
      <c r="O785" t="s">
        <v>3435</v>
      </c>
      <c r="P785">
        <v>1</v>
      </c>
      <c r="S785">
        <v>209.95</v>
      </c>
      <c r="T785">
        <v>240</v>
      </c>
      <c r="U785">
        <v>180</v>
      </c>
      <c r="V785" t="s">
        <v>20</v>
      </c>
      <c r="W785" t="s">
        <v>21</v>
      </c>
      <c r="X785" t="s">
        <v>22</v>
      </c>
      <c r="Y785" t="s">
        <v>489</v>
      </c>
      <c r="AF785" t="s">
        <v>13</v>
      </c>
      <c r="AG785" t="str">
        <f>HYPERLINK("https://doi.org/10.1515/9781474400756")</f>
        <v>https://doi.org/10.1515/9781474400756</v>
      </c>
      <c r="AH785" t="str">
        <f>HYPERLINK("http://www.degruyter.com/isbn/9781474400756")</f>
        <v>http://www.degruyter.com/isbn/9781474400756</v>
      </c>
      <c r="AI785" t="s">
        <v>4029</v>
      </c>
      <c r="AL785" t="s">
        <v>15</v>
      </c>
      <c r="AM785">
        <v>1</v>
      </c>
      <c r="AN785" s="2">
        <v>9781474400749</v>
      </c>
    </row>
    <row r="786" spans="1:40" x14ac:dyDescent="0.3">
      <c r="A786" t="s">
        <v>4030</v>
      </c>
      <c r="B786" t="s">
        <v>1</v>
      </c>
      <c r="C786" t="s">
        <v>4031</v>
      </c>
      <c r="D786" t="s">
        <v>4032</v>
      </c>
      <c r="E786" t="s">
        <v>4033</v>
      </c>
      <c r="F786" t="s">
        <v>5</v>
      </c>
      <c r="G786" t="s">
        <v>6</v>
      </c>
      <c r="L786" t="s">
        <v>7</v>
      </c>
      <c r="M786">
        <v>2006</v>
      </c>
      <c r="N786" s="1">
        <v>38922</v>
      </c>
      <c r="O786" t="s">
        <v>4034</v>
      </c>
      <c r="P786">
        <v>1</v>
      </c>
      <c r="S786">
        <v>287.95</v>
      </c>
      <c r="T786">
        <v>330</v>
      </c>
      <c r="U786">
        <v>250</v>
      </c>
      <c r="V786" t="s">
        <v>20</v>
      </c>
      <c r="W786" t="s">
        <v>556</v>
      </c>
      <c r="X786" t="s">
        <v>1731</v>
      </c>
      <c r="Y786" t="s">
        <v>1732</v>
      </c>
      <c r="AF786" t="s">
        <v>13</v>
      </c>
      <c r="AG786" t="str">
        <f>HYPERLINK("https://doi.org/10.1515/9781474465625")</f>
        <v>https://doi.org/10.1515/9781474465625</v>
      </c>
      <c r="AH786" t="str">
        <f>HYPERLINK("http://www.degruyter.com/isbn/9781474465625")</f>
        <v>http://www.degruyter.com/isbn/9781474465625</v>
      </c>
      <c r="AI786" t="s">
        <v>68</v>
      </c>
      <c r="AL786" t="s">
        <v>15</v>
      </c>
      <c r="AM786">
        <v>1</v>
      </c>
      <c r="AN786" s="2">
        <v>9780748622979</v>
      </c>
    </row>
    <row r="787" spans="1:40" x14ac:dyDescent="0.3">
      <c r="A787" t="s">
        <v>4035</v>
      </c>
      <c r="B787" t="s">
        <v>1</v>
      </c>
      <c r="C787" t="s">
        <v>4036</v>
      </c>
      <c r="E787" t="s">
        <v>4037</v>
      </c>
      <c r="F787" t="s">
        <v>5</v>
      </c>
      <c r="G787" t="s">
        <v>6</v>
      </c>
      <c r="L787" t="s">
        <v>7</v>
      </c>
      <c r="M787">
        <v>2017</v>
      </c>
      <c r="N787" s="1">
        <v>42982</v>
      </c>
      <c r="O787" t="s">
        <v>4038</v>
      </c>
      <c r="P787">
        <v>1</v>
      </c>
      <c r="S787">
        <v>217.95</v>
      </c>
      <c r="T787">
        <v>250</v>
      </c>
      <c r="U787">
        <v>190</v>
      </c>
      <c r="V787" t="s">
        <v>42</v>
      </c>
      <c r="W787" t="s">
        <v>116</v>
      </c>
      <c r="X787" t="s">
        <v>116</v>
      </c>
      <c r="Y787" t="s">
        <v>117</v>
      </c>
      <c r="AF787" t="s">
        <v>13</v>
      </c>
      <c r="AG787" t="str">
        <f>HYPERLINK("https://doi.org/10.1515/9781474415835?locatt=mode:legacy")</f>
        <v>https://doi.org/10.1515/9781474415835?locatt=mode:legacy</v>
      </c>
      <c r="AH787" t="str">
        <f>HYPERLINK("http://www.degruyter.com/isbn/9781474415835")</f>
        <v>http://www.degruyter.com/isbn/9781474415835</v>
      </c>
      <c r="AI787" t="s">
        <v>222</v>
      </c>
      <c r="AL787" t="s">
        <v>47</v>
      </c>
      <c r="AM787">
        <v>1</v>
      </c>
      <c r="AN787" s="2">
        <v>9781474415828</v>
      </c>
    </row>
    <row r="788" spans="1:40" x14ac:dyDescent="0.3">
      <c r="A788" t="s">
        <v>4039</v>
      </c>
      <c r="B788" t="s">
        <v>1</v>
      </c>
      <c r="C788" t="s">
        <v>4040</v>
      </c>
      <c r="D788" t="s">
        <v>3830</v>
      </c>
      <c r="E788" t="s">
        <v>4041</v>
      </c>
      <c r="F788" t="s">
        <v>5</v>
      </c>
      <c r="G788" t="s">
        <v>6</v>
      </c>
      <c r="L788" t="s">
        <v>7</v>
      </c>
      <c r="M788">
        <v>2004</v>
      </c>
      <c r="N788" s="1">
        <v>38141</v>
      </c>
      <c r="O788" t="s">
        <v>3557</v>
      </c>
      <c r="P788">
        <v>1</v>
      </c>
      <c r="S788">
        <v>261.95</v>
      </c>
      <c r="T788">
        <v>300</v>
      </c>
      <c r="U788">
        <v>230</v>
      </c>
      <c r="V788" t="s">
        <v>9</v>
      </c>
      <c r="W788" t="s">
        <v>10</v>
      </c>
      <c r="X788" t="s">
        <v>11</v>
      </c>
      <c r="Y788" t="s">
        <v>12</v>
      </c>
      <c r="AF788" t="s">
        <v>13</v>
      </c>
      <c r="AG788" t="str">
        <f>HYPERLINK("https://doi.org/10.1515/9781474463768")</f>
        <v>https://doi.org/10.1515/9781474463768</v>
      </c>
      <c r="AH788" t="str">
        <f>HYPERLINK("http://www.degruyter.com/isbn/9781474463768")</f>
        <v>http://www.degruyter.com/isbn/9781474463768</v>
      </c>
      <c r="AI788" t="s">
        <v>2534</v>
      </c>
      <c r="AJ788" t="s">
        <v>35</v>
      </c>
      <c r="AL788" t="s">
        <v>53</v>
      </c>
      <c r="AM788">
        <v>1</v>
      </c>
      <c r="AN788" s="2">
        <v>9780748617241</v>
      </c>
    </row>
    <row r="789" spans="1:40" x14ac:dyDescent="0.3">
      <c r="A789" t="s">
        <v>4042</v>
      </c>
      <c r="B789" t="s">
        <v>1</v>
      </c>
      <c r="C789" t="s">
        <v>4043</v>
      </c>
      <c r="D789" t="s">
        <v>4044</v>
      </c>
      <c r="E789" t="s">
        <v>4045</v>
      </c>
      <c r="F789" t="s">
        <v>5</v>
      </c>
      <c r="G789" t="s">
        <v>6</v>
      </c>
      <c r="L789" t="s">
        <v>7</v>
      </c>
      <c r="M789">
        <v>2020</v>
      </c>
      <c r="N789" s="1">
        <v>44644</v>
      </c>
      <c r="O789" t="s">
        <v>4046</v>
      </c>
      <c r="P789">
        <v>1</v>
      </c>
      <c r="S789">
        <v>227.95</v>
      </c>
      <c r="T789">
        <v>260</v>
      </c>
      <c r="U789">
        <v>200</v>
      </c>
      <c r="V789" t="s">
        <v>9</v>
      </c>
      <c r="W789" t="s">
        <v>10</v>
      </c>
      <c r="X789" t="s">
        <v>11</v>
      </c>
      <c r="Y789" t="s">
        <v>52</v>
      </c>
      <c r="AF789" t="s">
        <v>13</v>
      </c>
      <c r="AG789" t="str">
        <f>HYPERLINK("https://doi.org/10.1515/9781474428941")</f>
        <v>https://doi.org/10.1515/9781474428941</v>
      </c>
      <c r="AH789" t="str">
        <f>HYPERLINK("http://www.degruyter.com/isbn/9781474428941")</f>
        <v>http://www.degruyter.com/isbn/9781474428941</v>
      </c>
      <c r="AI789" t="s">
        <v>14</v>
      </c>
      <c r="AL789" t="s">
        <v>15</v>
      </c>
      <c r="AM789">
        <v>1</v>
      </c>
      <c r="AN789" s="2">
        <v>9781474428927</v>
      </c>
    </row>
    <row r="790" spans="1:40" x14ac:dyDescent="0.3">
      <c r="A790" t="s">
        <v>4047</v>
      </c>
      <c r="B790" t="s">
        <v>1</v>
      </c>
      <c r="C790" t="s">
        <v>4048</v>
      </c>
      <c r="D790" t="s">
        <v>4049</v>
      </c>
      <c r="E790" t="s">
        <v>2143</v>
      </c>
      <c r="F790" t="s">
        <v>5</v>
      </c>
      <c r="G790" t="s">
        <v>6</v>
      </c>
      <c r="L790" t="s">
        <v>7</v>
      </c>
      <c r="M790">
        <v>2015</v>
      </c>
      <c r="N790" s="1">
        <v>42146</v>
      </c>
      <c r="O790" t="s">
        <v>2144</v>
      </c>
      <c r="P790">
        <v>1</v>
      </c>
      <c r="S790">
        <v>253.95</v>
      </c>
      <c r="T790">
        <v>290</v>
      </c>
      <c r="U790">
        <v>220</v>
      </c>
      <c r="V790" t="s">
        <v>42</v>
      </c>
      <c r="W790" t="s">
        <v>107</v>
      </c>
      <c r="X790" t="s">
        <v>108</v>
      </c>
      <c r="Y790" t="s">
        <v>952</v>
      </c>
      <c r="AF790" t="s">
        <v>13</v>
      </c>
      <c r="AG790" t="str">
        <f>HYPERLINK("https://doi.org/10.1515/9781474400244")</f>
        <v>https://doi.org/10.1515/9781474400244</v>
      </c>
      <c r="AH790" t="str">
        <f>HYPERLINK("http://www.degruyter.com/isbn/9781474400244")</f>
        <v>http://www.degruyter.com/isbn/9781474400244</v>
      </c>
      <c r="AI790" t="s">
        <v>34</v>
      </c>
      <c r="AL790" t="s">
        <v>47</v>
      </c>
      <c r="AM790">
        <v>1</v>
      </c>
      <c r="AN790" s="2">
        <v>9781474400237</v>
      </c>
    </row>
    <row r="791" spans="1:40" x14ac:dyDescent="0.3">
      <c r="A791" t="s">
        <v>4050</v>
      </c>
      <c r="B791" t="s">
        <v>1</v>
      </c>
      <c r="C791" t="s">
        <v>4051</v>
      </c>
      <c r="D791" t="s">
        <v>1146</v>
      </c>
      <c r="E791" t="s">
        <v>4052</v>
      </c>
      <c r="F791" t="s">
        <v>5</v>
      </c>
      <c r="G791" t="s">
        <v>6</v>
      </c>
      <c r="L791" t="s">
        <v>7</v>
      </c>
      <c r="M791">
        <v>2003</v>
      </c>
      <c r="N791" s="1">
        <v>37810</v>
      </c>
      <c r="O791" t="s">
        <v>4053</v>
      </c>
      <c r="P791">
        <v>1</v>
      </c>
      <c r="S791">
        <v>339.95</v>
      </c>
      <c r="T791">
        <v>390</v>
      </c>
      <c r="U791">
        <v>300</v>
      </c>
      <c r="V791" t="s">
        <v>58</v>
      </c>
      <c r="W791" t="s">
        <v>129</v>
      </c>
      <c r="X791" t="s">
        <v>130</v>
      </c>
      <c r="Y791" t="s">
        <v>131</v>
      </c>
      <c r="AF791" t="s">
        <v>13</v>
      </c>
      <c r="AG791" t="str">
        <f>HYPERLINK("https://doi.org/10.1515/9781474470254")</f>
        <v>https://doi.org/10.1515/9781474470254</v>
      </c>
      <c r="AH791" t="str">
        <f>HYPERLINK("http://www.degruyter.com/isbn/9781474470254")</f>
        <v>http://www.degruyter.com/isbn/9781474470254</v>
      </c>
      <c r="AI791" t="s">
        <v>4054</v>
      </c>
      <c r="AL791" t="s">
        <v>62</v>
      </c>
      <c r="AM791">
        <v>1</v>
      </c>
      <c r="AN791" s="2">
        <v>9780748613502</v>
      </c>
    </row>
    <row r="792" spans="1:40" x14ac:dyDescent="0.3">
      <c r="A792" t="s">
        <v>4055</v>
      </c>
      <c r="B792" t="s">
        <v>1</v>
      </c>
      <c r="C792" t="s">
        <v>4056</v>
      </c>
      <c r="D792" t="s">
        <v>1146</v>
      </c>
      <c r="E792" t="s">
        <v>4057</v>
      </c>
      <c r="F792" t="s">
        <v>5</v>
      </c>
      <c r="G792" t="s">
        <v>6</v>
      </c>
      <c r="L792" t="s">
        <v>7</v>
      </c>
      <c r="M792">
        <v>1996</v>
      </c>
      <c r="N792" s="1">
        <v>44693</v>
      </c>
      <c r="O792" t="s">
        <v>4058</v>
      </c>
      <c r="P792">
        <v>1</v>
      </c>
      <c r="S792">
        <v>331.95</v>
      </c>
      <c r="T792">
        <v>380</v>
      </c>
      <c r="U792">
        <v>290</v>
      </c>
      <c r="V792" t="s">
        <v>58</v>
      </c>
      <c r="W792" t="s">
        <v>129</v>
      </c>
      <c r="X792" t="s">
        <v>130</v>
      </c>
      <c r="Y792" t="s">
        <v>131</v>
      </c>
      <c r="AF792" t="s">
        <v>13</v>
      </c>
      <c r="AG792" t="str">
        <f>HYPERLINK("https://doi.org/10.1515/9781474469517")</f>
        <v>https://doi.org/10.1515/9781474469517</v>
      </c>
      <c r="AH792" t="str">
        <f>HYPERLINK("http://www.degruyter.com/isbn/9781474469517")</f>
        <v>http://www.degruyter.com/isbn/9781474469517</v>
      </c>
      <c r="AI792" t="s">
        <v>24</v>
      </c>
      <c r="AL792" t="s">
        <v>62</v>
      </c>
      <c r="AM792">
        <v>1</v>
      </c>
      <c r="AN792" s="2">
        <v>9780748608324</v>
      </c>
    </row>
    <row r="793" spans="1:40" x14ac:dyDescent="0.3">
      <c r="A793" t="s">
        <v>4059</v>
      </c>
      <c r="B793" t="s">
        <v>1</v>
      </c>
      <c r="C793" t="s">
        <v>4060</v>
      </c>
      <c r="D793" t="s">
        <v>4061</v>
      </c>
      <c r="E793" t="s">
        <v>4062</v>
      </c>
      <c r="F793" t="s">
        <v>5</v>
      </c>
      <c r="G793" t="s">
        <v>6</v>
      </c>
      <c r="L793" t="s">
        <v>7</v>
      </c>
      <c r="M793">
        <v>2009</v>
      </c>
      <c r="N793" s="1">
        <v>40106</v>
      </c>
      <c r="O793" t="s">
        <v>3440</v>
      </c>
      <c r="P793">
        <v>1</v>
      </c>
      <c r="S793">
        <v>243.95</v>
      </c>
      <c r="T793">
        <v>280</v>
      </c>
      <c r="U793">
        <v>210</v>
      </c>
      <c r="V793" t="s">
        <v>42</v>
      </c>
      <c r="W793" t="s">
        <v>161</v>
      </c>
      <c r="X793" t="s">
        <v>162</v>
      </c>
      <c r="Y793" t="s">
        <v>896</v>
      </c>
      <c r="AF793" t="s">
        <v>13</v>
      </c>
      <c r="AG793" t="str">
        <f>HYPERLINK("https://doi.org/10.1515/9780748641765")</f>
        <v>https://doi.org/10.1515/9780748641765</v>
      </c>
      <c r="AH793" t="str">
        <f>HYPERLINK("http://www.degruyter.com/isbn/9780748641765")</f>
        <v>http://www.degruyter.com/isbn/9780748641765</v>
      </c>
      <c r="AI793" t="s">
        <v>68</v>
      </c>
      <c r="AL793" t="s">
        <v>47</v>
      </c>
      <c r="AM793">
        <v>1</v>
      </c>
      <c r="AN793" s="2">
        <v>9780748639250</v>
      </c>
    </row>
    <row r="794" spans="1:40" x14ac:dyDescent="0.3">
      <c r="A794" t="s">
        <v>4063</v>
      </c>
      <c r="B794" t="s">
        <v>1</v>
      </c>
      <c r="C794" t="s">
        <v>4064</v>
      </c>
      <c r="E794" t="s">
        <v>4065</v>
      </c>
      <c r="F794" t="s">
        <v>5</v>
      </c>
      <c r="G794" t="s">
        <v>6</v>
      </c>
      <c r="L794" t="s">
        <v>7</v>
      </c>
      <c r="M794">
        <v>2020</v>
      </c>
      <c r="N794" s="1">
        <v>44644</v>
      </c>
      <c r="O794" t="s">
        <v>4066</v>
      </c>
      <c r="P794">
        <v>1</v>
      </c>
      <c r="S794">
        <v>217.95</v>
      </c>
      <c r="T794">
        <v>250</v>
      </c>
      <c r="U794">
        <v>190</v>
      </c>
      <c r="V794" t="s">
        <v>58</v>
      </c>
      <c r="W794" t="s">
        <v>59</v>
      </c>
      <c r="X794" t="s">
        <v>60</v>
      </c>
      <c r="Y794" t="s">
        <v>169</v>
      </c>
      <c r="AF794" t="s">
        <v>13</v>
      </c>
      <c r="AG794" t="str">
        <f>HYPERLINK("https://doi.org/10.1515/9781474474757")</f>
        <v>https://doi.org/10.1515/9781474474757</v>
      </c>
      <c r="AH794" t="str">
        <f>HYPERLINK("http://www.degruyter.com/isbn/9781474474757")</f>
        <v>http://www.degruyter.com/isbn/9781474474757</v>
      </c>
      <c r="AI794" t="s">
        <v>14</v>
      </c>
      <c r="AL794" t="s">
        <v>62</v>
      </c>
      <c r="AM794">
        <v>1</v>
      </c>
      <c r="AN794" s="2">
        <v>9781474474726</v>
      </c>
    </row>
    <row r="795" spans="1:40" x14ac:dyDescent="0.3">
      <c r="A795" t="s">
        <v>4067</v>
      </c>
      <c r="B795" t="s">
        <v>1</v>
      </c>
      <c r="C795" t="s">
        <v>4068</v>
      </c>
      <c r="D795" t="s">
        <v>4069</v>
      </c>
      <c r="E795" t="s">
        <v>4070</v>
      </c>
      <c r="F795" t="s">
        <v>5</v>
      </c>
      <c r="G795" t="s">
        <v>6</v>
      </c>
      <c r="L795" t="s">
        <v>7</v>
      </c>
      <c r="M795">
        <v>2021</v>
      </c>
      <c r="N795" s="1">
        <v>44644</v>
      </c>
      <c r="O795" t="s">
        <v>4071</v>
      </c>
      <c r="P795">
        <v>1</v>
      </c>
      <c r="S795">
        <v>217.95</v>
      </c>
      <c r="T795">
        <v>250</v>
      </c>
      <c r="U795">
        <v>190</v>
      </c>
      <c r="V795" t="s">
        <v>20</v>
      </c>
      <c r="W795" t="s">
        <v>21</v>
      </c>
      <c r="X795" t="s">
        <v>458</v>
      </c>
      <c r="Y795" t="s">
        <v>459</v>
      </c>
      <c r="AF795" t="s">
        <v>13</v>
      </c>
      <c r="AG795" t="str">
        <f>HYPERLINK("https://doi.org/10.1515/9781474483230")</f>
        <v>https://doi.org/10.1515/9781474483230</v>
      </c>
      <c r="AH795" t="str">
        <f>HYPERLINK("http://www.degruyter.com/isbn/9781474483230")</f>
        <v>http://www.degruyter.com/isbn/9781474483230</v>
      </c>
      <c r="AI795" t="s">
        <v>559</v>
      </c>
      <c r="AJ795" t="s">
        <v>35</v>
      </c>
      <c r="AL795" t="s">
        <v>1346</v>
      </c>
      <c r="AM795">
        <v>1</v>
      </c>
      <c r="AN795" s="2">
        <v>9781474483216</v>
      </c>
    </row>
    <row r="796" spans="1:40" x14ac:dyDescent="0.3">
      <c r="A796" t="s">
        <v>4072</v>
      </c>
      <c r="B796" t="s">
        <v>1</v>
      </c>
      <c r="C796" t="s">
        <v>4073</v>
      </c>
      <c r="D796" t="s">
        <v>4074</v>
      </c>
      <c r="E796" t="s">
        <v>4075</v>
      </c>
      <c r="F796" t="s">
        <v>5</v>
      </c>
      <c r="G796" t="s">
        <v>6</v>
      </c>
      <c r="L796" t="s">
        <v>7</v>
      </c>
      <c r="M796">
        <v>2020</v>
      </c>
      <c r="N796" s="1">
        <v>44656</v>
      </c>
      <c r="O796" t="s">
        <v>4076</v>
      </c>
      <c r="P796">
        <v>1</v>
      </c>
      <c r="S796">
        <v>243.95</v>
      </c>
      <c r="T796">
        <v>280</v>
      </c>
      <c r="U796">
        <v>210</v>
      </c>
      <c r="V796" t="s">
        <v>9</v>
      </c>
      <c r="W796" t="s">
        <v>10</v>
      </c>
      <c r="X796" t="s">
        <v>11</v>
      </c>
      <c r="Y796" t="s">
        <v>12</v>
      </c>
      <c r="AF796" t="s">
        <v>13</v>
      </c>
      <c r="AG796" t="str">
        <f>HYPERLINK("https://doi.org/10.1515/9781474463744")</f>
        <v>https://doi.org/10.1515/9781474463744</v>
      </c>
      <c r="AH796" t="str">
        <f>HYPERLINK("http://www.degruyter.com/isbn/9781474463744")</f>
        <v>http://www.degruyter.com/isbn/9781474463744</v>
      </c>
      <c r="AI796" t="s">
        <v>14</v>
      </c>
      <c r="AL796" t="s">
        <v>15</v>
      </c>
      <c r="AM796">
        <v>1</v>
      </c>
      <c r="AN796" s="2">
        <v>9781474463720</v>
      </c>
    </row>
    <row r="797" spans="1:40" x14ac:dyDescent="0.3">
      <c r="A797" t="s">
        <v>4077</v>
      </c>
      <c r="B797" t="s">
        <v>1</v>
      </c>
      <c r="C797" t="s">
        <v>4078</v>
      </c>
      <c r="E797" t="s">
        <v>4079</v>
      </c>
      <c r="F797" t="s">
        <v>5</v>
      </c>
      <c r="G797" t="s">
        <v>6</v>
      </c>
      <c r="L797" t="s">
        <v>7</v>
      </c>
      <c r="M797">
        <v>1999</v>
      </c>
      <c r="N797" s="1">
        <v>44607</v>
      </c>
      <c r="O797" t="s">
        <v>97</v>
      </c>
      <c r="P797">
        <v>1</v>
      </c>
      <c r="S797">
        <v>217.95</v>
      </c>
      <c r="T797">
        <v>250</v>
      </c>
      <c r="U797">
        <v>190</v>
      </c>
      <c r="V797" t="s">
        <v>329</v>
      </c>
      <c r="W797" t="s">
        <v>4080</v>
      </c>
      <c r="X797" t="s">
        <v>4080</v>
      </c>
      <c r="Y797" t="s">
        <v>4081</v>
      </c>
      <c r="AF797" t="s">
        <v>13</v>
      </c>
      <c r="AG797" t="str">
        <f>HYPERLINK("https://doi.org/10.1515/9781474468350")</f>
        <v>https://doi.org/10.1515/9781474468350</v>
      </c>
      <c r="AH797" t="str">
        <f>HYPERLINK("http://www.degruyter.com/isbn/9781474468350")</f>
        <v>http://www.degruyter.com/isbn/9781474468350</v>
      </c>
      <c r="AI797" t="s">
        <v>24</v>
      </c>
      <c r="AL797" t="s">
        <v>333</v>
      </c>
      <c r="AM797">
        <v>1</v>
      </c>
      <c r="AN797" s="2">
        <v>9780748613625</v>
      </c>
    </row>
    <row r="798" spans="1:40" x14ac:dyDescent="0.3">
      <c r="A798" t="s">
        <v>4082</v>
      </c>
      <c r="B798" t="s">
        <v>1</v>
      </c>
      <c r="C798" t="s">
        <v>4083</v>
      </c>
      <c r="D798" t="s">
        <v>27</v>
      </c>
      <c r="E798" t="s">
        <v>4084</v>
      </c>
      <c r="F798" t="s">
        <v>5</v>
      </c>
      <c r="G798" t="s">
        <v>6</v>
      </c>
      <c r="L798" t="s">
        <v>7</v>
      </c>
      <c r="M798">
        <v>2018</v>
      </c>
      <c r="N798" s="1">
        <v>44644</v>
      </c>
      <c r="O798" t="s">
        <v>4085</v>
      </c>
      <c r="P798">
        <v>1</v>
      </c>
      <c r="S798">
        <v>191.95</v>
      </c>
      <c r="T798">
        <v>220</v>
      </c>
      <c r="U798">
        <v>170</v>
      </c>
      <c r="V798" t="s">
        <v>42</v>
      </c>
      <c r="W798" t="s">
        <v>116</v>
      </c>
      <c r="X798" t="s">
        <v>116</v>
      </c>
      <c r="Y798" t="s">
        <v>117</v>
      </c>
      <c r="AF798" t="s">
        <v>13</v>
      </c>
      <c r="AG798" t="str">
        <f>HYPERLINK("https://doi.org/10.1515/9781474415613")</f>
        <v>https://doi.org/10.1515/9781474415613</v>
      </c>
      <c r="AH798" t="str">
        <f>HYPERLINK("http://www.degruyter.com/isbn/9781474415613")</f>
        <v>http://www.degruyter.com/isbn/9781474415613</v>
      </c>
      <c r="AI798" t="s">
        <v>46</v>
      </c>
      <c r="AJ798" t="s">
        <v>35</v>
      </c>
      <c r="AL798" t="s">
        <v>520</v>
      </c>
      <c r="AM798">
        <v>1</v>
      </c>
      <c r="AN798" s="2">
        <v>9781474415590</v>
      </c>
    </row>
    <row r="799" spans="1:40" x14ac:dyDescent="0.3">
      <c r="A799" t="s">
        <v>4086</v>
      </c>
      <c r="B799" t="s">
        <v>1</v>
      </c>
      <c r="C799" t="s">
        <v>4087</v>
      </c>
      <c r="D799" t="s">
        <v>4088</v>
      </c>
      <c r="E799" t="s">
        <v>4089</v>
      </c>
      <c r="F799" t="s">
        <v>5</v>
      </c>
      <c r="G799" t="s">
        <v>6</v>
      </c>
      <c r="L799" t="s">
        <v>7</v>
      </c>
      <c r="M799">
        <v>2014</v>
      </c>
      <c r="N799" s="1">
        <v>41807</v>
      </c>
      <c r="O799" t="s">
        <v>4090</v>
      </c>
      <c r="P799">
        <v>1</v>
      </c>
      <c r="S799">
        <v>217.95</v>
      </c>
      <c r="T799">
        <v>250</v>
      </c>
      <c r="U799">
        <v>190</v>
      </c>
      <c r="V799" t="s">
        <v>20</v>
      </c>
      <c r="W799" t="s">
        <v>21</v>
      </c>
      <c r="X799" t="s">
        <v>458</v>
      </c>
      <c r="Y799" t="s">
        <v>459</v>
      </c>
      <c r="AF799" t="s">
        <v>13</v>
      </c>
      <c r="AG799" t="str">
        <f>HYPERLINK("https://doi.org/10.1515/9780748692729?locatt=mode:legacy")</f>
        <v>https://doi.org/10.1515/9780748692729?locatt=mode:legacy</v>
      </c>
      <c r="AH799" t="str">
        <f>HYPERLINK("http://www.degruyter.com/isbn/9780748692729")</f>
        <v>http://www.degruyter.com/isbn/9780748692729</v>
      </c>
      <c r="AI799" t="s">
        <v>34</v>
      </c>
      <c r="AJ799" t="s">
        <v>35</v>
      </c>
      <c r="AL799" t="s">
        <v>1346</v>
      </c>
      <c r="AM799">
        <v>1</v>
      </c>
      <c r="AN799" s="2">
        <v>9780748692712</v>
      </c>
    </row>
    <row r="800" spans="1:40" x14ac:dyDescent="0.3">
      <c r="A800" t="s">
        <v>4091</v>
      </c>
      <c r="B800" t="s">
        <v>1</v>
      </c>
      <c r="C800" t="s">
        <v>4092</v>
      </c>
      <c r="D800" t="s">
        <v>4093</v>
      </c>
      <c r="E800" t="s">
        <v>4094</v>
      </c>
      <c r="F800" t="s">
        <v>5</v>
      </c>
      <c r="G800" t="s">
        <v>6</v>
      </c>
      <c r="L800" t="s">
        <v>7</v>
      </c>
      <c r="M800">
        <v>2013</v>
      </c>
      <c r="N800" s="1">
        <v>41619</v>
      </c>
      <c r="O800" t="s">
        <v>4095</v>
      </c>
      <c r="P800">
        <v>1</v>
      </c>
      <c r="S800">
        <v>253.95</v>
      </c>
      <c r="T800">
        <v>290</v>
      </c>
      <c r="U800">
        <v>220</v>
      </c>
      <c r="V800" t="s">
        <v>79</v>
      </c>
      <c r="W800" t="s">
        <v>123</v>
      </c>
      <c r="X800" t="s">
        <v>123</v>
      </c>
      <c r="Y800" t="s">
        <v>124</v>
      </c>
      <c r="AF800" t="s">
        <v>13</v>
      </c>
      <c r="AG800" t="str">
        <f>HYPERLINK("https://doi.org/10.1515/9780748683376")</f>
        <v>https://doi.org/10.1515/9780748683376</v>
      </c>
      <c r="AH800" t="str">
        <f>HYPERLINK("http://www.degruyter.com/isbn/9780748683376")</f>
        <v>http://www.degruyter.com/isbn/9780748683376</v>
      </c>
      <c r="AI800" t="s">
        <v>68</v>
      </c>
      <c r="AL800" t="s">
        <v>83</v>
      </c>
      <c r="AM800">
        <v>1</v>
      </c>
      <c r="AN800" s="2">
        <v>9780748683369</v>
      </c>
    </row>
    <row r="801" spans="1:40" x14ac:dyDescent="0.3">
      <c r="A801" t="s">
        <v>4096</v>
      </c>
      <c r="B801" t="s">
        <v>1</v>
      </c>
      <c r="C801" t="s">
        <v>4097</v>
      </c>
      <c r="D801" t="s">
        <v>4098</v>
      </c>
      <c r="E801" t="s">
        <v>4099</v>
      </c>
      <c r="F801" t="s">
        <v>5</v>
      </c>
      <c r="G801" t="s">
        <v>6</v>
      </c>
      <c r="L801" t="s">
        <v>7</v>
      </c>
      <c r="M801">
        <v>1998</v>
      </c>
      <c r="N801" s="1">
        <v>44634</v>
      </c>
      <c r="O801" t="s">
        <v>4100</v>
      </c>
      <c r="P801">
        <v>1</v>
      </c>
      <c r="S801">
        <v>217.95</v>
      </c>
      <c r="T801">
        <v>250</v>
      </c>
      <c r="U801">
        <v>190</v>
      </c>
      <c r="V801" t="s">
        <v>42</v>
      </c>
      <c r="W801" t="s">
        <v>43</v>
      </c>
      <c r="X801" t="s">
        <v>44</v>
      </c>
      <c r="Y801" t="s">
        <v>45</v>
      </c>
      <c r="AF801" t="s">
        <v>13</v>
      </c>
      <c r="AG801" t="str">
        <f>HYPERLINK("https://doi.org/10.1515/9780748674114")</f>
        <v>https://doi.org/10.1515/9780748674114</v>
      </c>
      <c r="AH801" t="str">
        <f>HYPERLINK("http://www.degruyter.com/isbn/9780748674114")</f>
        <v>http://www.degruyter.com/isbn/9780748674114</v>
      </c>
      <c r="AI801" t="s">
        <v>24</v>
      </c>
      <c r="AL801" t="s">
        <v>47</v>
      </c>
      <c r="AM801">
        <v>1</v>
      </c>
      <c r="AN801" s="2">
        <v>9780748610679</v>
      </c>
    </row>
    <row r="802" spans="1:40" x14ac:dyDescent="0.3">
      <c r="A802" t="s">
        <v>4101</v>
      </c>
      <c r="B802" t="s">
        <v>1</v>
      </c>
      <c r="C802" t="s">
        <v>4102</v>
      </c>
      <c r="D802" t="s">
        <v>4103</v>
      </c>
      <c r="E802" t="s">
        <v>4104</v>
      </c>
      <c r="F802" t="s">
        <v>5</v>
      </c>
      <c r="G802" t="s">
        <v>6</v>
      </c>
      <c r="L802" t="s">
        <v>7</v>
      </c>
      <c r="M802">
        <v>1999</v>
      </c>
      <c r="N802" s="1">
        <v>44656</v>
      </c>
      <c r="O802" t="s">
        <v>4105</v>
      </c>
      <c r="P802">
        <v>1</v>
      </c>
      <c r="S802">
        <v>217.95</v>
      </c>
      <c r="T802">
        <v>250</v>
      </c>
      <c r="U802">
        <v>190</v>
      </c>
      <c r="V802" t="s">
        <v>20</v>
      </c>
      <c r="W802" t="s">
        <v>21</v>
      </c>
      <c r="X802" t="s">
        <v>3445</v>
      </c>
      <c r="Y802" t="s">
        <v>3446</v>
      </c>
      <c r="AF802" t="s">
        <v>13</v>
      </c>
      <c r="AG802" t="str">
        <f>HYPERLINK("https://doi.org/10.1515/9780585070414")</f>
        <v>https://doi.org/10.1515/9780585070414</v>
      </c>
      <c r="AH802" t="str">
        <f>HYPERLINK("http://www.degruyter.com/isbn/9780585070414")</f>
        <v>http://www.degruyter.com/isbn/9780585070414</v>
      </c>
      <c r="AI802" t="s">
        <v>24</v>
      </c>
      <c r="AL802" t="s">
        <v>15</v>
      </c>
      <c r="AM802">
        <v>1</v>
      </c>
      <c r="AN802" s="2">
        <v>9780748611836</v>
      </c>
    </row>
    <row r="803" spans="1:40" x14ac:dyDescent="0.3">
      <c r="A803" t="s">
        <v>4106</v>
      </c>
      <c r="B803" t="s">
        <v>1</v>
      </c>
      <c r="C803" t="s">
        <v>4107</v>
      </c>
      <c r="D803" t="s">
        <v>4108</v>
      </c>
      <c r="E803" t="s">
        <v>4109</v>
      </c>
      <c r="F803" t="s">
        <v>5</v>
      </c>
      <c r="G803" t="s">
        <v>6</v>
      </c>
      <c r="L803" t="s">
        <v>7</v>
      </c>
      <c r="M803">
        <v>2009</v>
      </c>
      <c r="N803" s="1">
        <v>39927</v>
      </c>
      <c r="O803" t="s">
        <v>150</v>
      </c>
      <c r="P803">
        <v>1</v>
      </c>
      <c r="S803">
        <v>217.95</v>
      </c>
      <c r="T803">
        <v>250</v>
      </c>
      <c r="U803">
        <v>190</v>
      </c>
      <c r="V803" t="s">
        <v>42</v>
      </c>
      <c r="W803" t="s">
        <v>107</v>
      </c>
      <c r="X803" t="s">
        <v>108</v>
      </c>
      <c r="Y803" t="s">
        <v>109</v>
      </c>
      <c r="AF803" t="s">
        <v>13</v>
      </c>
      <c r="AG803" t="str">
        <f>HYPERLINK("https://doi.org/10.1515/9780748679331")</f>
        <v>https://doi.org/10.1515/9780748679331</v>
      </c>
      <c r="AH803" t="str">
        <f>HYPERLINK("http://www.degruyter.com/isbn/9780748679331")</f>
        <v>http://www.degruyter.com/isbn/9780748679331</v>
      </c>
      <c r="AI803" t="s">
        <v>68</v>
      </c>
      <c r="AL803" t="s">
        <v>47</v>
      </c>
      <c r="AM803">
        <v>1</v>
      </c>
      <c r="AN803" s="2">
        <v>9780748637133</v>
      </c>
    </row>
    <row r="804" spans="1:40" x14ac:dyDescent="0.3">
      <c r="A804" t="s">
        <v>4110</v>
      </c>
      <c r="B804" t="s">
        <v>1</v>
      </c>
      <c r="C804" t="s">
        <v>4111</v>
      </c>
      <c r="D804" t="s">
        <v>4112</v>
      </c>
      <c r="E804" t="s">
        <v>4113</v>
      </c>
      <c r="F804" t="s">
        <v>5</v>
      </c>
      <c r="G804" t="s">
        <v>6</v>
      </c>
      <c r="L804" t="s">
        <v>7</v>
      </c>
      <c r="M804">
        <v>2015</v>
      </c>
      <c r="N804" s="1">
        <v>42169</v>
      </c>
      <c r="O804" t="s">
        <v>3415</v>
      </c>
      <c r="P804">
        <v>1</v>
      </c>
      <c r="S804">
        <v>209.95</v>
      </c>
      <c r="T804">
        <v>240</v>
      </c>
      <c r="U804">
        <v>180</v>
      </c>
      <c r="V804" t="s">
        <v>42</v>
      </c>
      <c r="W804" t="s">
        <v>116</v>
      </c>
      <c r="X804" t="s">
        <v>116</v>
      </c>
      <c r="Y804" t="s">
        <v>117</v>
      </c>
      <c r="AF804" t="s">
        <v>13</v>
      </c>
      <c r="AG804" t="str">
        <f>HYPERLINK("https://doi.org/10.1515/9780748682218")</f>
        <v>https://doi.org/10.1515/9780748682218</v>
      </c>
      <c r="AH804" t="str">
        <f>HYPERLINK("http://www.degruyter.com/isbn/9780748682218")</f>
        <v>http://www.degruyter.com/isbn/9780748682218</v>
      </c>
      <c r="AI804" t="s">
        <v>34</v>
      </c>
      <c r="AL804" t="s">
        <v>47</v>
      </c>
      <c r="AM804">
        <v>1</v>
      </c>
      <c r="AN804" s="2">
        <v>9780748682195</v>
      </c>
    </row>
    <row r="805" spans="1:40" x14ac:dyDescent="0.3">
      <c r="A805" t="s">
        <v>4114</v>
      </c>
      <c r="B805" t="s">
        <v>1</v>
      </c>
      <c r="C805" t="s">
        <v>4115</v>
      </c>
      <c r="E805" t="s">
        <v>4116</v>
      </c>
      <c r="F805" t="s">
        <v>5</v>
      </c>
      <c r="G805" t="s">
        <v>6</v>
      </c>
      <c r="K805" t="s">
        <v>4117</v>
      </c>
      <c r="L805" t="s">
        <v>7</v>
      </c>
      <c r="M805">
        <v>2012</v>
      </c>
      <c r="N805" s="1">
        <v>41003</v>
      </c>
      <c r="O805" t="s">
        <v>4118</v>
      </c>
      <c r="P805">
        <v>1</v>
      </c>
      <c r="V805" t="s">
        <v>20</v>
      </c>
      <c r="W805" t="s">
        <v>1018</v>
      </c>
      <c r="X805" t="s">
        <v>1018</v>
      </c>
      <c r="Y805" t="s">
        <v>2215</v>
      </c>
      <c r="AF805" t="s">
        <v>13</v>
      </c>
      <c r="AG805" t="str">
        <f>HYPERLINK("https://doi.org/10.1515/9781474423397")</f>
        <v>https://doi.org/10.1515/9781474423397</v>
      </c>
      <c r="AH805" t="str">
        <f>HYPERLINK("http://www.degruyter.com/isbn/9781474423397")</f>
        <v>http://www.degruyter.com/isbn/9781474423397</v>
      </c>
      <c r="AI805" t="s">
        <v>68</v>
      </c>
      <c r="AM805">
        <v>1</v>
      </c>
      <c r="AN805" s="2"/>
    </row>
    <row r="806" spans="1:40" x14ac:dyDescent="0.3">
      <c r="A806" t="s">
        <v>4119</v>
      </c>
      <c r="B806" t="s">
        <v>1</v>
      </c>
      <c r="C806" t="s">
        <v>4120</v>
      </c>
      <c r="D806" t="s">
        <v>4121</v>
      </c>
      <c r="E806" t="s">
        <v>4122</v>
      </c>
      <c r="F806" t="s">
        <v>5</v>
      </c>
      <c r="G806" t="s">
        <v>6</v>
      </c>
      <c r="L806" t="s">
        <v>7</v>
      </c>
      <c r="M806">
        <v>2017</v>
      </c>
      <c r="N806" s="1">
        <v>43014</v>
      </c>
      <c r="O806" t="s">
        <v>4123</v>
      </c>
      <c r="P806">
        <v>1</v>
      </c>
      <c r="S806">
        <v>217.95</v>
      </c>
      <c r="T806">
        <v>250</v>
      </c>
      <c r="U806">
        <v>190</v>
      </c>
      <c r="V806" t="s">
        <v>9</v>
      </c>
      <c r="W806" t="s">
        <v>10</v>
      </c>
      <c r="X806" t="s">
        <v>11</v>
      </c>
      <c r="Y806" t="s">
        <v>52</v>
      </c>
      <c r="AF806" t="s">
        <v>13</v>
      </c>
      <c r="AG806" t="str">
        <f>HYPERLINK("https://doi.org/10.1515/9781474424578?locatt=mode:legacy")</f>
        <v>https://doi.org/10.1515/9781474424578?locatt=mode:legacy</v>
      </c>
      <c r="AH806" t="str">
        <f>HYPERLINK("http://www.degruyter.com/isbn/9781474424578")</f>
        <v>http://www.degruyter.com/isbn/9781474424578</v>
      </c>
      <c r="AI806" t="s">
        <v>222</v>
      </c>
      <c r="AL806" t="s">
        <v>15</v>
      </c>
      <c r="AM806">
        <v>1</v>
      </c>
      <c r="AN806" s="2">
        <v>9781474424561</v>
      </c>
    </row>
    <row r="807" spans="1:40" x14ac:dyDescent="0.3">
      <c r="A807" t="s">
        <v>4124</v>
      </c>
      <c r="B807" t="s">
        <v>1</v>
      </c>
      <c r="C807" t="s">
        <v>4125</v>
      </c>
      <c r="D807" t="s">
        <v>4126</v>
      </c>
      <c r="E807" t="s">
        <v>4127</v>
      </c>
      <c r="F807" t="s">
        <v>5</v>
      </c>
      <c r="G807" t="s">
        <v>6</v>
      </c>
      <c r="L807" t="s">
        <v>7</v>
      </c>
      <c r="M807">
        <v>2013</v>
      </c>
      <c r="N807" s="1">
        <v>41477</v>
      </c>
      <c r="O807" t="s">
        <v>4128</v>
      </c>
      <c r="P807">
        <v>1</v>
      </c>
      <c r="S807">
        <v>209.95</v>
      </c>
      <c r="T807">
        <v>240</v>
      </c>
      <c r="U807">
        <v>180</v>
      </c>
      <c r="V807" t="s">
        <v>20</v>
      </c>
      <c r="W807" t="s">
        <v>21</v>
      </c>
      <c r="X807" t="s">
        <v>22</v>
      </c>
      <c r="Y807" t="s">
        <v>23</v>
      </c>
      <c r="AF807" t="s">
        <v>13</v>
      </c>
      <c r="AG807" t="str">
        <f>HYPERLINK("https://doi.org/10.1515/9780748685882")</f>
        <v>https://doi.org/10.1515/9780748685882</v>
      </c>
      <c r="AH807" t="str">
        <f>HYPERLINK("http://www.degruyter.com/isbn/9780748685882")</f>
        <v>http://www.degruyter.com/isbn/9780748685882</v>
      </c>
      <c r="AI807" t="s">
        <v>68</v>
      </c>
      <c r="AL807" t="s">
        <v>15</v>
      </c>
      <c r="AM807">
        <v>1</v>
      </c>
      <c r="AN807" s="2">
        <v>9780748645916</v>
      </c>
    </row>
    <row r="808" spans="1:40" x14ac:dyDescent="0.3">
      <c r="A808" t="s">
        <v>4129</v>
      </c>
      <c r="B808" t="s">
        <v>1</v>
      </c>
      <c r="C808" t="s">
        <v>4130</v>
      </c>
      <c r="E808" t="s">
        <v>4131</v>
      </c>
      <c r="F808" t="s">
        <v>5</v>
      </c>
      <c r="G808" t="s">
        <v>6</v>
      </c>
      <c r="L808" t="s">
        <v>7</v>
      </c>
      <c r="M808">
        <v>2009</v>
      </c>
      <c r="N808" s="1">
        <v>39987</v>
      </c>
      <c r="O808" t="s">
        <v>3667</v>
      </c>
      <c r="P808">
        <v>1</v>
      </c>
      <c r="S808">
        <v>227.95</v>
      </c>
      <c r="T808">
        <v>260</v>
      </c>
      <c r="U808">
        <v>200</v>
      </c>
      <c r="V808" t="s">
        <v>42</v>
      </c>
      <c r="W808" t="s">
        <v>107</v>
      </c>
      <c r="X808" t="s">
        <v>108</v>
      </c>
      <c r="Y808" t="s">
        <v>109</v>
      </c>
      <c r="AF808" t="s">
        <v>13</v>
      </c>
      <c r="AG808" t="str">
        <f>HYPERLINK("https://doi.org/10.1515/9780748640836?locatt=mode:legacy")</f>
        <v>https://doi.org/10.1515/9780748640836?locatt=mode:legacy</v>
      </c>
      <c r="AH808" t="str">
        <f>HYPERLINK("http://www.degruyter.com/isbn/9780748640836")</f>
        <v>http://www.degruyter.com/isbn/9780748640836</v>
      </c>
      <c r="AI808" t="s">
        <v>68</v>
      </c>
      <c r="AL808" t="s">
        <v>47</v>
      </c>
      <c r="AM808">
        <v>1</v>
      </c>
      <c r="AN808" s="2">
        <v>9780748638154</v>
      </c>
    </row>
    <row r="809" spans="1:40" x14ac:dyDescent="0.3">
      <c r="A809" t="s">
        <v>4132</v>
      </c>
      <c r="B809" t="s">
        <v>1</v>
      </c>
      <c r="C809" t="s">
        <v>4133</v>
      </c>
      <c r="D809" t="s">
        <v>4134</v>
      </c>
      <c r="E809" t="s">
        <v>4135</v>
      </c>
      <c r="F809" t="s">
        <v>5</v>
      </c>
      <c r="G809" t="s">
        <v>6</v>
      </c>
      <c r="L809" t="s">
        <v>7</v>
      </c>
      <c r="M809">
        <v>2012</v>
      </c>
      <c r="N809" s="1">
        <v>41197</v>
      </c>
      <c r="O809" t="s">
        <v>4136</v>
      </c>
      <c r="P809">
        <v>1</v>
      </c>
      <c r="S809">
        <v>217.95</v>
      </c>
      <c r="T809">
        <v>250</v>
      </c>
      <c r="U809">
        <v>190</v>
      </c>
      <c r="V809" t="s">
        <v>42</v>
      </c>
      <c r="W809" t="s">
        <v>740</v>
      </c>
      <c r="X809" t="s">
        <v>741</v>
      </c>
      <c r="Y809" t="s">
        <v>742</v>
      </c>
      <c r="AF809" t="s">
        <v>13</v>
      </c>
      <c r="AG809" t="str">
        <f>HYPERLINK("https://doi.org/10.1515/9780748646180")</f>
        <v>https://doi.org/10.1515/9780748646180</v>
      </c>
      <c r="AH809" t="str">
        <f>HYPERLINK("http://www.degruyter.com/isbn/9780748646180")</f>
        <v>http://www.degruyter.com/isbn/9780748646180</v>
      </c>
      <c r="AI809" t="s">
        <v>68</v>
      </c>
      <c r="AL809" t="s">
        <v>47</v>
      </c>
      <c r="AM809">
        <v>1</v>
      </c>
      <c r="AN809" s="2">
        <v>9780748646173</v>
      </c>
    </row>
    <row r="810" spans="1:40" x14ac:dyDescent="0.3">
      <c r="A810" t="s">
        <v>4137</v>
      </c>
      <c r="B810" t="s">
        <v>1</v>
      </c>
      <c r="C810" t="s">
        <v>4138</v>
      </c>
      <c r="D810" t="s">
        <v>4139</v>
      </c>
      <c r="E810" t="s">
        <v>4140</v>
      </c>
      <c r="F810" t="s">
        <v>5</v>
      </c>
      <c r="G810" t="s">
        <v>6</v>
      </c>
      <c r="L810" t="s">
        <v>7</v>
      </c>
      <c r="M810">
        <v>2013</v>
      </c>
      <c r="N810" s="1">
        <v>41417</v>
      </c>
      <c r="O810" t="s">
        <v>4141</v>
      </c>
      <c r="P810">
        <v>1</v>
      </c>
      <c r="S810">
        <v>217.95</v>
      </c>
      <c r="T810">
        <v>250</v>
      </c>
      <c r="U810">
        <v>190</v>
      </c>
      <c r="V810" t="s">
        <v>58</v>
      </c>
      <c r="W810" t="s">
        <v>59</v>
      </c>
      <c r="X810" t="s">
        <v>60</v>
      </c>
      <c r="Y810" t="s">
        <v>73</v>
      </c>
      <c r="AF810" t="s">
        <v>13</v>
      </c>
      <c r="AG810" t="str">
        <f>HYPERLINK("https://doi.org/10.1515/9780748677597")</f>
        <v>https://doi.org/10.1515/9780748677597</v>
      </c>
      <c r="AH810" t="str">
        <f>HYPERLINK("http://www.degruyter.com/isbn/9780748677597")</f>
        <v>http://www.degruyter.com/isbn/9780748677597</v>
      </c>
      <c r="AI810" t="s">
        <v>68</v>
      </c>
      <c r="AL810" t="s">
        <v>62</v>
      </c>
      <c r="AM810">
        <v>1</v>
      </c>
      <c r="AN810" s="2">
        <v>9780748643066</v>
      </c>
    </row>
    <row r="811" spans="1:40" x14ac:dyDescent="0.3">
      <c r="A811" t="s">
        <v>4142</v>
      </c>
      <c r="B811" t="s">
        <v>1</v>
      </c>
      <c r="C811" t="s">
        <v>4143</v>
      </c>
      <c r="E811" t="s">
        <v>4144</v>
      </c>
      <c r="F811" t="s">
        <v>5</v>
      </c>
      <c r="G811" t="s">
        <v>6</v>
      </c>
      <c r="L811" t="s">
        <v>7</v>
      </c>
      <c r="M811">
        <v>2019</v>
      </c>
      <c r="N811" s="1">
        <v>44656</v>
      </c>
      <c r="O811" t="s">
        <v>4145</v>
      </c>
      <c r="P811">
        <v>1</v>
      </c>
      <c r="S811">
        <v>227.95</v>
      </c>
      <c r="T811">
        <v>260</v>
      </c>
      <c r="U811">
        <v>200</v>
      </c>
      <c r="V811" t="s">
        <v>42</v>
      </c>
      <c r="W811" t="s">
        <v>107</v>
      </c>
      <c r="X811" t="s">
        <v>108</v>
      </c>
      <c r="Y811" t="s">
        <v>109</v>
      </c>
      <c r="AF811" t="s">
        <v>13</v>
      </c>
      <c r="AG811" t="str">
        <f>HYPERLINK("https://doi.org/10.1515/9781474440820")</f>
        <v>https://doi.org/10.1515/9781474440820</v>
      </c>
      <c r="AH811" t="str">
        <f>HYPERLINK("http://www.degruyter.com/isbn/9781474440820")</f>
        <v>http://www.degruyter.com/isbn/9781474440820</v>
      </c>
      <c r="AI811" t="s">
        <v>280</v>
      </c>
      <c r="AL811" t="s">
        <v>47</v>
      </c>
      <c r="AM811">
        <v>1</v>
      </c>
      <c r="AN811" s="2">
        <v>9781474440806</v>
      </c>
    </row>
    <row r="812" spans="1:40" x14ac:dyDescent="0.3">
      <c r="A812" t="s">
        <v>4146</v>
      </c>
      <c r="B812" t="s">
        <v>1</v>
      </c>
      <c r="C812" t="s">
        <v>4147</v>
      </c>
      <c r="D812" t="s">
        <v>4148</v>
      </c>
      <c r="E812" t="s">
        <v>4149</v>
      </c>
      <c r="F812" t="s">
        <v>5</v>
      </c>
      <c r="G812" t="s">
        <v>6</v>
      </c>
      <c r="L812" t="s">
        <v>7</v>
      </c>
      <c r="M812">
        <v>2021</v>
      </c>
      <c r="N812" s="1">
        <v>44644</v>
      </c>
      <c r="O812" t="s">
        <v>4150</v>
      </c>
      <c r="P812">
        <v>1</v>
      </c>
      <c r="S812">
        <v>217.95</v>
      </c>
      <c r="T812">
        <v>250</v>
      </c>
      <c r="U812">
        <v>190</v>
      </c>
      <c r="V812" t="s">
        <v>305</v>
      </c>
      <c r="W812" t="s">
        <v>2566</v>
      </c>
      <c r="X812" t="s">
        <v>2567</v>
      </c>
      <c r="Y812" t="s">
        <v>4151</v>
      </c>
      <c r="AF812" t="s">
        <v>13</v>
      </c>
      <c r="AG812" t="str">
        <f>HYPERLINK("https://doi.org/10.1515/9781474439886")</f>
        <v>https://doi.org/10.1515/9781474439886</v>
      </c>
      <c r="AH812" t="str">
        <f>HYPERLINK("http://www.degruyter.com/isbn/9781474439886")</f>
        <v>http://www.degruyter.com/isbn/9781474439886</v>
      </c>
      <c r="AI812" t="s">
        <v>216</v>
      </c>
      <c r="AL812" t="s">
        <v>308</v>
      </c>
      <c r="AM812">
        <v>1</v>
      </c>
      <c r="AN812" s="2">
        <v>9781474439862</v>
      </c>
    </row>
    <row r="813" spans="1:40" x14ac:dyDescent="0.3">
      <c r="A813" t="s">
        <v>4152</v>
      </c>
      <c r="B813" t="s">
        <v>1</v>
      </c>
      <c r="C813" t="s">
        <v>4153</v>
      </c>
      <c r="D813" t="s">
        <v>1146</v>
      </c>
      <c r="E813" t="s">
        <v>4154</v>
      </c>
      <c r="F813" t="s">
        <v>5</v>
      </c>
      <c r="G813" t="s">
        <v>6</v>
      </c>
      <c r="L813" t="s">
        <v>7</v>
      </c>
      <c r="M813">
        <v>2006</v>
      </c>
      <c r="N813" s="1">
        <v>44607</v>
      </c>
      <c r="O813" t="s">
        <v>4155</v>
      </c>
      <c r="P813">
        <v>1</v>
      </c>
      <c r="S813">
        <v>217.95</v>
      </c>
      <c r="T813">
        <v>250</v>
      </c>
      <c r="U813">
        <v>190</v>
      </c>
      <c r="V813" t="s">
        <v>89</v>
      </c>
      <c r="W813" t="s">
        <v>137</v>
      </c>
      <c r="X813" t="s">
        <v>138</v>
      </c>
      <c r="Y813" t="s">
        <v>139</v>
      </c>
      <c r="AF813" t="s">
        <v>13</v>
      </c>
      <c r="AG813" t="str">
        <f>HYPERLINK("https://www.degruyter.com/isbn/9781474469968")</f>
        <v>https://www.degruyter.com/isbn/9781474469968</v>
      </c>
      <c r="AH813" t="str">
        <f>HYPERLINK("http://www.degruyter.com/isbn/9781474469968")</f>
        <v>http://www.degruyter.com/isbn/9781474469968</v>
      </c>
      <c r="AI813" t="s">
        <v>68</v>
      </c>
      <c r="AL813" t="s">
        <v>83</v>
      </c>
      <c r="AM813">
        <v>1</v>
      </c>
      <c r="AN813" s="2">
        <v>9780748620012</v>
      </c>
    </row>
    <row r="814" spans="1:40" x14ac:dyDescent="0.3">
      <c r="A814" t="s">
        <v>4156</v>
      </c>
      <c r="B814" t="s">
        <v>1</v>
      </c>
      <c r="C814" t="s">
        <v>4157</v>
      </c>
      <c r="D814" t="s">
        <v>4158</v>
      </c>
      <c r="E814" t="s">
        <v>4159</v>
      </c>
      <c r="F814" t="s">
        <v>5</v>
      </c>
      <c r="G814" t="s">
        <v>6</v>
      </c>
      <c r="L814" t="s">
        <v>7</v>
      </c>
      <c r="M814">
        <v>2016</v>
      </c>
      <c r="N814" s="1">
        <v>42632</v>
      </c>
      <c r="O814" t="s">
        <v>4160</v>
      </c>
      <c r="P814">
        <v>1</v>
      </c>
      <c r="S814">
        <v>243.95</v>
      </c>
      <c r="T814">
        <v>280</v>
      </c>
      <c r="U814">
        <v>210</v>
      </c>
      <c r="V814" t="s">
        <v>42</v>
      </c>
      <c r="W814" t="s">
        <v>116</v>
      </c>
      <c r="X814" t="s">
        <v>116</v>
      </c>
      <c r="Y814" t="s">
        <v>117</v>
      </c>
      <c r="AF814" t="s">
        <v>13</v>
      </c>
      <c r="AG814" t="str">
        <f>HYPERLINK("https://doi.org/10.1515/9781474413794")</f>
        <v>https://doi.org/10.1515/9781474413794</v>
      </c>
      <c r="AH814" t="str">
        <f>HYPERLINK("http://www.degruyter.com/isbn/9781474413794")</f>
        <v>http://www.degruyter.com/isbn/9781474413794</v>
      </c>
      <c r="AI814" t="s">
        <v>180</v>
      </c>
      <c r="AL814" t="s">
        <v>47</v>
      </c>
      <c r="AM814">
        <v>1</v>
      </c>
      <c r="AN814" s="2">
        <v>9781474413787</v>
      </c>
    </row>
    <row r="815" spans="1:40" x14ac:dyDescent="0.3">
      <c r="A815" t="s">
        <v>4161</v>
      </c>
      <c r="B815" t="s">
        <v>1</v>
      </c>
      <c r="C815" t="s">
        <v>4162</v>
      </c>
      <c r="D815" t="s">
        <v>4163</v>
      </c>
      <c r="E815" t="s">
        <v>4164</v>
      </c>
      <c r="F815" t="s">
        <v>5</v>
      </c>
      <c r="G815" t="s">
        <v>6</v>
      </c>
      <c r="L815" t="s">
        <v>7</v>
      </c>
      <c r="M815">
        <v>2011</v>
      </c>
      <c r="N815" s="1">
        <v>40723</v>
      </c>
      <c r="O815" t="s">
        <v>4165</v>
      </c>
      <c r="P815">
        <v>1</v>
      </c>
      <c r="S815">
        <v>253.95</v>
      </c>
      <c r="T815">
        <v>290</v>
      </c>
      <c r="U815">
        <v>220</v>
      </c>
      <c r="V815" t="s">
        <v>79</v>
      </c>
      <c r="W815" t="s">
        <v>209</v>
      </c>
      <c r="X815" t="s">
        <v>209</v>
      </c>
      <c r="Y815" t="s">
        <v>510</v>
      </c>
      <c r="AF815" t="s">
        <v>13</v>
      </c>
      <c r="AG815" t="str">
        <f>HYPERLINK("https://doi.org/10.1515/9780748643769")</f>
        <v>https://doi.org/10.1515/9780748643769</v>
      </c>
      <c r="AH815" t="str">
        <f>HYPERLINK("http://www.degruyter.com/isbn/9780748643769")</f>
        <v>http://www.degruyter.com/isbn/9780748643769</v>
      </c>
      <c r="AI815" t="s">
        <v>68</v>
      </c>
      <c r="AL815" t="s">
        <v>83</v>
      </c>
      <c r="AM815">
        <v>1</v>
      </c>
      <c r="AN815" s="2">
        <v>9780748643752</v>
      </c>
    </row>
    <row r="816" spans="1:40" x14ac:dyDescent="0.3">
      <c r="A816" t="s">
        <v>4166</v>
      </c>
      <c r="B816" t="s">
        <v>1</v>
      </c>
      <c r="C816" t="s">
        <v>4167</v>
      </c>
      <c r="E816" t="s">
        <v>4168</v>
      </c>
      <c r="F816" t="s">
        <v>5</v>
      </c>
      <c r="G816" t="s">
        <v>6</v>
      </c>
      <c r="L816" t="s">
        <v>7</v>
      </c>
      <c r="M816">
        <v>2005</v>
      </c>
      <c r="N816" s="1">
        <v>38457</v>
      </c>
      <c r="O816" t="s">
        <v>4169</v>
      </c>
      <c r="P816">
        <v>1</v>
      </c>
      <c r="S816">
        <v>217.95</v>
      </c>
      <c r="T816">
        <v>250</v>
      </c>
      <c r="U816">
        <v>190</v>
      </c>
      <c r="V816" t="s">
        <v>98</v>
      </c>
      <c r="W816" t="s">
        <v>99</v>
      </c>
      <c r="X816" t="s">
        <v>386</v>
      </c>
      <c r="Y816" t="s">
        <v>387</v>
      </c>
      <c r="AF816" t="s">
        <v>13</v>
      </c>
      <c r="AG816" t="str">
        <f>HYPERLINK("https://doi.org/10.1515/9781474469708?locatt=mode:legacy")</f>
        <v>https://doi.org/10.1515/9781474469708?locatt=mode:legacy</v>
      </c>
      <c r="AH816" t="str">
        <f>HYPERLINK("http://www.degruyter.com/isbn/9781474469708")</f>
        <v>http://www.degruyter.com/isbn/9781474469708</v>
      </c>
      <c r="AI816" t="s">
        <v>68</v>
      </c>
      <c r="AL816" t="s">
        <v>102</v>
      </c>
      <c r="AM816">
        <v>1</v>
      </c>
      <c r="AN816" s="2">
        <v>9780748622818</v>
      </c>
    </row>
    <row r="817" spans="1:40" x14ac:dyDescent="0.3">
      <c r="A817" t="s">
        <v>4170</v>
      </c>
      <c r="B817" t="s">
        <v>1</v>
      </c>
      <c r="C817" t="s">
        <v>4171</v>
      </c>
      <c r="D817" t="s">
        <v>4172</v>
      </c>
      <c r="E817" t="s">
        <v>4173</v>
      </c>
      <c r="F817" t="s">
        <v>5</v>
      </c>
      <c r="G817" t="s">
        <v>6</v>
      </c>
      <c r="L817" t="s">
        <v>7</v>
      </c>
      <c r="M817">
        <v>2005</v>
      </c>
      <c r="N817" s="1">
        <v>38384</v>
      </c>
      <c r="O817" t="s">
        <v>1894</v>
      </c>
      <c r="P817">
        <v>1</v>
      </c>
      <c r="S817">
        <v>287.95</v>
      </c>
      <c r="T817">
        <v>330</v>
      </c>
      <c r="U817">
        <v>250</v>
      </c>
      <c r="V817" t="s">
        <v>20</v>
      </c>
      <c r="W817" t="s">
        <v>21</v>
      </c>
      <c r="X817" t="s">
        <v>22</v>
      </c>
      <c r="Y817" t="s">
        <v>23</v>
      </c>
      <c r="AF817" t="s">
        <v>13</v>
      </c>
      <c r="AG817" t="str">
        <f>HYPERLINK("https://doi.org/10.1515/9780748653348")</f>
        <v>https://doi.org/10.1515/9780748653348</v>
      </c>
      <c r="AH817" t="str">
        <f>HYPERLINK("http://www.degruyter.com/isbn/9780748653348")</f>
        <v>http://www.degruyter.com/isbn/9780748653348</v>
      </c>
      <c r="AI817" t="s">
        <v>68</v>
      </c>
      <c r="AL817" t="s">
        <v>15</v>
      </c>
      <c r="AM817">
        <v>1</v>
      </c>
      <c r="AN817" s="2">
        <v>9780748614325</v>
      </c>
    </row>
    <row r="818" spans="1:40" x14ac:dyDescent="0.3">
      <c r="A818" t="s">
        <v>4174</v>
      </c>
      <c r="B818" t="s">
        <v>1</v>
      </c>
      <c r="C818" t="s">
        <v>4175</v>
      </c>
      <c r="E818" t="s">
        <v>4176</v>
      </c>
      <c r="F818" t="s">
        <v>5</v>
      </c>
      <c r="G818" t="s">
        <v>6</v>
      </c>
      <c r="L818" t="s">
        <v>7</v>
      </c>
      <c r="M818">
        <v>2018</v>
      </c>
      <c r="N818" s="1">
        <v>44656</v>
      </c>
      <c r="O818" t="s">
        <v>4177</v>
      </c>
      <c r="P818">
        <v>1</v>
      </c>
      <c r="S818">
        <v>217.95</v>
      </c>
      <c r="T818">
        <v>250</v>
      </c>
      <c r="U818">
        <v>190</v>
      </c>
      <c r="V818" t="s">
        <v>79</v>
      </c>
      <c r="W818" t="s">
        <v>80</v>
      </c>
      <c r="X818" t="s">
        <v>80</v>
      </c>
      <c r="Y818" t="s">
        <v>81</v>
      </c>
      <c r="AF818" t="s">
        <v>13</v>
      </c>
      <c r="AG818" t="str">
        <f>HYPERLINK("https://doi.org/10.1515/9781474420440")</f>
        <v>https://doi.org/10.1515/9781474420440</v>
      </c>
      <c r="AH818" t="str">
        <f>HYPERLINK("http://www.degruyter.com/isbn/9781474420440")</f>
        <v>http://www.degruyter.com/isbn/9781474420440</v>
      </c>
      <c r="AI818" t="s">
        <v>46</v>
      </c>
      <c r="AL818" t="s">
        <v>83</v>
      </c>
      <c r="AM818">
        <v>1</v>
      </c>
      <c r="AN818" s="2">
        <v>9781474420433</v>
      </c>
    </row>
    <row r="819" spans="1:40" x14ac:dyDescent="0.3">
      <c r="A819" t="s">
        <v>4178</v>
      </c>
      <c r="B819" t="s">
        <v>1</v>
      </c>
      <c r="C819" t="s">
        <v>4179</v>
      </c>
      <c r="E819" t="s">
        <v>4180</v>
      </c>
      <c r="F819" t="s">
        <v>5</v>
      </c>
      <c r="G819" t="s">
        <v>6</v>
      </c>
      <c r="L819" t="s">
        <v>7</v>
      </c>
      <c r="M819">
        <v>2008</v>
      </c>
      <c r="N819" s="1">
        <v>39485</v>
      </c>
      <c r="O819" t="s">
        <v>4181</v>
      </c>
      <c r="P819">
        <v>1</v>
      </c>
      <c r="S819">
        <v>217.95</v>
      </c>
      <c r="T819">
        <v>250</v>
      </c>
      <c r="U819">
        <v>190</v>
      </c>
      <c r="V819" t="s">
        <v>89</v>
      </c>
      <c r="W819" t="s">
        <v>90</v>
      </c>
      <c r="X819" t="s">
        <v>91</v>
      </c>
      <c r="Y819" t="s">
        <v>717</v>
      </c>
      <c r="AF819" t="s">
        <v>13</v>
      </c>
      <c r="AG819" t="str">
        <f>HYPERLINK("https://doi.org/10.1515/9780748633746?locatt=mode:legacy")</f>
        <v>https://doi.org/10.1515/9780748633746?locatt=mode:legacy</v>
      </c>
      <c r="AH819" t="str">
        <f>HYPERLINK("http://www.degruyter.com/isbn/9780748633746")</f>
        <v>http://www.degruyter.com/isbn/9780748633746</v>
      </c>
      <c r="AI819" t="s">
        <v>68</v>
      </c>
      <c r="AL819" t="s">
        <v>83</v>
      </c>
      <c r="AM819">
        <v>1</v>
      </c>
      <c r="AN819" s="2">
        <v>9780748633739</v>
      </c>
    </row>
    <row r="820" spans="1:40" x14ac:dyDescent="0.3">
      <c r="A820" t="s">
        <v>4182</v>
      </c>
      <c r="B820" t="s">
        <v>1</v>
      </c>
      <c r="C820" t="s">
        <v>4183</v>
      </c>
      <c r="E820" t="s">
        <v>4184</v>
      </c>
      <c r="F820" t="s">
        <v>5</v>
      </c>
      <c r="G820" t="s">
        <v>6</v>
      </c>
      <c r="L820" t="s">
        <v>7</v>
      </c>
      <c r="M820">
        <v>2017</v>
      </c>
      <c r="N820" s="1">
        <v>42772</v>
      </c>
      <c r="O820" t="s">
        <v>564</v>
      </c>
      <c r="P820">
        <v>1</v>
      </c>
      <c r="S820">
        <v>253.95</v>
      </c>
      <c r="T820">
        <v>290</v>
      </c>
      <c r="U820">
        <v>220</v>
      </c>
      <c r="V820" t="s">
        <v>98</v>
      </c>
      <c r="W820" t="s">
        <v>366</v>
      </c>
      <c r="X820" t="s">
        <v>367</v>
      </c>
      <c r="Y820" t="s">
        <v>368</v>
      </c>
      <c r="AF820" t="s">
        <v>13</v>
      </c>
      <c r="AG820" t="str">
        <f>HYPERLINK("https://doi.org/10.1515/9780748683840")</f>
        <v>https://doi.org/10.1515/9780748683840</v>
      </c>
      <c r="AH820" t="str">
        <f>HYPERLINK("http://www.degruyter.com/isbn/9780748683840")</f>
        <v>http://www.degruyter.com/isbn/9780748683840</v>
      </c>
      <c r="AI820" t="s">
        <v>222</v>
      </c>
      <c r="AL820" t="s">
        <v>102</v>
      </c>
      <c r="AM820">
        <v>1</v>
      </c>
      <c r="AN820" s="2">
        <v>9780748683826</v>
      </c>
    </row>
    <row r="821" spans="1:40" x14ac:dyDescent="0.3">
      <c r="A821" t="s">
        <v>4185</v>
      </c>
      <c r="B821" t="s">
        <v>1</v>
      </c>
      <c r="C821" t="s">
        <v>4186</v>
      </c>
      <c r="D821" t="s">
        <v>4187</v>
      </c>
      <c r="E821" t="s">
        <v>4188</v>
      </c>
      <c r="F821" t="s">
        <v>5</v>
      </c>
      <c r="G821" t="s">
        <v>6</v>
      </c>
      <c r="L821" t="s">
        <v>7</v>
      </c>
      <c r="M821">
        <v>2010</v>
      </c>
      <c r="N821" s="1">
        <v>40456</v>
      </c>
      <c r="O821" t="s">
        <v>4189</v>
      </c>
      <c r="P821">
        <v>1</v>
      </c>
      <c r="S821">
        <v>227.95</v>
      </c>
      <c r="T821">
        <v>260</v>
      </c>
      <c r="U821">
        <v>200</v>
      </c>
      <c r="V821" t="s">
        <v>42</v>
      </c>
      <c r="W821" t="s">
        <v>107</v>
      </c>
      <c r="X821" t="s">
        <v>108</v>
      </c>
      <c r="Y821" t="s">
        <v>952</v>
      </c>
      <c r="AF821" t="s">
        <v>13</v>
      </c>
      <c r="AG821" t="str">
        <f>HYPERLINK("https://doi.org/10.1515/9780748643660")</f>
        <v>https://doi.org/10.1515/9780748643660</v>
      </c>
      <c r="AH821" t="str">
        <f>HYPERLINK("http://www.degruyter.com/isbn/9780748643660")</f>
        <v>http://www.degruyter.com/isbn/9780748643660</v>
      </c>
      <c r="AI821" t="s">
        <v>68</v>
      </c>
      <c r="AL821" t="s">
        <v>47</v>
      </c>
      <c r="AM821">
        <v>1</v>
      </c>
      <c r="AN821" s="2">
        <v>9780748641482</v>
      </c>
    </row>
    <row r="822" spans="1:40" x14ac:dyDescent="0.3">
      <c r="A822" t="s">
        <v>4190</v>
      </c>
      <c r="B822" t="s">
        <v>1</v>
      </c>
      <c r="C822" t="s">
        <v>4191</v>
      </c>
      <c r="E822" t="s">
        <v>4192</v>
      </c>
      <c r="F822" t="s">
        <v>5</v>
      </c>
      <c r="G822" t="s">
        <v>6</v>
      </c>
      <c r="L822" t="s">
        <v>7</v>
      </c>
      <c r="M822">
        <v>2008</v>
      </c>
      <c r="N822" s="1">
        <v>39748</v>
      </c>
      <c r="O822" t="s">
        <v>4193</v>
      </c>
      <c r="P822">
        <v>1</v>
      </c>
      <c r="S822">
        <v>217.95</v>
      </c>
      <c r="T822">
        <v>250</v>
      </c>
      <c r="U822">
        <v>190</v>
      </c>
      <c r="V822" t="s">
        <v>9</v>
      </c>
      <c r="W822" t="s">
        <v>10</v>
      </c>
      <c r="X822" t="s">
        <v>11</v>
      </c>
      <c r="Y822" t="s">
        <v>12</v>
      </c>
      <c r="AF822" t="s">
        <v>13</v>
      </c>
      <c r="AG822" t="str">
        <f>HYPERLINK("https://doi.org/10.1515/9780748634194?locatt=mode:legacy")</f>
        <v>https://doi.org/10.1515/9780748634194?locatt=mode:legacy</v>
      </c>
      <c r="AH822" t="str">
        <f>HYPERLINK("http://www.degruyter.com/isbn/9780748634194")</f>
        <v>http://www.degruyter.com/isbn/9780748634194</v>
      </c>
      <c r="AI822" t="s">
        <v>68</v>
      </c>
      <c r="AJ822" t="s">
        <v>35</v>
      </c>
      <c r="AL822" t="s">
        <v>53</v>
      </c>
      <c r="AM822">
        <v>1</v>
      </c>
      <c r="AN822" s="2">
        <v>9780748634187</v>
      </c>
    </row>
    <row r="823" spans="1:40" x14ac:dyDescent="0.3">
      <c r="A823" t="s">
        <v>4194</v>
      </c>
      <c r="B823" t="s">
        <v>1</v>
      </c>
      <c r="C823" t="s">
        <v>4195</v>
      </c>
      <c r="D823" t="s">
        <v>4196</v>
      </c>
      <c r="E823" t="s">
        <v>4197</v>
      </c>
      <c r="F823" t="s">
        <v>5</v>
      </c>
      <c r="G823" t="s">
        <v>6</v>
      </c>
      <c r="L823" t="s">
        <v>7</v>
      </c>
      <c r="M823">
        <v>2018</v>
      </c>
      <c r="N823" s="1">
        <v>44656</v>
      </c>
      <c r="O823" t="s">
        <v>4198</v>
      </c>
      <c r="P823">
        <v>1</v>
      </c>
      <c r="S823">
        <v>217.95</v>
      </c>
      <c r="T823">
        <v>250</v>
      </c>
      <c r="U823">
        <v>190</v>
      </c>
      <c r="V823" t="s">
        <v>9</v>
      </c>
      <c r="W823" t="s">
        <v>10</v>
      </c>
      <c r="X823" t="s">
        <v>11</v>
      </c>
      <c r="Y823" t="s">
        <v>52</v>
      </c>
      <c r="AF823" t="s">
        <v>13</v>
      </c>
      <c r="AG823" t="str">
        <f>HYPERLINK("https://doi.org/10.1515/9781474436250")</f>
        <v>https://doi.org/10.1515/9781474436250</v>
      </c>
      <c r="AH823" t="str">
        <f>HYPERLINK("http://www.degruyter.com/isbn/9781474436250")</f>
        <v>http://www.degruyter.com/isbn/9781474436250</v>
      </c>
      <c r="AI823" t="s">
        <v>46</v>
      </c>
      <c r="AL823" t="s">
        <v>15</v>
      </c>
      <c r="AM823">
        <v>1</v>
      </c>
      <c r="AN823" s="2">
        <v>9781474436236</v>
      </c>
    </row>
    <row r="824" spans="1:40" x14ac:dyDescent="0.3">
      <c r="A824" t="s">
        <v>4199</v>
      </c>
      <c r="B824" t="s">
        <v>1</v>
      </c>
      <c r="C824" t="s">
        <v>4200</v>
      </c>
      <c r="E824" t="s">
        <v>4201</v>
      </c>
      <c r="F824" t="s">
        <v>5</v>
      </c>
      <c r="G824" t="s">
        <v>6</v>
      </c>
      <c r="K824" t="s">
        <v>929</v>
      </c>
      <c r="L824" t="s">
        <v>7</v>
      </c>
      <c r="M824">
        <v>2020</v>
      </c>
      <c r="N824" s="1">
        <v>44061</v>
      </c>
      <c r="O824" t="s">
        <v>4202</v>
      </c>
      <c r="P824">
        <v>1</v>
      </c>
      <c r="V824" t="s">
        <v>79</v>
      </c>
      <c r="W824" t="s">
        <v>227</v>
      </c>
      <c r="X824" t="s">
        <v>228</v>
      </c>
      <c r="Y824" t="s">
        <v>229</v>
      </c>
      <c r="AF824" t="s">
        <v>13</v>
      </c>
      <c r="AG824" t="str">
        <f>HYPERLINK("https://doi.org/10.1515/9781474461634")</f>
        <v>https://doi.org/10.1515/9781474461634</v>
      </c>
      <c r="AH824" t="str">
        <f>HYPERLINK("http://www.degruyter.com/isbn/9781474461634")</f>
        <v>http://www.degruyter.com/isbn/9781474461634</v>
      </c>
      <c r="AI824" t="s">
        <v>14</v>
      </c>
      <c r="AM824">
        <v>1</v>
      </c>
      <c r="AN824" s="2"/>
    </row>
    <row r="825" spans="1:40" x14ac:dyDescent="0.3">
      <c r="A825" t="s">
        <v>4203</v>
      </c>
      <c r="B825" t="s">
        <v>1</v>
      </c>
      <c r="C825" t="s">
        <v>4204</v>
      </c>
      <c r="E825" t="s">
        <v>4205</v>
      </c>
      <c r="F825" t="s">
        <v>5</v>
      </c>
      <c r="G825" t="s">
        <v>6</v>
      </c>
      <c r="L825" t="s">
        <v>7</v>
      </c>
      <c r="M825">
        <v>2008</v>
      </c>
      <c r="N825" s="1">
        <v>39735</v>
      </c>
      <c r="O825" t="s">
        <v>4206</v>
      </c>
      <c r="P825">
        <v>1</v>
      </c>
      <c r="S825">
        <v>217.95</v>
      </c>
      <c r="T825">
        <v>250</v>
      </c>
      <c r="U825">
        <v>190</v>
      </c>
      <c r="V825" t="s">
        <v>42</v>
      </c>
      <c r="W825" t="s">
        <v>43</v>
      </c>
      <c r="X825" t="s">
        <v>44</v>
      </c>
      <c r="Y825" t="s">
        <v>45</v>
      </c>
      <c r="AF825" t="s">
        <v>13</v>
      </c>
      <c r="AG825" t="str">
        <f>HYPERLINK("https://doi.org/10.1515/9780748630592")</f>
        <v>https://doi.org/10.1515/9780748630592</v>
      </c>
      <c r="AH825" t="str">
        <f>HYPERLINK("http://www.degruyter.com/isbn/9780748630592")</f>
        <v>http://www.degruyter.com/isbn/9780748630592</v>
      </c>
      <c r="AI825" t="s">
        <v>68</v>
      </c>
      <c r="AJ825" t="s">
        <v>35</v>
      </c>
      <c r="AL825" t="s">
        <v>520</v>
      </c>
      <c r="AM825">
        <v>1</v>
      </c>
      <c r="AN825" s="2">
        <v>9780748624751</v>
      </c>
    </row>
    <row r="826" spans="1:40" x14ac:dyDescent="0.3">
      <c r="A826" t="s">
        <v>4207</v>
      </c>
      <c r="B826" t="s">
        <v>1</v>
      </c>
      <c r="C826" t="s">
        <v>4208</v>
      </c>
      <c r="E826" t="s">
        <v>4209</v>
      </c>
      <c r="F826" t="s">
        <v>5</v>
      </c>
      <c r="G826" t="s">
        <v>6</v>
      </c>
      <c r="L826" t="s">
        <v>7</v>
      </c>
      <c r="M826">
        <v>2008</v>
      </c>
      <c r="N826" s="1">
        <v>39798</v>
      </c>
      <c r="O826" t="s">
        <v>4210</v>
      </c>
      <c r="P826">
        <v>1</v>
      </c>
      <c r="S826">
        <v>243.95</v>
      </c>
      <c r="T826">
        <v>280</v>
      </c>
      <c r="U826">
        <v>210</v>
      </c>
      <c r="V826" t="s">
        <v>42</v>
      </c>
      <c r="W826" t="s">
        <v>107</v>
      </c>
      <c r="X826" t="s">
        <v>108</v>
      </c>
      <c r="Y826" t="s">
        <v>109</v>
      </c>
      <c r="AF826" t="s">
        <v>13</v>
      </c>
      <c r="AG826" t="str">
        <f>HYPERLINK("https://doi.org/10.1515/9780748636471?locatt=mode:legacy")</f>
        <v>https://doi.org/10.1515/9780748636471?locatt=mode:legacy</v>
      </c>
      <c r="AH826" t="str">
        <f>HYPERLINK("http://www.degruyter.com/isbn/9780748636471")</f>
        <v>http://www.degruyter.com/isbn/9780748636471</v>
      </c>
      <c r="AI826" t="s">
        <v>68</v>
      </c>
      <c r="AL826" t="s">
        <v>47</v>
      </c>
      <c r="AM826">
        <v>1</v>
      </c>
      <c r="AN826" s="2">
        <v>9780748636464</v>
      </c>
    </row>
    <row r="827" spans="1:40" x14ac:dyDescent="0.3">
      <c r="A827" t="s">
        <v>4211</v>
      </c>
      <c r="B827" t="s">
        <v>1</v>
      </c>
      <c r="C827" t="s">
        <v>4212</v>
      </c>
      <c r="E827" t="s">
        <v>4213</v>
      </c>
      <c r="F827" t="s">
        <v>5</v>
      </c>
      <c r="G827" t="s">
        <v>6</v>
      </c>
      <c r="L827" t="s">
        <v>7</v>
      </c>
      <c r="M827">
        <v>2000</v>
      </c>
      <c r="N827" s="1">
        <v>44599</v>
      </c>
      <c r="O827" t="s">
        <v>739</v>
      </c>
      <c r="P827">
        <v>1</v>
      </c>
      <c r="S827">
        <v>217.95</v>
      </c>
      <c r="T827">
        <v>250</v>
      </c>
      <c r="U827">
        <v>190</v>
      </c>
      <c r="V827" t="s">
        <v>42</v>
      </c>
      <c r="W827" t="s">
        <v>107</v>
      </c>
      <c r="X827" t="s">
        <v>108</v>
      </c>
      <c r="Y827" t="s">
        <v>109</v>
      </c>
      <c r="AF827" t="s">
        <v>13</v>
      </c>
      <c r="AG827" t="str">
        <f>HYPERLINK("https://doi.org/10.1515/9781474465939")</f>
        <v>https://doi.org/10.1515/9781474465939</v>
      </c>
      <c r="AH827" t="str">
        <f>HYPERLINK("http://www.degruyter.com/isbn/9781474465939")</f>
        <v>http://www.degruyter.com/isbn/9781474465939</v>
      </c>
      <c r="AI827" t="s">
        <v>68</v>
      </c>
      <c r="AL827" t="s">
        <v>47</v>
      </c>
      <c r="AM827">
        <v>1</v>
      </c>
      <c r="AN827" s="2">
        <v>9780748614295</v>
      </c>
    </row>
    <row r="828" spans="1:40" x14ac:dyDescent="0.3">
      <c r="A828" t="s">
        <v>4214</v>
      </c>
      <c r="B828" t="s">
        <v>1</v>
      </c>
      <c r="C828" t="s">
        <v>4215</v>
      </c>
      <c r="D828" t="s">
        <v>4216</v>
      </c>
      <c r="E828" t="s">
        <v>4217</v>
      </c>
      <c r="F828" t="s">
        <v>5</v>
      </c>
      <c r="G828" t="s">
        <v>6</v>
      </c>
      <c r="L828" t="s">
        <v>7</v>
      </c>
      <c r="M828">
        <v>2000</v>
      </c>
      <c r="N828" s="1">
        <v>36875</v>
      </c>
      <c r="O828" t="s">
        <v>4218</v>
      </c>
      <c r="P828">
        <v>1</v>
      </c>
      <c r="S828">
        <v>253.95</v>
      </c>
      <c r="T828">
        <v>290</v>
      </c>
      <c r="U828">
        <v>220</v>
      </c>
      <c r="V828" t="s">
        <v>9</v>
      </c>
      <c r="W828" t="s">
        <v>10</v>
      </c>
      <c r="X828" t="s">
        <v>11</v>
      </c>
      <c r="Y828" t="s">
        <v>12</v>
      </c>
      <c r="AF828" t="s">
        <v>13</v>
      </c>
      <c r="AG828" t="str">
        <f>HYPERLINK("https://doi.org/10.1515/9780748665914")</f>
        <v>https://doi.org/10.1515/9780748665914</v>
      </c>
      <c r="AH828" t="str">
        <f>HYPERLINK("http://www.degruyter.com/isbn/9780748665914")</f>
        <v>http://www.degruyter.com/isbn/9780748665914</v>
      </c>
      <c r="AI828" t="s">
        <v>4219</v>
      </c>
      <c r="AL828" t="s">
        <v>15</v>
      </c>
      <c r="AM828">
        <v>1</v>
      </c>
      <c r="AN828" s="2">
        <v>9780748611348</v>
      </c>
    </row>
    <row r="829" spans="1:40" x14ac:dyDescent="0.3">
      <c r="A829" t="s">
        <v>4220</v>
      </c>
      <c r="B829" t="s">
        <v>1</v>
      </c>
      <c r="C829" t="s">
        <v>4221</v>
      </c>
      <c r="D829" t="s">
        <v>4222</v>
      </c>
      <c r="E829" t="s">
        <v>4223</v>
      </c>
      <c r="F829" t="s">
        <v>5</v>
      </c>
      <c r="G829" t="s">
        <v>6</v>
      </c>
      <c r="L829" t="s">
        <v>7</v>
      </c>
      <c r="M829">
        <v>2010</v>
      </c>
      <c r="N829" s="1">
        <v>40437</v>
      </c>
      <c r="O829" t="s">
        <v>4224</v>
      </c>
      <c r="P829">
        <v>1</v>
      </c>
      <c r="S829">
        <v>217.95</v>
      </c>
      <c r="T829">
        <v>250</v>
      </c>
      <c r="U829">
        <v>190</v>
      </c>
      <c r="V829" t="s">
        <v>58</v>
      </c>
      <c r="W829" t="s">
        <v>59</v>
      </c>
      <c r="X829" t="s">
        <v>60</v>
      </c>
      <c r="Y829" t="s">
        <v>169</v>
      </c>
      <c r="AF829" t="s">
        <v>13</v>
      </c>
      <c r="AG829" t="str">
        <f>HYPERLINK("https://doi.org/10.1515/9780748643288?locatt=mode:legacy")</f>
        <v>https://doi.org/10.1515/9780748643288?locatt=mode:legacy</v>
      </c>
      <c r="AH829" t="str">
        <f>HYPERLINK("http://www.degruyter.com/isbn/9780748643288")</f>
        <v>http://www.degruyter.com/isbn/9780748643288</v>
      </c>
      <c r="AI829" t="s">
        <v>68</v>
      </c>
      <c r="AL829" t="s">
        <v>62</v>
      </c>
      <c r="AM829">
        <v>1</v>
      </c>
      <c r="AN829" s="2">
        <v>9780748640133</v>
      </c>
    </row>
    <row r="830" spans="1:40" x14ac:dyDescent="0.3">
      <c r="A830" t="s">
        <v>4225</v>
      </c>
      <c r="B830" t="s">
        <v>1</v>
      </c>
      <c r="C830" t="s">
        <v>4226</v>
      </c>
      <c r="E830" t="s">
        <v>4227</v>
      </c>
      <c r="F830" t="s">
        <v>5</v>
      </c>
      <c r="G830" t="s">
        <v>6</v>
      </c>
      <c r="L830" t="s">
        <v>7</v>
      </c>
      <c r="M830">
        <v>2016</v>
      </c>
      <c r="N830" s="1">
        <v>42506</v>
      </c>
      <c r="O830" t="s">
        <v>4228</v>
      </c>
      <c r="P830">
        <v>1</v>
      </c>
      <c r="S830">
        <v>209.95</v>
      </c>
      <c r="T830">
        <v>240</v>
      </c>
      <c r="U830">
        <v>180</v>
      </c>
      <c r="V830" t="s">
        <v>42</v>
      </c>
      <c r="W830" t="s">
        <v>116</v>
      </c>
      <c r="X830" t="s">
        <v>116</v>
      </c>
      <c r="Y830" t="s">
        <v>1129</v>
      </c>
      <c r="AF830" t="s">
        <v>13</v>
      </c>
      <c r="AG830" t="str">
        <f>HYPERLINK("https://doi.org/10.1515/9781474401715?locatt=mode:legacy")</f>
        <v>https://doi.org/10.1515/9781474401715?locatt=mode:legacy</v>
      </c>
      <c r="AH830" t="str">
        <f>HYPERLINK("http://www.degruyter.com/isbn/9781474401715")</f>
        <v>http://www.degruyter.com/isbn/9781474401715</v>
      </c>
      <c r="AI830" t="s">
        <v>180</v>
      </c>
      <c r="AJ830" t="s">
        <v>35</v>
      </c>
      <c r="AL830" t="s">
        <v>520</v>
      </c>
      <c r="AM830">
        <v>1</v>
      </c>
      <c r="AN830" s="2">
        <v>9781474401692</v>
      </c>
    </row>
    <row r="831" spans="1:40" x14ac:dyDescent="0.3">
      <c r="A831" t="s">
        <v>4229</v>
      </c>
      <c r="B831" t="s">
        <v>1</v>
      </c>
      <c r="C831" t="s">
        <v>4230</v>
      </c>
      <c r="E831" t="s">
        <v>4231</v>
      </c>
      <c r="F831" t="s">
        <v>5</v>
      </c>
      <c r="G831" t="s">
        <v>6</v>
      </c>
      <c r="L831" t="s">
        <v>7</v>
      </c>
      <c r="M831">
        <v>2004</v>
      </c>
      <c r="N831" s="1">
        <v>44622</v>
      </c>
      <c r="O831" t="s">
        <v>4232</v>
      </c>
      <c r="P831">
        <v>1</v>
      </c>
      <c r="S831">
        <v>261.95</v>
      </c>
      <c r="T831">
        <v>300</v>
      </c>
      <c r="U831">
        <v>230</v>
      </c>
      <c r="V831" t="s">
        <v>847</v>
      </c>
      <c r="W831" t="s">
        <v>2396</v>
      </c>
      <c r="X831" t="s">
        <v>2397</v>
      </c>
      <c r="Y831" t="s">
        <v>4233</v>
      </c>
      <c r="AF831" t="s">
        <v>13</v>
      </c>
      <c r="AG831" t="str">
        <f>HYPERLINK("https://doi.org/10.1515/9780748637560?locatt=mode:legacy")</f>
        <v>https://doi.org/10.1515/9780748637560?locatt=mode:legacy</v>
      </c>
      <c r="AH831" t="str">
        <f>HYPERLINK("http://www.degruyter.com/isbn/9780748637560")</f>
        <v>http://www.degruyter.com/isbn/9780748637560</v>
      </c>
      <c r="AI831" t="s">
        <v>68</v>
      </c>
      <c r="AL831" t="s">
        <v>1070</v>
      </c>
      <c r="AM831">
        <v>1</v>
      </c>
      <c r="AN831" s="2">
        <v>9780748612413</v>
      </c>
    </row>
    <row r="832" spans="1:40" x14ac:dyDescent="0.3">
      <c r="A832" t="s">
        <v>4234</v>
      </c>
      <c r="B832" t="s">
        <v>1</v>
      </c>
      <c r="C832" t="s">
        <v>4235</v>
      </c>
      <c r="E832" t="s">
        <v>4236</v>
      </c>
      <c r="F832" t="s">
        <v>5</v>
      </c>
      <c r="G832" t="s">
        <v>6</v>
      </c>
      <c r="L832" t="s">
        <v>7</v>
      </c>
      <c r="M832">
        <v>2005</v>
      </c>
      <c r="N832" s="1">
        <v>44719</v>
      </c>
      <c r="O832" t="s">
        <v>4237</v>
      </c>
      <c r="P832">
        <v>1</v>
      </c>
      <c r="S832">
        <v>217.95</v>
      </c>
      <c r="T832">
        <v>250</v>
      </c>
      <c r="U832">
        <v>190</v>
      </c>
      <c r="V832" t="s">
        <v>20</v>
      </c>
      <c r="W832" t="s">
        <v>470</v>
      </c>
      <c r="X832" t="s">
        <v>1269</v>
      </c>
      <c r="Y832" t="s">
        <v>1705</v>
      </c>
      <c r="AF832" t="s">
        <v>13</v>
      </c>
      <c r="AG832" t="str">
        <f>HYPERLINK("https://doi.org/10.1515/9781474468206")</f>
        <v>https://doi.org/10.1515/9781474468206</v>
      </c>
      <c r="AH832" t="str">
        <f>HYPERLINK("http://www.degruyter.com/isbn/9781474468206")</f>
        <v>http://www.degruyter.com/isbn/9781474468206</v>
      </c>
      <c r="AI832" t="s">
        <v>68</v>
      </c>
      <c r="AL832" t="s">
        <v>15</v>
      </c>
      <c r="AM832">
        <v>1</v>
      </c>
      <c r="AN832" s="2">
        <v>9780748619238</v>
      </c>
    </row>
    <row r="833" spans="1:40" x14ac:dyDescent="0.3">
      <c r="A833" t="s">
        <v>4238</v>
      </c>
      <c r="B833" t="s">
        <v>1</v>
      </c>
      <c r="C833" t="s">
        <v>4239</v>
      </c>
      <c r="D833" t="s">
        <v>4240</v>
      </c>
      <c r="E833" t="s">
        <v>4241</v>
      </c>
      <c r="F833" t="s">
        <v>5</v>
      </c>
      <c r="G833" t="s">
        <v>6</v>
      </c>
      <c r="K833" t="s">
        <v>929</v>
      </c>
      <c r="L833" t="s">
        <v>7</v>
      </c>
      <c r="M833">
        <v>2021</v>
      </c>
      <c r="N833" s="1">
        <v>44232</v>
      </c>
      <c r="O833" t="s">
        <v>4242</v>
      </c>
      <c r="P833">
        <v>1</v>
      </c>
      <c r="V833" t="s">
        <v>297</v>
      </c>
      <c r="W833" t="s">
        <v>4243</v>
      </c>
      <c r="X833" t="s">
        <v>4243</v>
      </c>
      <c r="Y833" t="s">
        <v>4244</v>
      </c>
      <c r="AF833" t="s">
        <v>13</v>
      </c>
      <c r="AG833" t="str">
        <f>HYPERLINK("https://doi.org/10.1515/9781474467537")</f>
        <v>https://doi.org/10.1515/9781474467537</v>
      </c>
      <c r="AH833" t="str">
        <f>HYPERLINK("http://www.degruyter.com/isbn/9781474467537")</f>
        <v>http://www.degruyter.com/isbn/9781474467537</v>
      </c>
      <c r="AI833" t="s">
        <v>4245</v>
      </c>
      <c r="AM833">
        <v>1</v>
      </c>
      <c r="AN833" s="2"/>
    </row>
    <row r="834" spans="1:40" x14ac:dyDescent="0.3">
      <c r="A834" t="s">
        <v>4246</v>
      </c>
      <c r="B834" t="s">
        <v>1</v>
      </c>
      <c r="C834" t="s">
        <v>4247</v>
      </c>
      <c r="E834" t="s">
        <v>4248</v>
      </c>
      <c r="F834" t="s">
        <v>5</v>
      </c>
      <c r="G834" t="s">
        <v>6</v>
      </c>
      <c r="L834" t="s">
        <v>7</v>
      </c>
      <c r="M834">
        <v>2006</v>
      </c>
      <c r="N834" s="1">
        <v>38918</v>
      </c>
      <c r="O834" t="s">
        <v>4249</v>
      </c>
      <c r="P834">
        <v>1</v>
      </c>
      <c r="S834">
        <v>113.95</v>
      </c>
      <c r="T834">
        <v>130</v>
      </c>
      <c r="U834">
        <v>100</v>
      </c>
      <c r="V834" t="s">
        <v>20</v>
      </c>
      <c r="W834" t="s">
        <v>21</v>
      </c>
      <c r="X834" t="s">
        <v>22</v>
      </c>
      <c r="Y834" t="s">
        <v>23</v>
      </c>
      <c r="AF834" t="s">
        <v>13</v>
      </c>
      <c r="AG834" t="str">
        <f>HYPERLINK("https://doi.org/10.1515/9780748627264")</f>
        <v>https://doi.org/10.1515/9780748627264</v>
      </c>
      <c r="AH834" t="str">
        <f>HYPERLINK("http://www.degruyter.com/isbn/9780748627264")</f>
        <v>http://www.degruyter.com/isbn/9780748627264</v>
      </c>
      <c r="AI834" t="s">
        <v>68</v>
      </c>
      <c r="AL834" t="s">
        <v>15</v>
      </c>
      <c r="AM834">
        <v>1</v>
      </c>
      <c r="AN834" s="2">
        <v>9780748623549</v>
      </c>
    </row>
    <row r="835" spans="1:40" x14ac:dyDescent="0.3">
      <c r="A835" t="s">
        <v>4250</v>
      </c>
      <c r="B835" t="s">
        <v>1</v>
      </c>
      <c r="C835" t="s">
        <v>4251</v>
      </c>
      <c r="D835" t="s">
        <v>4252</v>
      </c>
      <c r="E835" t="s">
        <v>4253</v>
      </c>
      <c r="F835" t="s">
        <v>5</v>
      </c>
      <c r="G835" t="s">
        <v>6</v>
      </c>
      <c r="L835" t="s">
        <v>7</v>
      </c>
      <c r="M835">
        <v>2003</v>
      </c>
      <c r="N835" s="1">
        <v>37875</v>
      </c>
      <c r="O835" t="s">
        <v>4254</v>
      </c>
      <c r="P835">
        <v>1</v>
      </c>
      <c r="S835">
        <v>321.95</v>
      </c>
      <c r="T835">
        <v>370</v>
      </c>
      <c r="U835">
        <v>280</v>
      </c>
      <c r="V835" t="s">
        <v>42</v>
      </c>
      <c r="W835" t="s">
        <v>116</v>
      </c>
      <c r="X835" t="s">
        <v>116</v>
      </c>
      <c r="Y835" t="s">
        <v>117</v>
      </c>
      <c r="AF835" t="s">
        <v>13</v>
      </c>
      <c r="AG835" t="str">
        <f>HYPERLINK("https://doi.org/10.1515/9781474468695")</f>
        <v>https://doi.org/10.1515/9781474468695</v>
      </c>
      <c r="AH835" t="str">
        <f>HYPERLINK("http://www.degruyter.com/isbn/9781474468695")</f>
        <v>http://www.degruyter.com/isbn/9781474468695</v>
      </c>
      <c r="AI835" t="s">
        <v>68</v>
      </c>
      <c r="AL835" t="s">
        <v>47</v>
      </c>
      <c r="AM835">
        <v>1</v>
      </c>
      <c r="AN835" s="2">
        <v>9780748615049</v>
      </c>
    </row>
    <row r="836" spans="1:40" x14ac:dyDescent="0.3">
      <c r="A836" t="s">
        <v>4255</v>
      </c>
      <c r="B836" t="s">
        <v>1</v>
      </c>
      <c r="C836" t="s">
        <v>4256</v>
      </c>
      <c r="D836" t="s">
        <v>4257</v>
      </c>
      <c r="E836" t="s">
        <v>4258</v>
      </c>
      <c r="F836" t="s">
        <v>5</v>
      </c>
      <c r="G836" t="s">
        <v>6</v>
      </c>
      <c r="K836" t="s">
        <v>4259</v>
      </c>
      <c r="L836" t="s">
        <v>7</v>
      </c>
      <c r="M836">
        <v>2020</v>
      </c>
      <c r="N836" s="1">
        <v>43837</v>
      </c>
      <c r="O836" t="s">
        <v>4260</v>
      </c>
      <c r="P836">
        <v>1</v>
      </c>
      <c r="V836" t="s">
        <v>42</v>
      </c>
      <c r="W836" t="s">
        <v>161</v>
      </c>
      <c r="X836" t="s">
        <v>4261</v>
      </c>
      <c r="Y836" t="s">
        <v>393</v>
      </c>
      <c r="AF836" t="s">
        <v>13</v>
      </c>
      <c r="AG836" t="str">
        <f>HYPERLINK("https://doi.org/10.1515/9781474456142")</f>
        <v>https://doi.org/10.1515/9781474456142</v>
      </c>
      <c r="AH836" t="str">
        <f>HYPERLINK("http://www.degruyter.com/isbn/9781474456142")</f>
        <v>http://www.degruyter.com/isbn/9781474456142</v>
      </c>
      <c r="AI836" t="s">
        <v>14</v>
      </c>
      <c r="AM836">
        <v>1</v>
      </c>
      <c r="AN836" s="2"/>
    </row>
    <row r="837" spans="1:40" x14ac:dyDescent="0.3">
      <c r="A837" t="s">
        <v>4262</v>
      </c>
      <c r="B837" t="s">
        <v>1</v>
      </c>
      <c r="C837" t="s">
        <v>4263</v>
      </c>
      <c r="D837" t="s">
        <v>4264</v>
      </c>
      <c r="E837" t="s">
        <v>4265</v>
      </c>
      <c r="F837" t="s">
        <v>5</v>
      </c>
      <c r="G837" t="s">
        <v>6</v>
      </c>
      <c r="L837" t="s">
        <v>7</v>
      </c>
      <c r="M837">
        <v>1998</v>
      </c>
      <c r="N837" s="1">
        <v>44607</v>
      </c>
      <c r="O837" t="s">
        <v>4266</v>
      </c>
      <c r="P837">
        <v>1</v>
      </c>
      <c r="S837">
        <v>217.95</v>
      </c>
      <c r="T837">
        <v>250</v>
      </c>
      <c r="U837">
        <v>190</v>
      </c>
      <c r="V837" t="s">
        <v>58</v>
      </c>
      <c r="W837" t="s">
        <v>129</v>
      </c>
      <c r="X837" t="s">
        <v>130</v>
      </c>
      <c r="Y837" t="s">
        <v>4267</v>
      </c>
      <c r="AF837" t="s">
        <v>13</v>
      </c>
      <c r="AG837" t="str">
        <f>HYPERLINK("https://doi.org/10.1515/9781474471275")</f>
        <v>https://doi.org/10.1515/9781474471275</v>
      </c>
      <c r="AH837" t="str">
        <f>HYPERLINK("http://www.degruyter.com/isbn/9781474471275")</f>
        <v>http://www.degruyter.com/isbn/9781474471275</v>
      </c>
      <c r="AI837" t="s">
        <v>24</v>
      </c>
      <c r="AL837" t="s">
        <v>62</v>
      </c>
      <c r="AM837">
        <v>1</v>
      </c>
      <c r="AN837" s="2">
        <v>9780748610730</v>
      </c>
    </row>
    <row r="838" spans="1:40" x14ac:dyDescent="0.3">
      <c r="A838" t="s">
        <v>4268</v>
      </c>
      <c r="B838" t="s">
        <v>1</v>
      </c>
      <c r="C838" t="s">
        <v>4269</v>
      </c>
      <c r="D838" t="s">
        <v>4270</v>
      </c>
      <c r="E838" t="s">
        <v>4271</v>
      </c>
      <c r="F838" t="s">
        <v>5</v>
      </c>
      <c r="G838" t="s">
        <v>6</v>
      </c>
      <c r="L838" t="s">
        <v>7</v>
      </c>
      <c r="M838">
        <v>2010</v>
      </c>
      <c r="N838" s="1">
        <v>40364</v>
      </c>
      <c r="O838" t="s">
        <v>4272</v>
      </c>
      <c r="P838">
        <v>1</v>
      </c>
      <c r="S838">
        <v>227.95</v>
      </c>
      <c r="T838">
        <v>260</v>
      </c>
      <c r="U838">
        <v>200</v>
      </c>
      <c r="V838" t="s">
        <v>42</v>
      </c>
      <c r="W838" t="s">
        <v>116</v>
      </c>
      <c r="X838" t="s">
        <v>116</v>
      </c>
      <c r="Y838" t="s">
        <v>117</v>
      </c>
      <c r="AF838" t="s">
        <v>13</v>
      </c>
      <c r="AG838" t="str">
        <f>HYPERLINK("https://doi.org/10.1515/9780748642861")</f>
        <v>https://doi.org/10.1515/9780748642861</v>
      </c>
      <c r="AH838" t="str">
        <f>HYPERLINK("http://www.degruyter.com/isbn/9780748642861")</f>
        <v>http://www.degruyter.com/isbn/9780748642861</v>
      </c>
      <c r="AI838" t="s">
        <v>68</v>
      </c>
      <c r="AL838" t="s">
        <v>47</v>
      </c>
      <c r="AM838">
        <v>1</v>
      </c>
      <c r="AN838" s="2">
        <v>9780748640850</v>
      </c>
    </row>
    <row r="839" spans="1:40" x14ac:dyDescent="0.3">
      <c r="A839" t="s">
        <v>4273</v>
      </c>
      <c r="B839" t="s">
        <v>1</v>
      </c>
      <c r="C839" t="s">
        <v>4274</v>
      </c>
      <c r="D839" t="s">
        <v>4275</v>
      </c>
      <c r="E839" t="s">
        <v>4276</v>
      </c>
      <c r="F839" t="s">
        <v>5</v>
      </c>
      <c r="G839" t="s">
        <v>6</v>
      </c>
      <c r="L839" t="s">
        <v>7</v>
      </c>
      <c r="M839">
        <v>1998</v>
      </c>
      <c r="N839" s="1">
        <v>44656</v>
      </c>
      <c r="O839" t="s">
        <v>4277</v>
      </c>
      <c r="P839">
        <v>1</v>
      </c>
      <c r="S839">
        <v>217.95</v>
      </c>
      <c r="T839">
        <v>250</v>
      </c>
      <c r="U839">
        <v>190</v>
      </c>
      <c r="V839" t="s">
        <v>79</v>
      </c>
      <c r="W839" t="s">
        <v>209</v>
      </c>
      <c r="X839" t="s">
        <v>209</v>
      </c>
      <c r="Y839" t="s">
        <v>510</v>
      </c>
      <c r="AF839" t="s">
        <v>13</v>
      </c>
      <c r="AG839" t="str">
        <f>HYPERLINK("https://doi.org/10.1515/9780585086828")</f>
        <v>https://doi.org/10.1515/9780585086828</v>
      </c>
      <c r="AH839" t="str">
        <f>HYPERLINK("http://www.degruyter.com/isbn/9780585086828")</f>
        <v>http://www.degruyter.com/isbn/9780585086828</v>
      </c>
      <c r="AI839" t="s">
        <v>24</v>
      </c>
      <c r="AL839" t="s">
        <v>83</v>
      </c>
      <c r="AM839">
        <v>1</v>
      </c>
      <c r="AN839" s="2">
        <v>9780748609475</v>
      </c>
    </row>
    <row r="840" spans="1:40" x14ac:dyDescent="0.3">
      <c r="A840" t="s">
        <v>4278</v>
      </c>
      <c r="B840" t="s">
        <v>1</v>
      </c>
      <c r="C840" t="s">
        <v>4279</v>
      </c>
      <c r="D840" t="s">
        <v>4280</v>
      </c>
      <c r="E840" t="s">
        <v>4281</v>
      </c>
      <c r="F840" t="s">
        <v>5</v>
      </c>
      <c r="G840" t="s">
        <v>6</v>
      </c>
      <c r="L840" t="s">
        <v>7</v>
      </c>
      <c r="M840">
        <v>2007</v>
      </c>
      <c r="N840" s="1">
        <v>39431</v>
      </c>
      <c r="O840" t="s">
        <v>4282</v>
      </c>
      <c r="P840">
        <v>1</v>
      </c>
      <c r="S840">
        <v>217.95</v>
      </c>
      <c r="T840">
        <v>250</v>
      </c>
      <c r="U840">
        <v>190</v>
      </c>
      <c r="V840" t="s">
        <v>42</v>
      </c>
      <c r="W840" t="s">
        <v>107</v>
      </c>
      <c r="X840" t="s">
        <v>108</v>
      </c>
      <c r="Y840" t="s">
        <v>109</v>
      </c>
      <c r="AF840" t="s">
        <v>13</v>
      </c>
      <c r="AG840" t="str">
        <f>HYPERLINK("https://doi.org/10.1515/9780748632558?locatt=mode:legacy")</f>
        <v>https://doi.org/10.1515/9780748632558?locatt=mode:legacy</v>
      </c>
      <c r="AH840" t="str">
        <f>HYPERLINK("http://www.degruyter.com/isbn/9780748632558")</f>
        <v>http://www.degruyter.com/isbn/9780748632558</v>
      </c>
      <c r="AI840" t="s">
        <v>68</v>
      </c>
      <c r="AL840" t="s">
        <v>47</v>
      </c>
      <c r="AM840">
        <v>1</v>
      </c>
      <c r="AN840" s="2">
        <v>9780748632657</v>
      </c>
    </row>
    <row r="841" spans="1:40" x14ac:dyDescent="0.3">
      <c r="A841" t="s">
        <v>4283</v>
      </c>
      <c r="B841" t="s">
        <v>1</v>
      </c>
      <c r="C841" t="s">
        <v>4284</v>
      </c>
      <c r="D841" t="s">
        <v>4285</v>
      </c>
      <c r="E841" t="s">
        <v>4286</v>
      </c>
      <c r="F841" t="s">
        <v>5</v>
      </c>
      <c r="G841" t="s">
        <v>6</v>
      </c>
      <c r="L841" t="s">
        <v>7</v>
      </c>
      <c r="M841">
        <v>2016</v>
      </c>
      <c r="N841" s="1">
        <v>42696</v>
      </c>
      <c r="O841" t="s">
        <v>4287</v>
      </c>
      <c r="P841">
        <v>1</v>
      </c>
      <c r="S841">
        <v>253.95</v>
      </c>
      <c r="T841">
        <v>290</v>
      </c>
      <c r="U841">
        <v>220</v>
      </c>
      <c r="V841" t="s">
        <v>20</v>
      </c>
      <c r="W841" t="s">
        <v>21</v>
      </c>
      <c r="X841" t="s">
        <v>22</v>
      </c>
      <c r="Y841" t="s">
        <v>489</v>
      </c>
      <c r="AF841" t="s">
        <v>13</v>
      </c>
      <c r="AG841" t="str">
        <f>HYPERLINK("https://doi.org/10.1515/9781474408035")</f>
        <v>https://doi.org/10.1515/9781474408035</v>
      </c>
      <c r="AH841" t="str">
        <f>HYPERLINK("http://www.degruyter.com/isbn/9781474408035")</f>
        <v>http://www.degruyter.com/isbn/9781474408035</v>
      </c>
      <c r="AI841" t="s">
        <v>180</v>
      </c>
      <c r="AL841" t="s">
        <v>15</v>
      </c>
      <c r="AM841">
        <v>1</v>
      </c>
      <c r="AN841" s="2">
        <v>9781474408011</v>
      </c>
    </row>
    <row r="842" spans="1:40" x14ac:dyDescent="0.3">
      <c r="A842" t="s">
        <v>4288</v>
      </c>
      <c r="B842" t="s">
        <v>1</v>
      </c>
      <c r="C842" t="s">
        <v>4289</v>
      </c>
      <c r="D842" t="s">
        <v>4290</v>
      </c>
      <c r="E842" t="s">
        <v>4291</v>
      </c>
      <c r="F842" t="s">
        <v>5</v>
      </c>
      <c r="G842" t="s">
        <v>6</v>
      </c>
      <c r="L842" t="s">
        <v>7</v>
      </c>
      <c r="M842">
        <v>2016</v>
      </c>
      <c r="N842" s="1">
        <v>42569</v>
      </c>
      <c r="O842" t="s">
        <v>4292</v>
      </c>
      <c r="P842">
        <v>1</v>
      </c>
      <c r="S842">
        <v>217.95</v>
      </c>
      <c r="T842">
        <v>250</v>
      </c>
      <c r="U842">
        <v>190</v>
      </c>
      <c r="V842" t="s">
        <v>20</v>
      </c>
      <c r="W842" t="s">
        <v>21</v>
      </c>
      <c r="X842" t="s">
        <v>458</v>
      </c>
      <c r="Y842" t="s">
        <v>459</v>
      </c>
      <c r="AF842" t="s">
        <v>13</v>
      </c>
      <c r="AG842" t="str">
        <f>HYPERLINK("https://doi.org/10.1515/9781474403122")</f>
        <v>https://doi.org/10.1515/9781474403122</v>
      </c>
      <c r="AH842" t="str">
        <f>HYPERLINK("http://www.degruyter.com/isbn/9781474403122")</f>
        <v>http://www.degruyter.com/isbn/9781474403122</v>
      </c>
      <c r="AI842" t="s">
        <v>180</v>
      </c>
      <c r="AJ842" t="s">
        <v>35</v>
      </c>
      <c r="AL842" t="s">
        <v>1346</v>
      </c>
      <c r="AM842">
        <v>1</v>
      </c>
      <c r="AN842" s="2">
        <v>9781474403115</v>
      </c>
    </row>
    <row r="843" spans="1:40" x14ac:dyDescent="0.3">
      <c r="A843" t="s">
        <v>4293</v>
      </c>
      <c r="B843" t="s">
        <v>1</v>
      </c>
      <c r="C843" t="s">
        <v>4294</v>
      </c>
      <c r="E843" t="s">
        <v>4295</v>
      </c>
      <c r="F843" t="s">
        <v>5</v>
      </c>
      <c r="G843" t="s">
        <v>6</v>
      </c>
      <c r="L843" t="s">
        <v>7</v>
      </c>
      <c r="M843">
        <v>2009</v>
      </c>
      <c r="N843" s="1">
        <v>40045</v>
      </c>
      <c r="O843" t="s">
        <v>4296</v>
      </c>
      <c r="P843">
        <v>1</v>
      </c>
      <c r="S843">
        <v>217.95</v>
      </c>
      <c r="T843">
        <v>250</v>
      </c>
      <c r="U843">
        <v>190</v>
      </c>
      <c r="V843" t="s">
        <v>98</v>
      </c>
      <c r="W843" t="s">
        <v>256</v>
      </c>
      <c r="X843" t="s">
        <v>4297</v>
      </c>
      <c r="Y843" t="s">
        <v>4298</v>
      </c>
      <c r="AF843" t="s">
        <v>13</v>
      </c>
      <c r="AG843" t="str">
        <f>HYPERLINK("https://doi.org/10.1515/9780748635122?locatt=mode:legacy")</f>
        <v>https://doi.org/10.1515/9780748635122?locatt=mode:legacy</v>
      </c>
      <c r="AH843" t="str">
        <f>HYPERLINK("http://www.degruyter.com/isbn/9780748635122")</f>
        <v>http://www.degruyter.com/isbn/9780748635122</v>
      </c>
      <c r="AI843" t="s">
        <v>68</v>
      </c>
      <c r="AL843" t="s">
        <v>102</v>
      </c>
      <c r="AM843">
        <v>1</v>
      </c>
      <c r="AN843" s="2">
        <v>9780748635115</v>
      </c>
    </row>
    <row r="844" spans="1:40" x14ac:dyDescent="0.3">
      <c r="A844" t="s">
        <v>4299</v>
      </c>
      <c r="B844" t="s">
        <v>1</v>
      </c>
      <c r="C844" t="s">
        <v>4300</v>
      </c>
      <c r="D844" t="s">
        <v>1146</v>
      </c>
      <c r="E844" t="s">
        <v>4301</v>
      </c>
      <c r="F844" t="s">
        <v>5</v>
      </c>
      <c r="G844" t="s">
        <v>6</v>
      </c>
      <c r="L844" t="s">
        <v>7</v>
      </c>
      <c r="M844">
        <v>1999</v>
      </c>
      <c r="N844" s="1">
        <v>44592</v>
      </c>
      <c r="O844" t="s">
        <v>4302</v>
      </c>
      <c r="P844">
        <v>1</v>
      </c>
      <c r="S844">
        <v>339.95</v>
      </c>
      <c r="T844">
        <v>390</v>
      </c>
      <c r="U844">
        <v>300</v>
      </c>
      <c r="V844" t="s">
        <v>58</v>
      </c>
      <c r="W844" t="s">
        <v>129</v>
      </c>
      <c r="X844" t="s">
        <v>130</v>
      </c>
      <c r="Y844" t="s">
        <v>131</v>
      </c>
      <c r="AF844" t="s">
        <v>13</v>
      </c>
      <c r="AG844" t="str">
        <f>HYPERLINK("https://doi.org/10.1515/9781474471770")</f>
        <v>https://doi.org/10.1515/9781474471770</v>
      </c>
      <c r="AH844" t="str">
        <f>HYPERLINK("http://www.degruyter.com/isbn/9781474471770")</f>
        <v>http://www.degruyter.com/isbn/9781474471770</v>
      </c>
      <c r="AI844" t="s">
        <v>3938</v>
      </c>
      <c r="AL844" t="s">
        <v>62</v>
      </c>
      <c r="AM844">
        <v>1</v>
      </c>
      <c r="AN844" s="2">
        <v>9780748610907</v>
      </c>
    </row>
    <row r="845" spans="1:40" x14ac:dyDescent="0.3">
      <c r="A845" t="s">
        <v>4303</v>
      </c>
      <c r="B845" t="s">
        <v>1</v>
      </c>
      <c r="C845" t="s">
        <v>4304</v>
      </c>
      <c r="D845" t="s">
        <v>4305</v>
      </c>
      <c r="E845" t="s">
        <v>4306</v>
      </c>
      <c r="F845" t="s">
        <v>5</v>
      </c>
      <c r="G845" t="s">
        <v>6</v>
      </c>
      <c r="L845" t="s">
        <v>7</v>
      </c>
      <c r="M845">
        <v>2011</v>
      </c>
      <c r="N845" s="1">
        <v>40857</v>
      </c>
      <c r="O845" t="s">
        <v>4307</v>
      </c>
      <c r="P845">
        <v>1</v>
      </c>
      <c r="S845">
        <v>69.95</v>
      </c>
      <c r="T845">
        <v>79.95</v>
      </c>
      <c r="U845">
        <v>59.98</v>
      </c>
      <c r="V845" t="s">
        <v>20</v>
      </c>
      <c r="W845" t="s">
        <v>21</v>
      </c>
      <c r="X845" t="s">
        <v>575</v>
      </c>
      <c r="Y845" t="s">
        <v>576</v>
      </c>
      <c r="AF845" t="s">
        <v>13</v>
      </c>
      <c r="AG845" t="str">
        <f>HYPERLINK("https://doi.org/10.1515/9781474473545")</f>
        <v>https://doi.org/10.1515/9781474473545</v>
      </c>
      <c r="AH845" t="str">
        <f>HYPERLINK("http://www.degruyter.com/isbn/9781474473545")</f>
        <v>http://www.degruyter.com/isbn/9781474473545</v>
      </c>
      <c r="AI845" t="s">
        <v>68</v>
      </c>
      <c r="AL845" t="s">
        <v>15</v>
      </c>
      <c r="AM845">
        <v>1</v>
      </c>
      <c r="AN845" s="2">
        <v>9781845860912</v>
      </c>
    </row>
    <row r="846" spans="1:40" x14ac:dyDescent="0.3">
      <c r="A846" t="s">
        <v>4308</v>
      </c>
      <c r="B846" t="s">
        <v>1</v>
      </c>
      <c r="C846" t="s">
        <v>4309</v>
      </c>
      <c r="D846" t="s">
        <v>4310</v>
      </c>
      <c r="E846" t="s">
        <v>4311</v>
      </c>
      <c r="F846" t="s">
        <v>5</v>
      </c>
      <c r="G846" t="s">
        <v>6</v>
      </c>
      <c r="L846" t="s">
        <v>7</v>
      </c>
      <c r="M846">
        <v>2016</v>
      </c>
      <c r="N846" s="1">
        <v>42501</v>
      </c>
      <c r="O846" t="s">
        <v>3925</v>
      </c>
      <c r="P846">
        <v>1</v>
      </c>
      <c r="S846">
        <v>253.95</v>
      </c>
      <c r="T846">
        <v>290</v>
      </c>
      <c r="U846">
        <v>220</v>
      </c>
      <c r="V846" t="s">
        <v>79</v>
      </c>
      <c r="W846" t="s">
        <v>227</v>
      </c>
      <c r="X846" t="s">
        <v>3926</v>
      </c>
      <c r="Y846" t="s">
        <v>3927</v>
      </c>
      <c r="AF846" t="s">
        <v>13</v>
      </c>
      <c r="AG846" t="str">
        <f>HYPERLINK("https://doi.org/10.1515/9781474414746")</f>
        <v>https://doi.org/10.1515/9781474414746</v>
      </c>
      <c r="AH846" t="str">
        <f>HYPERLINK("http://www.degruyter.com/isbn/9781474414746")</f>
        <v>http://www.degruyter.com/isbn/9781474414746</v>
      </c>
      <c r="AI846" t="s">
        <v>180</v>
      </c>
      <c r="AL846" t="s">
        <v>83</v>
      </c>
      <c r="AM846">
        <v>1</v>
      </c>
      <c r="AN846" s="2">
        <v>9781474414739</v>
      </c>
    </row>
    <row r="847" spans="1:40" x14ac:dyDescent="0.3">
      <c r="A847" t="s">
        <v>4312</v>
      </c>
      <c r="B847" t="s">
        <v>1</v>
      </c>
      <c r="C847" t="s">
        <v>4313</v>
      </c>
      <c r="D847" t="s">
        <v>4314</v>
      </c>
      <c r="E847" t="s">
        <v>4315</v>
      </c>
      <c r="F847" t="s">
        <v>5</v>
      </c>
      <c r="G847" t="s">
        <v>6</v>
      </c>
      <c r="L847" t="s">
        <v>7</v>
      </c>
      <c r="M847">
        <v>2015</v>
      </c>
      <c r="N847" s="1">
        <v>42024</v>
      </c>
      <c r="O847" t="s">
        <v>4316</v>
      </c>
      <c r="P847">
        <v>1</v>
      </c>
      <c r="S847">
        <v>217.95</v>
      </c>
      <c r="T847">
        <v>250</v>
      </c>
      <c r="U847">
        <v>190</v>
      </c>
      <c r="V847" t="s">
        <v>42</v>
      </c>
      <c r="W847" t="s">
        <v>107</v>
      </c>
      <c r="X847" t="s">
        <v>108</v>
      </c>
      <c r="Y847" t="s">
        <v>109</v>
      </c>
      <c r="AF847" t="s">
        <v>13</v>
      </c>
      <c r="AG847" t="str">
        <f>HYPERLINK("https://doi.org/10.1515/9780748647309")</f>
        <v>https://doi.org/10.1515/9780748647309</v>
      </c>
      <c r="AH847" t="str">
        <f>HYPERLINK("http://www.degruyter.com/isbn/9780748647309")</f>
        <v>http://www.degruyter.com/isbn/9780748647309</v>
      </c>
      <c r="AI847" t="s">
        <v>34</v>
      </c>
      <c r="AL847" t="s">
        <v>47</v>
      </c>
      <c r="AM847">
        <v>1</v>
      </c>
      <c r="AN847" s="2">
        <v>9780748647293</v>
      </c>
    </row>
    <row r="848" spans="1:40" x14ac:dyDescent="0.3">
      <c r="A848" t="s">
        <v>4317</v>
      </c>
      <c r="B848" t="s">
        <v>1</v>
      </c>
      <c r="C848" t="s">
        <v>4318</v>
      </c>
      <c r="D848" t="s">
        <v>4319</v>
      </c>
      <c r="E848" t="s">
        <v>4320</v>
      </c>
      <c r="F848" t="s">
        <v>5</v>
      </c>
      <c r="G848" t="s">
        <v>6</v>
      </c>
      <c r="L848" t="s">
        <v>7</v>
      </c>
      <c r="M848">
        <v>2015</v>
      </c>
      <c r="N848" s="1">
        <v>42235</v>
      </c>
      <c r="O848" t="s">
        <v>4321</v>
      </c>
      <c r="P848">
        <v>1</v>
      </c>
      <c r="S848">
        <v>217.95</v>
      </c>
      <c r="T848">
        <v>250</v>
      </c>
      <c r="U848">
        <v>190</v>
      </c>
      <c r="V848" t="s">
        <v>58</v>
      </c>
      <c r="W848" t="s">
        <v>59</v>
      </c>
      <c r="X848" t="s">
        <v>60</v>
      </c>
      <c r="Y848" t="s">
        <v>169</v>
      </c>
      <c r="AF848" t="s">
        <v>13</v>
      </c>
      <c r="AG848" t="str">
        <f>HYPERLINK("https://doi.org/10.1515/9780748697311?locatt=mode:legacy")</f>
        <v>https://doi.org/10.1515/9780748697311?locatt=mode:legacy</v>
      </c>
      <c r="AH848" t="str">
        <f>HYPERLINK("http://www.degruyter.com/isbn/9780748697311")</f>
        <v>http://www.degruyter.com/isbn/9780748697311</v>
      </c>
      <c r="AI848" t="s">
        <v>34</v>
      </c>
      <c r="AL848" t="s">
        <v>62</v>
      </c>
      <c r="AM848">
        <v>1</v>
      </c>
      <c r="AN848" s="2">
        <v>9780748697304</v>
      </c>
    </row>
    <row r="849" spans="1:40" x14ac:dyDescent="0.3">
      <c r="A849" t="s">
        <v>4322</v>
      </c>
      <c r="B849" t="s">
        <v>1</v>
      </c>
      <c r="C849" t="s">
        <v>4323</v>
      </c>
      <c r="D849" t="s">
        <v>4324</v>
      </c>
      <c r="E849" t="s">
        <v>4325</v>
      </c>
      <c r="F849" t="s">
        <v>5</v>
      </c>
      <c r="G849" t="s">
        <v>6</v>
      </c>
      <c r="L849" t="s">
        <v>7</v>
      </c>
      <c r="M849">
        <v>2005</v>
      </c>
      <c r="N849" s="1">
        <v>38476</v>
      </c>
      <c r="O849" t="s">
        <v>4326</v>
      </c>
      <c r="P849">
        <v>1</v>
      </c>
      <c r="S849">
        <v>287.95</v>
      </c>
      <c r="T849">
        <v>330</v>
      </c>
      <c r="U849">
        <v>250</v>
      </c>
      <c r="V849" t="s">
        <v>9</v>
      </c>
      <c r="W849" t="s">
        <v>10</v>
      </c>
      <c r="X849" t="s">
        <v>596</v>
      </c>
      <c r="Y849" t="s">
        <v>4327</v>
      </c>
      <c r="AF849" t="s">
        <v>13</v>
      </c>
      <c r="AG849" t="str">
        <f>HYPERLINK("https://doi.org/10.1515/9781474468268?locatt=mode:legacy")</f>
        <v>https://doi.org/10.1515/9781474468268?locatt=mode:legacy</v>
      </c>
      <c r="AH849" t="str">
        <f>HYPERLINK("http://www.degruyter.com/isbn/9781474468268")</f>
        <v>http://www.degruyter.com/isbn/9781474468268</v>
      </c>
      <c r="AI849" t="s">
        <v>68</v>
      </c>
      <c r="AL849" t="s">
        <v>15</v>
      </c>
      <c r="AM849">
        <v>1</v>
      </c>
      <c r="AN849" s="2">
        <v>9780748617173</v>
      </c>
    </row>
    <row r="850" spans="1:40" x14ac:dyDescent="0.3">
      <c r="A850" t="s">
        <v>4328</v>
      </c>
      <c r="B850" t="s">
        <v>1</v>
      </c>
      <c r="C850" t="s">
        <v>4329</v>
      </c>
      <c r="E850" t="s">
        <v>4330</v>
      </c>
      <c r="F850" t="s">
        <v>5</v>
      </c>
      <c r="G850" t="s">
        <v>6</v>
      </c>
      <c r="L850" t="s">
        <v>7</v>
      </c>
      <c r="M850">
        <v>2013</v>
      </c>
      <c r="N850" s="1">
        <v>41281</v>
      </c>
      <c r="O850" t="s">
        <v>2522</v>
      </c>
      <c r="P850">
        <v>1</v>
      </c>
      <c r="S850">
        <v>217.95</v>
      </c>
      <c r="T850">
        <v>250</v>
      </c>
      <c r="U850">
        <v>190</v>
      </c>
      <c r="V850" t="s">
        <v>9</v>
      </c>
      <c r="W850" t="s">
        <v>10</v>
      </c>
      <c r="X850" t="s">
        <v>11</v>
      </c>
      <c r="Y850" t="s">
        <v>52</v>
      </c>
      <c r="AF850" t="s">
        <v>13</v>
      </c>
      <c r="AG850" t="str">
        <f>HYPERLINK("https://doi.org/10.1515/9780748646913")</f>
        <v>https://doi.org/10.1515/9780748646913</v>
      </c>
      <c r="AH850" t="str">
        <f>HYPERLINK("http://www.degruyter.com/isbn/9780748646913")</f>
        <v>http://www.degruyter.com/isbn/9780748646913</v>
      </c>
      <c r="AI850" t="s">
        <v>68</v>
      </c>
      <c r="AL850" t="s">
        <v>15</v>
      </c>
      <c r="AM850">
        <v>1</v>
      </c>
      <c r="AN850" s="2">
        <v>9780748646906</v>
      </c>
    </row>
    <row r="851" spans="1:40" x14ac:dyDescent="0.3">
      <c r="A851" t="s">
        <v>4331</v>
      </c>
      <c r="B851" t="s">
        <v>1</v>
      </c>
      <c r="C851" t="s">
        <v>4332</v>
      </c>
      <c r="D851" t="s">
        <v>4333</v>
      </c>
      <c r="E851" t="s">
        <v>4334</v>
      </c>
      <c r="F851" t="s">
        <v>5</v>
      </c>
      <c r="G851" t="s">
        <v>6</v>
      </c>
      <c r="L851" t="s">
        <v>7</v>
      </c>
      <c r="M851">
        <v>2003</v>
      </c>
      <c r="N851" s="1">
        <v>44607</v>
      </c>
      <c r="O851" t="s">
        <v>4335</v>
      </c>
      <c r="P851">
        <v>1</v>
      </c>
      <c r="S851">
        <v>217.95</v>
      </c>
      <c r="T851">
        <v>250</v>
      </c>
      <c r="U851">
        <v>190</v>
      </c>
      <c r="V851" t="s">
        <v>20</v>
      </c>
      <c r="W851" t="s">
        <v>1018</v>
      </c>
      <c r="X851" t="s">
        <v>1018</v>
      </c>
      <c r="Y851" t="s">
        <v>2215</v>
      </c>
      <c r="AF851" t="s">
        <v>13</v>
      </c>
      <c r="AG851" t="str">
        <f>HYPERLINK("https://doi.org/10.1515/9781474465434")</f>
        <v>https://doi.org/10.1515/9781474465434</v>
      </c>
      <c r="AH851" t="str">
        <f>HYPERLINK("http://www.degruyter.com/isbn/9781474465434")</f>
        <v>http://www.degruyter.com/isbn/9781474465434</v>
      </c>
      <c r="AI851" t="s">
        <v>68</v>
      </c>
      <c r="AL851" t="s">
        <v>15</v>
      </c>
      <c r="AM851">
        <v>1</v>
      </c>
      <c r="AN851" s="2">
        <v>9780748612994</v>
      </c>
    </row>
    <row r="852" spans="1:40" x14ac:dyDescent="0.3">
      <c r="A852" t="s">
        <v>4336</v>
      </c>
      <c r="B852" t="s">
        <v>1</v>
      </c>
      <c r="C852" t="s">
        <v>4337</v>
      </c>
      <c r="D852" t="s">
        <v>4338</v>
      </c>
      <c r="E852" t="s">
        <v>4339</v>
      </c>
      <c r="F852" t="s">
        <v>5</v>
      </c>
      <c r="G852" t="s">
        <v>6</v>
      </c>
      <c r="L852" t="s">
        <v>7</v>
      </c>
      <c r="M852">
        <v>2021</v>
      </c>
      <c r="N852" s="1">
        <v>44644</v>
      </c>
      <c r="O852" t="s">
        <v>4340</v>
      </c>
      <c r="P852">
        <v>1</v>
      </c>
      <c r="S852">
        <v>227.95</v>
      </c>
      <c r="T852">
        <v>260</v>
      </c>
      <c r="U852">
        <v>200</v>
      </c>
      <c r="V852" t="s">
        <v>9</v>
      </c>
      <c r="W852" t="s">
        <v>10</v>
      </c>
      <c r="X852" t="s">
        <v>11</v>
      </c>
      <c r="Y852" t="s">
        <v>52</v>
      </c>
      <c r="AF852" t="s">
        <v>13</v>
      </c>
      <c r="AG852" t="str">
        <f>HYPERLINK("https://doi.org/10.1515/9781474456296")</f>
        <v>https://doi.org/10.1515/9781474456296</v>
      </c>
      <c r="AH852" t="str">
        <f>HYPERLINK("http://www.degruyter.com/isbn/9781474456296")</f>
        <v>http://www.degruyter.com/isbn/9781474456296</v>
      </c>
      <c r="AI852" t="s">
        <v>216</v>
      </c>
      <c r="AL852" t="s">
        <v>15</v>
      </c>
      <c r="AM852">
        <v>1</v>
      </c>
      <c r="AN852" s="2">
        <v>9781474456272</v>
      </c>
    </row>
    <row r="853" spans="1:40" x14ac:dyDescent="0.3">
      <c r="A853" t="s">
        <v>4341</v>
      </c>
      <c r="B853" t="s">
        <v>1</v>
      </c>
      <c r="C853" t="s">
        <v>4342</v>
      </c>
      <c r="E853" t="s">
        <v>4343</v>
      </c>
      <c r="F853" t="s">
        <v>5</v>
      </c>
      <c r="G853" t="s">
        <v>6</v>
      </c>
      <c r="L853" t="s">
        <v>7</v>
      </c>
      <c r="M853">
        <v>2014</v>
      </c>
      <c r="N853" s="1">
        <v>41904</v>
      </c>
      <c r="O853" t="s">
        <v>4344</v>
      </c>
      <c r="P853">
        <v>1</v>
      </c>
      <c r="S853">
        <v>417.95</v>
      </c>
      <c r="T853">
        <v>480</v>
      </c>
      <c r="U853">
        <v>370</v>
      </c>
      <c r="V853" t="s">
        <v>42</v>
      </c>
      <c r="W853" t="s">
        <v>116</v>
      </c>
      <c r="X853" t="s">
        <v>116</v>
      </c>
      <c r="Y853" t="s">
        <v>1129</v>
      </c>
      <c r="AF853" t="s">
        <v>13</v>
      </c>
      <c r="AG853" t="str">
        <f>HYPERLINK("https://doi.org/10.1515/9780748692095")</f>
        <v>https://doi.org/10.1515/9780748692095</v>
      </c>
      <c r="AH853" t="str">
        <f>HYPERLINK("http://www.degruyter.com/isbn/9780748692095")</f>
        <v>http://www.degruyter.com/isbn/9780748692095</v>
      </c>
      <c r="AI853" t="s">
        <v>34</v>
      </c>
      <c r="AL853" t="s">
        <v>47</v>
      </c>
      <c r="AM853">
        <v>1</v>
      </c>
      <c r="AN853" s="2">
        <v>9780748692088</v>
      </c>
    </row>
    <row r="854" spans="1:40" x14ac:dyDescent="0.3">
      <c r="A854" t="s">
        <v>4345</v>
      </c>
      <c r="B854" t="s">
        <v>1</v>
      </c>
      <c r="C854" t="s">
        <v>4346</v>
      </c>
      <c r="D854" t="s">
        <v>4347</v>
      </c>
      <c r="E854" t="s">
        <v>4348</v>
      </c>
      <c r="F854" t="s">
        <v>5</v>
      </c>
      <c r="G854" t="s">
        <v>6</v>
      </c>
      <c r="L854" t="s">
        <v>7</v>
      </c>
      <c r="M854">
        <v>2017</v>
      </c>
      <c r="N854" s="1">
        <v>42816</v>
      </c>
      <c r="O854" t="s">
        <v>4349</v>
      </c>
      <c r="P854">
        <v>1</v>
      </c>
      <c r="S854">
        <v>217.95</v>
      </c>
      <c r="T854">
        <v>250</v>
      </c>
      <c r="U854">
        <v>190</v>
      </c>
      <c r="V854" t="s">
        <v>42</v>
      </c>
      <c r="W854" t="s">
        <v>116</v>
      </c>
      <c r="X854" t="s">
        <v>116</v>
      </c>
      <c r="Y854" t="s">
        <v>971</v>
      </c>
      <c r="AF854" t="s">
        <v>13</v>
      </c>
      <c r="AG854" t="str">
        <f>HYPERLINK("https://doi.org/10.1515/9781474416375?locatt=mode:legacy")</f>
        <v>https://doi.org/10.1515/9781474416375?locatt=mode:legacy</v>
      </c>
      <c r="AH854" t="str">
        <f>HYPERLINK("http://www.degruyter.com/isbn/9781474416375")</f>
        <v>http://www.degruyter.com/isbn/9781474416375</v>
      </c>
      <c r="AI854" t="s">
        <v>222</v>
      </c>
      <c r="AL854" t="s">
        <v>47</v>
      </c>
      <c r="AM854">
        <v>1</v>
      </c>
      <c r="AN854" s="2">
        <v>9781474416368</v>
      </c>
    </row>
    <row r="855" spans="1:40" x14ac:dyDescent="0.3">
      <c r="A855" t="s">
        <v>4350</v>
      </c>
      <c r="B855" t="s">
        <v>1</v>
      </c>
      <c r="C855" t="s">
        <v>4351</v>
      </c>
      <c r="E855" t="s">
        <v>4352</v>
      </c>
      <c r="F855" t="s">
        <v>5</v>
      </c>
      <c r="G855" t="s">
        <v>6</v>
      </c>
      <c r="L855" t="s">
        <v>7</v>
      </c>
      <c r="M855">
        <v>1999</v>
      </c>
      <c r="N855" s="1">
        <v>44719</v>
      </c>
      <c r="O855" t="s">
        <v>4353</v>
      </c>
      <c r="P855">
        <v>1</v>
      </c>
      <c r="S855">
        <v>217.95</v>
      </c>
      <c r="T855">
        <v>250</v>
      </c>
      <c r="U855">
        <v>190</v>
      </c>
      <c r="V855" t="s">
        <v>79</v>
      </c>
      <c r="W855" t="s">
        <v>209</v>
      </c>
      <c r="X855" t="s">
        <v>209</v>
      </c>
      <c r="Y855" t="s">
        <v>510</v>
      </c>
      <c r="AF855" t="s">
        <v>13</v>
      </c>
      <c r="AG855" t="str">
        <f>HYPERLINK("https://doi.org/10.1515/9781474471176")</f>
        <v>https://doi.org/10.1515/9781474471176</v>
      </c>
      <c r="AH855" t="str">
        <f>HYPERLINK("http://www.degruyter.com/isbn/9781474471176")</f>
        <v>http://www.degruyter.com/isbn/9781474471176</v>
      </c>
      <c r="AI855" t="s">
        <v>24</v>
      </c>
      <c r="AL855" t="s">
        <v>83</v>
      </c>
      <c r="AM855">
        <v>1</v>
      </c>
      <c r="AN855" s="2">
        <v>9780748609574</v>
      </c>
    </row>
    <row r="856" spans="1:40" x14ac:dyDescent="0.3">
      <c r="A856" t="s">
        <v>4354</v>
      </c>
      <c r="B856" t="s">
        <v>1</v>
      </c>
      <c r="C856" t="s">
        <v>4355</v>
      </c>
      <c r="D856" t="s">
        <v>4356</v>
      </c>
      <c r="E856" t="s">
        <v>4357</v>
      </c>
      <c r="F856" t="s">
        <v>5</v>
      </c>
      <c r="G856" t="s">
        <v>6</v>
      </c>
      <c r="L856" t="s">
        <v>7</v>
      </c>
      <c r="M856">
        <v>2016</v>
      </c>
      <c r="N856" s="1">
        <v>42451</v>
      </c>
      <c r="O856" t="s">
        <v>4358</v>
      </c>
      <c r="P856">
        <v>1</v>
      </c>
      <c r="S856">
        <v>217.95</v>
      </c>
      <c r="T856">
        <v>250</v>
      </c>
      <c r="U856">
        <v>190</v>
      </c>
      <c r="V856" t="s">
        <v>20</v>
      </c>
      <c r="W856" t="s">
        <v>21</v>
      </c>
      <c r="X856" t="s">
        <v>3919</v>
      </c>
      <c r="Y856" t="s">
        <v>4359</v>
      </c>
      <c r="AF856" t="s">
        <v>13</v>
      </c>
      <c r="AG856" t="str">
        <f>HYPERLINK("https://doi.org/10.1515/9781474410076?locatt=mode:legacy")</f>
        <v>https://doi.org/10.1515/9781474410076?locatt=mode:legacy</v>
      </c>
      <c r="AH856" t="str">
        <f>HYPERLINK("http://www.degruyter.com/isbn/9781474410076")</f>
        <v>http://www.degruyter.com/isbn/9781474410076</v>
      </c>
      <c r="AI856" t="s">
        <v>1941</v>
      </c>
      <c r="AL856" t="s">
        <v>15</v>
      </c>
      <c r="AM856">
        <v>1</v>
      </c>
      <c r="AN856" s="2">
        <v>9780748642946</v>
      </c>
    </row>
    <row r="857" spans="1:40" x14ac:dyDescent="0.3">
      <c r="A857" t="s">
        <v>4360</v>
      </c>
      <c r="B857" t="s">
        <v>1</v>
      </c>
      <c r="C857" t="s">
        <v>4361</v>
      </c>
      <c r="E857" t="s">
        <v>4362</v>
      </c>
      <c r="F857" t="s">
        <v>5</v>
      </c>
      <c r="G857" t="s">
        <v>6</v>
      </c>
      <c r="L857" t="s">
        <v>7</v>
      </c>
      <c r="M857">
        <v>2003</v>
      </c>
      <c r="N857" s="1">
        <v>44599</v>
      </c>
      <c r="O857" t="s">
        <v>4363</v>
      </c>
      <c r="P857">
        <v>1</v>
      </c>
      <c r="S857">
        <v>217.95</v>
      </c>
      <c r="T857">
        <v>250</v>
      </c>
      <c r="U857">
        <v>190</v>
      </c>
      <c r="V857" t="s">
        <v>98</v>
      </c>
      <c r="W857" t="s">
        <v>99</v>
      </c>
      <c r="X857" t="s">
        <v>386</v>
      </c>
      <c r="Y857" t="s">
        <v>387</v>
      </c>
      <c r="AF857" t="s">
        <v>13</v>
      </c>
      <c r="AG857" t="str">
        <f>HYPERLINK("https://doi.org/10.1515/9781474471411")</f>
        <v>https://doi.org/10.1515/9781474471411</v>
      </c>
      <c r="AH857" t="str">
        <f>HYPERLINK("http://www.degruyter.com/isbn/9781474471411")</f>
        <v>http://www.degruyter.com/isbn/9781474471411</v>
      </c>
      <c r="AI857" t="s">
        <v>68</v>
      </c>
      <c r="AL857" t="s">
        <v>102</v>
      </c>
      <c r="AM857">
        <v>1</v>
      </c>
      <c r="AN857" s="2">
        <v>9780748618286</v>
      </c>
    </row>
    <row r="858" spans="1:40" x14ac:dyDescent="0.3">
      <c r="A858" t="s">
        <v>4364</v>
      </c>
      <c r="B858" t="s">
        <v>1</v>
      </c>
      <c r="C858" t="s">
        <v>4365</v>
      </c>
      <c r="D858" t="s">
        <v>4366</v>
      </c>
      <c r="E858" t="s">
        <v>4367</v>
      </c>
      <c r="F858" t="s">
        <v>5</v>
      </c>
      <c r="G858" t="s">
        <v>6</v>
      </c>
      <c r="K858" t="s">
        <v>923</v>
      </c>
      <c r="L858" t="s">
        <v>7</v>
      </c>
      <c r="M858">
        <v>2016</v>
      </c>
      <c r="N858" s="1">
        <v>42453</v>
      </c>
      <c r="O858" t="s">
        <v>4368</v>
      </c>
      <c r="P858">
        <v>1</v>
      </c>
      <c r="V858" t="s">
        <v>58</v>
      </c>
      <c r="W858" t="s">
        <v>59</v>
      </c>
      <c r="X858" t="s">
        <v>60</v>
      </c>
      <c r="Y858" t="s">
        <v>1669</v>
      </c>
      <c r="AF858" t="s">
        <v>13</v>
      </c>
      <c r="AG858" t="str">
        <f>HYPERLINK("https://doi.org/10.1515/9781474410434?locatt=mode:legacy")</f>
        <v>https://doi.org/10.1515/9781474410434?locatt=mode:legacy</v>
      </c>
      <c r="AH858" t="str">
        <f>HYPERLINK("http://www.degruyter.com/isbn/9781474410434")</f>
        <v>http://www.degruyter.com/isbn/9781474410434</v>
      </c>
      <c r="AI858" t="s">
        <v>180</v>
      </c>
      <c r="AM858">
        <v>1</v>
      </c>
      <c r="AN858" s="2"/>
    </row>
    <row r="859" spans="1:40" x14ac:dyDescent="0.3">
      <c r="A859" t="s">
        <v>4369</v>
      </c>
      <c r="B859" t="s">
        <v>1</v>
      </c>
      <c r="C859" t="s">
        <v>4370</v>
      </c>
      <c r="E859" t="s">
        <v>4371</v>
      </c>
      <c r="F859" t="s">
        <v>5</v>
      </c>
      <c r="G859" t="s">
        <v>6</v>
      </c>
      <c r="L859" t="s">
        <v>7</v>
      </c>
      <c r="M859">
        <v>1997</v>
      </c>
      <c r="N859" s="1">
        <v>44683</v>
      </c>
      <c r="O859" t="s">
        <v>4372</v>
      </c>
      <c r="P859">
        <v>1</v>
      </c>
      <c r="S859">
        <v>217.95</v>
      </c>
      <c r="T859">
        <v>250</v>
      </c>
      <c r="U859">
        <v>190</v>
      </c>
      <c r="V859" t="s">
        <v>79</v>
      </c>
      <c r="W859" t="s">
        <v>123</v>
      </c>
      <c r="X859" t="s">
        <v>123</v>
      </c>
      <c r="Y859" t="s">
        <v>124</v>
      </c>
      <c r="AF859" t="s">
        <v>13</v>
      </c>
      <c r="AG859" t="str">
        <f>HYPERLINK("https://doi.org/10.1515/9781474400374")</f>
        <v>https://doi.org/10.1515/9781474400374</v>
      </c>
      <c r="AH859" t="str">
        <f>HYPERLINK("http://www.degruyter.com/isbn/9781474400374")</f>
        <v>http://www.degruyter.com/isbn/9781474400374</v>
      </c>
      <c r="AI859" t="s">
        <v>24</v>
      </c>
      <c r="AL859" t="s">
        <v>83</v>
      </c>
      <c r="AM859">
        <v>1</v>
      </c>
      <c r="AN859" s="2">
        <v>9780748609116</v>
      </c>
    </row>
    <row r="860" spans="1:40" x14ac:dyDescent="0.3">
      <c r="A860" t="s">
        <v>4373</v>
      </c>
      <c r="B860" t="s">
        <v>1</v>
      </c>
      <c r="C860" t="s">
        <v>4374</v>
      </c>
      <c r="D860" t="s">
        <v>4375</v>
      </c>
      <c r="E860" t="s">
        <v>4376</v>
      </c>
      <c r="F860" t="s">
        <v>5</v>
      </c>
      <c r="G860" t="s">
        <v>6</v>
      </c>
      <c r="L860" t="s">
        <v>7</v>
      </c>
      <c r="M860">
        <v>2014</v>
      </c>
      <c r="N860" s="1">
        <v>41737</v>
      </c>
      <c r="O860" t="s">
        <v>4377</v>
      </c>
      <c r="P860">
        <v>1</v>
      </c>
      <c r="S860">
        <v>217.95</v>
      </c>
      <c r="T860">
        <v>250</v>
      </c>
      <c r="U860">
        <v>190</v>
      </c>
      <c r="V860" t="s">
        <v>42</v>
      </c>
      <c r="W860" t="s">
        <v>43</v>
      </c>
      <c r="X860" t="s">
        <v>44</v>
      </c>
      <c r="Y860" t="s">
        <v>45</v>
      </c>
      <c r="AF860" t="s">
        <v>13</v>
      </c>
      <c r="AG860" t="str">
        <f>HYPERLINK("https://doi.org/10.1515/9780748691678")</f>
        <v>https://doi.org/10.1515/9780748691678</v>
      </c>
      <c r="AH860" t="str">
        <f>HYPERLINK("http://www.degruyter.com/isbn/9780748691678")</f>
        <v>http://www.degruyter.com/isbn/9780748691678</v>
      </c>
      <c r="AI860" t="s">
        <v>34</v>
      </c>
      <c r="AL860" t="s">
        <v>47</v>
      </c>
      <c r="AM860">
        <v>1</v>
      </c>
      <c r="AN860" s="2">
        <v>9780748691661</v>
      </c>
    </row>
    <row r="861" spans="1:40" x14ac:dyDescent="0.3">
      <c r="A861" t="s">
        <v>4378</v>
      </c>
      <c r="B861" t="s">
        <v>1</v>
      </c>
      <c r="C861" t="s">
        <v>4379</v>
      </c>
      <c r="E861" t="s">
        <v>4380</v>
      </c>
      <c r="F861" t="s">
        <v>5</v>
      </c>
      <c r="G861" t="s">
        <v>6</v>
      </c>
      <c r="L861" t="s">
        <v>7</v>
      </c>
      <c r="M861">
        <v>2007</v>
      </c>
      <c r="N861" s="1">
        <v>39407</v>
      </c>
      <c r="O861" t="s">
        <v>4381</v>
      </c>
      <c r="P861">
        <v>1</v>
      </c>
      <c r="S861">
        <v>227.95</v>
      </c>
      <c r="T861">
        <v>260</v>
      </c>
      <c r="U861">
        <v>200</v>
      </c>
      <c r="V861" t="s">
        <v>42</v>
      </c>
      <c r="W861" t="s">
        <v>43</v>
      </c>
      <c r="X861" t="s">
        <v>178</v>
      </c>
      <c r="Y861" t="s">
        <v>4382</v>
      </c>
      <c r="AF861" t="s">
        <v>13</v>
      </c>
      <c r="AG861" t="str">
        <f>HYPERLINK("https://doi.org/10.1515/9780748631629?locatt=mode:legacy")</f>
        <v>https://doi.org/10.1515/9780748631629?locatt=mode:legacy</v>
      </c>
      <c r="AH861" t="str">
        <f>HYPERLINK("http://www.degruyter.com/isbn/9780748631629")</f>
        <v>http://www.degruyter.com/isbn/9780748631629</v>
      </c>
      <c r="AI861" t="s">
        <v>68</v>
      </c>
      <c r="AL861" t="s">
        <v>47</v>
      </c>
      <c r="AM861">
        <v>1</v>
      </c>
      <c r="AN861" s="2">
        <v>9780748627653</v>
      </c>
    </row>
    <row r="862" spans="1:40" x14ac:dyDescent="0.3">
      <c r="A862" t="s">
        <v>4383</v>
      </c>
      <c r="B862" t="s">
        <v>1</v>
      </c>
      <c r="C862" t="s">
        <v>4384</v>
      </c>
      <c r="D862" t="s">
        <v>4385</v>
      </c>
      <c r="E862" t="s">
        <v>4386</v>
      </c>
      <c r="F862" t="s">
        <v>5</v>
      </c>
      <c r="G862" t="s">
        <v>6</v>
      </c>
      <c r="L862" t="s">
        <v>7</v>
      </c>
      <c r="M862">
        <v>2015</v>
      </c>
      <c r="N862" s="1">
        <v>42197</v>
      </c>
      <c r="O862" t="s">
        <v>4387</v>
      </c>
      <c r="P862">
        <v>1</v>
      </c>
      <c r="S862">
        <v>217.95</v>
      </c>
      <c r="T862">
        <v>250</v>
      </c>
      <c r="U862">
        <v>190</v>
      </c>
      <c r="V862" t="s">
        <v>58</v>
      </c>
      <c r="W862" t="s">
        <v>59</v>
      </c>
      <c r="X862" t="s">
        <v>278</v>
      </c>
      <c r="Y862" t="s">
        <v>279</v>
      </c>
      <c r="AF862" t="s">
        <v>13</v>
      </c>
      <c r="AG862" t="str">
        <f>HYPERLINK("https://doi.org/10.1515/9780748696178?locatt=mode:legacy")</f>
        <v>https://doi.org/10.1515/9780748696178?locatt=mode:legacy</v>
      </c>
      <c r="AH862" t="str">
        <f>HYPERLINK("http://www.degruyter.com/isbn/9780748696178")</f>
        <v>http://www.degruyter.com/isbn/9780748696178</v>
      </c>
      <c r="AI862" t="s">
        <v>34</v>
      </c>
      <c r="AL862" t="s">
        <v>62</v>
      </c>
      <c r="AM862">
        <v>1</v>
      </c>
      <c r="AN862" s="2">
        <v>9780748696161</v>
      </c>
    </row>
    <row r="863" spans="1:40" x14ac:dyDescent="0.3">
      <c r="A863" t="s">
        <v>4388</v>
      </c>
      <c r="B863" t="s">
        <v>1</v>
      </c>
      <c r="C863" t="s">
        <v>4389</v>
      </c>
      <c r="D863" t="s">
        <v>4390</v>
      </c>
      <c r="E863" t="s">
        <v>4391</v>
      </c>
      <c r="F863" t="s">
        <v>5</v>
      </c>
      <c r="G863" t="s">
        <v>6</v>
      </c>
      <c r="L863" t="s">
        <v>7</v>
      </c>
      <c r="M863">
        <v>2015</v>
      </c>
      <c r="N863" s="1">
        <v>42144</v>
      </c>
      <c r="O863" t="s">
        <v>4392</v>
      </c>
      <c r="P863">
        <v>1</v>
      </c>
      <c r="S863">
        <v>253.95</v>
      </c>
      <c r="T863">
        <v>290</v>
      </c>
      <c r="U863">
        <v>220</v>
      </c>
      <c r="V863" t="s">
        <v>20</v>
      </c>
      <c r="W863" t="s">
        <v>21</v>
      </c>
      <c r="X863" t="s">
        <v>22</v>
      </c>
      <c r="Y863" t="s">
        <v>489</v>
      </c>
      <c r="AF863" t="s">
        <v>13</v>
      </c>
      <c r="AG863" t="str">
        <f>HYPERLINK("https://doi.org/10.1515/9780748676743")</f>
        <v>https://doi.org/10.1515/9780748676743</v>
      </c>
      <c r="AH863" t="str">
        <f>HYPERLINK("http://www.degruyter.com/isbn/9780748676743")</f>
        <v>http://www.degruyter.com/isbn/9780748676743</v>
      </c>
      <c r="AI863" t="s">
        <v>34</v>
      </c>
      <c r="AL863" t="s">
        <v>15</v>
      </c>
      <c r="AM863">
        <v>1</v>
      </c>
      <c r="AN863" s="2">
        <v>9780748676736</v>
      </c>
    </row>
    <row r="864" spans="1:40" x14ac:dyDescent="0.3">
      <c r="A864" t="s">
        <v>4393</v>
      </c>
      <c r="B864" t="s">
        <v>1</v>
      </c>
      <c r="C864" t="s">
        <v>4394</v>
      </c>
      <c r="E864" t="s">
        <v>4395</v>
      </c>
      <c r="F864" t="s">
        <v>5</v>
      </c>
      <c r="G864" t="s">
        <v>6</v>
      </c>
      <c r="L864" t="s">
        <v>7</v>
      </c>
      <c r="M864">
        <v>1996</v>
      </c>
      <c r="N864" s="1">
        <v>44599</v>
      </c>
      <c r="O864" t="s">
        <v>4396</v>
      </c>
      <c r="P864">
        <v>1</v>
      </c>
      <c r="S864">
        <v>339.95</v>
      </c>
      <c r="T864">
        <v>390</v>
      </c>
      <c r="U864">
        <v>300</v>
      </c>
      <c r="V864" t="s">
        <v>20</v>
      </c>
      <c r="W864" t="s">
        <v>21</v>
      </c>
      <c r="X864" t="s">
        <v>22</v>
      </c>
      <c r="Y864" t="s">
        <v>23</v>
      </c>
      <c r="AF864" t="s">
        <v>13</v>
      </c>
      <c r="AG864" t="str">
        <f>HYPERLINK("https://doi.org/10.1515/9780748679614")</f>
        <v>https://doi.org/10.1515/9780748679614</v>
      </c>
      <c r="AH864" t="str">
        <f>HYPERLINK("http://www.degruyter.com/isbn/9780748679614")</f>
        <v>http://www.degruyter.com/isbn/9780748679614</v>
      </c>
      <c r="AI864" t="s">
        <v>24</v>
      </c>
      <c r="AL864" t="s">
        <v>15</v>
      </c>
      <c r="AM864">
        <v>1</v>
      </c>
      <c r="AN864" s="2">
        <v>9780748608584</v>
      </c>
    </row>
    <row r="865" spans="1:40" x14ac:dyDescent="0.3">
      <c r="A865" t="s">
        <v>4397</v>
      </c>
      <c r="B865" t="s">
        <v>1</v>
      </c>
      <c r="C865" t="s">
        <v>4398</v>
      </c>
      <c r="D865" t="s">
        <v>4399</v>
      </c>
      <c r="E865" t="s">
        <v>4400</v>
      </c>
      <c r="F865" t="s">
        <v>5</v>
      </c>
      <c r="G865" t="s">
        <v>6</v>
      </c>
      <c r="L865" t="s">
        <v>7</v>
      </c>
      <c r="M865">
        <v>2008</v>
      </c>
      <c r="N865" s="1">
        <v>39745</v>
      </c>
      <c r="O865" t="s">
        <v>3937</v>
      </c>
      <c r="P865">
        <v>1</v>
      </c>
      <c r="S865">
        <v>217.95</v>
      </c>
      <c r="T865">
        <v>250</v>
      </c>
      <c r="U865">
        <v>190</v>
      </c>
      <c r="V865" t="s">
        <v>98</v>
      </c>
      <c r="W865" t="s">
        <v>1513</v>
      </c>
      <c r="X865" t="s">
        <v>1514</v>
      </c>
      <c r="Y865" t="s">
        <v>1515</v>
      </c>
      <c r="AF865" t="s">
        <v>13</v>
      </c>
      <c r="AG865" t="str">
        <f>HYPERLINK("https://doi.org/10.1515/9781474482172")</f>
        <v>https://doi.org/10.1515/9781474482172</v>
      </c>
      <c r="AH865" t="str">
        <f>HYPERLINK("http://www.degruyter.com/isbn/9781474482172")</f>
        <v>http://www.degruyter.com/isbn/9781474482172</v>
      </c>
      <c r="AI865" t="s">
        <v>68</v>
      </c>
      <c r="AL865" t="s">
        <v>102</v>
      </c>
      <c r="AM865">
        <v>1</v>
      </c>
      <c r="AN865" s="2">
        <v>9780748637119</v>
      </c>
    </row>
    <row r="866" spans="1:40" x14ac:dyDescent="0.3">
      <c r="A866" t="s">
        <v>4401</v>
      </c>
      <c r="B866" t="s">
        <v>1</v>
      </c>
      <c r="C866" t="s">
        <v>4402</v>
      </c>
      <c r="D866" t="s">
        <v>4403</v>
      </c>
      <c r="E866" t="s">
        <v>4404</v>
      </c>
      <c r="F866" t="s">
        <v>5</v>
      </c>
      <c r="G866" t="s">
        <v>6</v>
      </c>
      <c r="L866" t="s">
        <v>7</v>
      </c>
      <c r="M866">
        <v>2003</v>
      </c>
      <c r="N866" s="1">
        <v>37844</v>
      </c>
      <c r="O866" t="s">
        <v>4405</v>
      </c>
      <c r="P866">
        <v>1</v>
      </c>
      <c r="S866">
        <v>253.95</v>
      </c>
      <c r="T866">
        <v>290</v>
      </c>
      <c r="U866">
        <v>220</v>
      </c>
      <c r="V866" t="s">
        <v>79</v>
      </c>
      <c r="W866" t="s">
        <v>762</v>
      </c>
      <c r="X866" t="s">
        <v>762</v>
      </c>
      <c r="Y866" t="s">
        <v>763</v>
      </c>
      <c r="AF866" t="s">
        <v>13</v>
      </c>
      <c r="AG866" t="str">
        <f>HYPERLINK("https://doi.org/10.1515/9781474469128")</f>
        <v>https://doi.org/10.1515/9781474469128</v>
      </c>
      <c r="AH866" t="str">
        <f>HYPERLINK("http://www.degruyter.com/isbn/9781474469128")</f>
        <v>http://www.degruyter.com/isbn/9781474469128</v>
      </c>
      <c r="AI866" t="s">
        <v>68</v>
      </c>
      <c r="AL866" t="s">
        <v>83</v>
      </c>
      <c r="AM866">
        <v>1</v>
      </c>
      <c r="AN866" s="2">
        <v>9780748616640</v>
      </c>
    </row>
    <row r="867" spans="1:40" x14ac:dyDescent="0.3">
      <c r="A867" t="s">
        <v>4406</v>
      </c>
      <c r="B867" t="s">
        <v>1</v>
      </c>
      <c r="C867" t="s">
        <v>4407</v>
      </c>
      <c r="D867" t="s">
        <v>2607</v>
      </c>
      <c r="E867" t="s">
        <v>4408</v>
      </c>
      <c r="F867" t="s">
        <v>5</v>
      </c>
      <c r="G867" t="s">
        <v>6</v>
      </c>
      <c r="L867" t="s">
        <v>7</v>
      </c>
      <c r="M867">
        <v>2011</v>
      </c>
      <c r="N867" s="1">
        <v>40663</v>
      </c>
      <c r="O867" t="s">
        <v>2609</v>
      </c>
      <c r="P867">
        <v>1</v>
      </c>
      <c r="S867">
        <v>253.95</v>
      </c>
      <c r="T867">
        <v>290</v>
      </c>
      <c r="U867">
        <v>220</v>
      </c>
      <c r="V867" t="s">
        <v>89</v>
      </c>
      <c r="W867" t="s">
        <v>90</v>
      </c>
      <c r="X867" t="s">
        <v>4409</v>
      </c>
      <c r="Y867" t="s">
        <v>4410</v>
      </c>
      <c r="AF867" t="s">
        <v>13</v>
      </c>
      <c r="AG867" t="str">
        <f>HYPERLINK("https://doi.org/10.1515/9780748646050?locatt=mode:legacy")</f>
        <v>https://doi.org/10.1515/9780748646050?locatt=mode:legacy</v>
      </c>
      <c r="AH867" t="str">
        <f>HYPERLINK("http://www.degruyter.com/isbn/9780748646050")</f>
        <v>http://www.degruyter.com/isbn/9780748646050</v>
      </c>
      <c r="AI867" t="s">
        <v>68</v>
      </c>
      <c r="AJ867" t="s">
        <v>35</v>
      </c>
      <c r="AL867" t="s">
        <v>718</v>
      </c>
      <c r="AM867">
        <v>1</v>
      </c>
      <c r="AN867" s="2">
        <v>9780748640829</v>
      </c>
    </row>
    <row r="868" spans="1:40" x14ac:dyDescent="0.3">
      <c r="A868" t="s">
        <v>4411</v>
      </c>
      <c r="B868" t="s">
        <v>1</v>
      </c>
      <c r="C868" t="s">
        <v>4412</v>
      </c>
      <c r="E868" t="s">
        <v>4413</v>
      </c>
      <c r="F868" t="s">
        <v>5</v>
      </c>
      <c r="G868" t="s">
        <v>6</v>
      </c>
      <c r="L868" t="s">
        <v>7</v>
      </c>
      <c r="M868">
        <v>2010</v>
      </c>
      <c r="N868" s="1">
        <v>40513</v>
      </c>
      <c r="O868" t="s">
        <v>4414</v>
      </c>
      <c r="P868">
        <v>1</v>
      </c>
      <c r="S868">
        <v>227.95</v>
      </c>
      <c r="T868">
        <v>260</v>
      </c>
      <c r="U868">
        <v>200</v>
      </c>
      <c r="V868" t="s">
        <v>42</v>
      </c>
      <c r="W868" t="s">
        <v>107</v>
      </c>
      <c r="X868" t="s">
        <v>108</v>
      </c>
      <c r="Y868" t="s">
        <v>109</v>
      </c>
      <c r="AF868" t="s">
        <v>13</v>
      </c>
      <c r="AG868" t="str">
        <f>HYPERLINK("https://doi.org/10.1515/9780748644674?locatt=mode:legacy")</f>
        <v>https://doi.org/10.1515/9780748644674?locatt=mode:legacy</v>
      </c>
      <c r="AH868" t="str">
        <f>HYPERLINK("http://www.degruyter.com/isbn/9780748644674")</f>
        <v>http://www.degruyter.com/isbn/9780748644674</v>
      </c>
      <c r="AI868" t="s">
        <v>68</v>
      </c>
      <c r="AL868" t="s">
        <v>47</v>
      </c>
      <c r="AM868">
        <v>1</v>
      </c>
      <c r="AN868" s="2">
        <v>9780748641536</v>
      </c>
    </row>
    <row r="869" spans="1:40" x14ac:dyDescent="0.3">
      <c r="A869" t="s">
        <v>4415</v>
      </c>
      <c r="B869" t="s">
        <v>1</v>
      </c>
      <c r="C869" t="s">
        <v>4416</v>
      </c>
      <c r="D869" t="s">
        <v>4417</v>
      </c>
      <c r="E869" t="s">
        <v>4418</v>
      </c>
      <c r="F869" t="s">
        <v>5</v>
      </c>
      <c r="G869" t="s">
        <v>6</v>
      </c>
      <c r="L869" t="s">
        <v>7</v>
      </c>
      <c r="M869">
        <v>2017</v>
      </c>
      <c r="N869" s="1">
        <v>42871</v>
      </c>
      <c r="O869" t="s">
        <v>4419</v>
      </c>
      <c r="P869">
        <v>1</v>
      </c>
      <c r="S869">
        <v>217.95</v>
      </c>
      <c r="T869">
        <v>250</v>
      </c>
      <c r="U869">
        <v>190</v>
      </c>
      <c r="V869" t="s">
        <v>98</v>
      </c>
      <c r="W869" t="s">
        <v>99</v>
      </c>
      <c r="X869" t="s">
        <v>100</v>
      </c>
      <c r="Y869" t="s">
        <v>4420</v>
      </c>
      <c r="AF869" t="s">
        <v>13</v>
      </c>
      <c r="AG869" t="str">
        <f>HYPERLINK("https://doi.org/10.1515/9781474410953?locatt=mode:legacy")</f>
        <v>https://doi.org/10.1515/9781474410953?locatt=mode:legacy</v>
      </c>
      <c r="AH869" t="str">
        <f>HYPERLINK("http://www.degruyter.com/isbn/9781474410953")</f>
        <v>http://www.degruyter.com/isbn/9781474410953</v>
      </c>
      <c r="AI869" t="s">
        <v>222</v>
      </c>
      <c r="AL869" t="s">
        <v>102</v>
      </c>
      <c r="AM869">
        <v>1</v>
      </c>
      <c r="AN869" s="2">
        <v>9781474410946</v>
      </c>
    </row>
    <row r="870" spans="1:40" x14ac:dyDescent="0.3">
      <c r="A870" t="s">
        <v>4421</v>
      </c>
      <c r="B870" t="s">
        <v>1</v>
      </c>
      <c r="C870" t="s">
        <v>4422</v>
      </c>
      <c r="D870" t="s">
        <v>4423</v>
      </c>
      <c r="E870" t="s">
        <v>4424</v>
      </c>
      <c r="F870" t="s">
        <v>5</v>
      </c>
      <c r="G870" t="s">
        <v>6</v>
      </c>
      <c r="L870" t="s">
        <v>7</v>
      </c>
      <c r="M870">
        <v>2008</v>
      </c>
      <c r="N870" s="1">
        <v>39792</v>
      </c>
      <c r="O870" t="s">
        <v>4425</v>
      </c>
      <c r="P870">
        <v>1</v>
      </c>
      <c r="S870">
        <v>217.95</v>
      </c>
      <c r="T870">
        <v>250</v>
      </c>
      <c r="U870">
        <v>190</v>
      </c>
      <c r="V870" t="s">
        <v>20</v>
      </c>
      <c r="W870" t="s">
        <v>21</v>
      </c>
      <c r="X870" t="s">
        <v>22</v>
      </c>
      <c r="Y870" t="s">
        <v>23</v>
      </c>
      <c r="AF870" t="s">
        <v>13</v>
      </c>
      <c r="AG870" t="str">
        <f>HYPERLINK("https://doi.org/10.1515/9780748679898")</f>
        <v>https://doi.org/10.1515/9780748679898</v>
      </c>
      <c r="AH870" t="str">
        <f>HYPERLINK("http://www.degruyter.com/isbn/9780748679898")</f>
        <v>http://www.degruyter.com/isbn/9780748679898</v>
      </c>
      <c r="AI870" t="s">
        <v>68</v>
      </c>
      <c r="AL870" t="s">
        <v>15</v>
      </c>
      <c r="AM870">
        <v>1</v>
      </c>
      <c r="AN870" s="2">
        <v>9780748638024</v>
      </c>
    </row>
    <row r="871" spans="1:40" x14ac:dyDescent="0.3">
      <c r="A871" t="s">
        <v>4426</v>
      </c>
      <c r="B871" t="s">
        <v>1</v>
      </c>
      <c r="C871" t="s">
        <v>4427</v>
      </c>
      <c r="D871" t="s">
        <v>4428</v>
      </c>
      <c r="E871" t="s">
        <v>4429</v>
      </c>
      <c r="F871" t="s">
        <v>5</v>
      </c>
      <c r="G871" t="s">
        <v>6</v>
      </c>
      <c r="L871" t="s">
        <v>7</v>
      </c>
      <c r="M871">
        <v>2018</v>
      </c>
      <c r="N871" s="1">
        <v>44656</v>
      </c>
      <c r="O871" t="s">
        <v>4430</v>
      </c>
      <c r="P871">
        <v>1</v>
      </c>
      <c r="S871">
        <v>217.95</v>
      </c>
      <c r="T871">
        <v>250</v>
      </c>
      <c r="U871">
        <v>190</v>
      </c>
      <c r="V871" t="s">
        <v>42</v>
      </c>
      <c r="W871" t="s">
        <v>107</v>
      </c>
      <c r="X871" t="s">
        <v>108</v>
      </c>
      <c r="Y871" t="s">
        <v>109</v>
      </c>
      <c r="AF871" t="s">
        <v>13</v>
      </c>
      <c r="AG871" t="str">
        <f>HYPERLINK("https://doi.org/10.1515/9781474431323?locatt=mode:legacy")</f>
        <v>https://doi.org/10.1515/9781474431323?locatt=mode:legacy</v>
      </c>
      <c r="AH871" t="str">
        <f>HYPERLINK("http://www.degruyter.com/isbn/9781474431323")</f>
        <v>http://www.degruyter.com/isbn/9781474431323</v>
      </c>
      <c r="AI871" t="s">
        <v>46</v>
      </c>
      <c r="AL871" t="s">
        <v>47</v>
      </c>
      <c r="AM871">
        <v>1</v>
      </c>
      <c r="AN871" s="2">
        <v>9781474431293</v>
      </c>
    </row>
    <row r="872" spans="1:40" x14ac:dyDescent="0.3">
      <c r="A872" t="s">
        <v>4431</v>
      </c>
      <c r="B872" t="s">
        <v>1</v>
      </c>
      <c r="C872" t="s">
        <v>4432</v>
      </c>
      <c r="D872" t="s">
        <v>4433</v>
      </c>
      <c r="E872" t="s">
        <v>4434</v>
      </c>
      <c r="F872" t="s">
        <v>5</v>
      </c>
      <c r="G872" t="s">
        <v>6</v>
      </c>
      <c r="L872" t="s">
        <v>7</v>
      </c>
      <c r="M872">
        <v>2009</v>
      </c>
      <c r="N872" s="1">
        <v>40151</v>
      </c>
      <c r="O872" t="s">
        <v>4435</v>
      </c>
      <c r="P872">
        <v>1</v>
      </c>
      <c r="S872">
        <v>217.95</v>
      </c>
      <c r="T872">
        <v>250</v>
      </c>
      <c r="U872">
        <v>190</v>
      </c>
      <c r="V872" t="s">
        <v>98</v>
      </c>
      <c r="W872" t="s">
        <v>99</v>
      </c>
      <c r="X872" t="s">
        <v>100</v>
      </c>
      <c r="Y872" t="s">
        <v>937</v>
      </c>
      <c r="AF872" t="s">
        <v>13</v>
      </c>
      <c r="AG872" t="str">
        <f>HYPERLINK("https://doi.org/10.1515/9780748641642?locatt=mode:legacy")</f>
        <v>https://doi.org/10.1515/9780748641642?locatt=mode:legacy</v>
      </c>
      <c r="AH872" t="str">
        <f>HYPERLINK("http://www.degruyter.com/isbn/9780748641642")</f>
        <v>http://www.degruyter.com/isbn/9780748641642</v>
      </c>
      <c r="AI872" t="s">
        <v>68</v>
      </c>
      <c r="AL872" t="s">
        <v>102</v>
      </c>
      <c r="AM872">
        <v>1</v>
      </c>
      <c r="AN872" s="2">
        <v>9780748640300</v>
      </c>
    </row>
    <row r="873" spans="1:40" x14ac:dyDescent="0.3">
      <c r="A873" t="s">
        <v>4436</v>
      </c>
      <c r="B873" t="s">
        <v>1</v>
      </c>
      <c r="C873" t="s">
        <v>4437</v>
      </c>
      <c r="D873" t="s">
        <v>4438</v>
      </c>
      <c r="E873" t="s">
        <v>4439</v>
      </c>
      <c r="F873" t="s">
        <v>5</v>
      </c>
      <c r="G873" t="s">
        <v>6</v>
      </c>
      <c r="L873" t="s">
        <v>7</v>
      </c>
      <c r="M873">
        <v>2015</v>
      </c>
      <c r="N873" s="1">
        <v>42017</v>
      </c>
      <c r="O873" t="s">
        <v>4440</v>
      </c>
      <c r="P873">
        <v>1</v>
      </c>
      <c r="S873">
        <v>217.95</v>
      </c>
      <c r="T873">
        <v>250</v>
      </c>
      <c r="U873">
        <v>190</v>
      </c>
      <c r="V873" t="s">
        <v>42</v>
      </c>
      <c r="W873" t="s">
        <v>43</v>
      </c>
      <c r="X873" t="s">
        <v>44</v>
      </c>
      <c r="Y873" t="s">
        <v>45</v>
      </c>
      <c r="AF873" t="s">
        <v>13</v>
      </c>
      <c r="AG873" t="str">
        <f>HYPERLINK("https://doi.org/10.1515/9780748699117?locatt=mode:legacy")</f>
        <v>https://doi.org/10.1515/9780748699117?locatt=mode:legacy</v>
      </c>
      <c r="AH873" t="str">
        <f>HYPERLINK("http://www.degruyter.com/isbn/9780748699117")</f>
        <v>http://www.degruyter.com/isbn/9780748699117</v>
      </c>
      <c r="AI873" t="s">
        <v>34</v>
      </c>
      <c r="AL873" t="s">
        <v>47</v>
      </c>
      <c r="AM873">
        <v>1</v>
      </c>
      <c r="AN873" s="2">
        <v>9780748699100</v>
      </c>
    </row>
    <row r="874" spans="1:40" x14ac:dyDescent="0.3">
      <c r="A874" t="s">
        <v>4441</v>
      </c>
      <c r="B874" t="s">
        <v>1</v>
      </c>
      <c r="C874" t="s">
        <v>4442</v>
      </c>
      <c r="E874" t="s">
        <v>4443</v>
      </c>
      <c r="F874" t="s">
        <v>5</v>
      </c>
      <c r="G874" t="s">
        <v>6</v>
      </c>
      <c r="L874" t="s">
        <v>7</v>
      </c>
      <c r="M874">
        <v>2005</v>
      </c>
      <c r="N874" s="1">
        <v>38532</v>
      </c>
      <c r="O874" t="s">
        <v>4444</v>
      </c>
      <c r="P874">
        <v>1</v>
      </c>
      <c r="S874">
        <v>217.95</v>
      </c>
      <c r="T874">
        <v>250</v>
      </c>
      <c r="U874">
        <v>190</v>
      </c>
      <c r="V874" t="s">
        <v>42</v>
      </c>
      <c r="W874" t="s">
        <v>740</v>
      </c>
      <c r="X874" t="s">
        <v>741</v>
      </c>
      <c r="Y874" t="s">
        <v>1263</v>
      </c>
      <c r="AF874" t="s">
        <v>13</v>
      </c>
      <c r="AG874" t="str">
        <f>HYPERLINK("https://doi.org/10.1515/9781474470278")</f>
        <v>https://doi.org/10.1515/9781474470278</v>
      </c>
      <c r="AH874" t="str">
        <f>HYPERLINK("http://www.degruyter.com/isbn/9781474470278")</f>
        <v>http://www.degruyter.com/isbn/9781474470278</v>
      </c>
      <c r="AI874" t="s">
        <v>68</v>
      </c>
      <c r="AL874" t="s">
        <v>47</v>
      </c>
      <c r="AM874">
        <v>1</v>
      </c>
      <c r="AN874" s="2">
        <v>9780748620159</v>
      </c>
    </row>
    <row r="875" spans="1:40" x14ac:dyDescent="0.3">
      <c r="A875" t="s">
        <v>4445</v>
      </c>
      <c r="B875" t="s">
        <v>1</v>
      </c>
      <c r="C875" t="s">
        <v>4446</v>
      </c>
      <c r="E875" t="s">
        <v>4447</v>
      </c>
      <c r="F875" t="s">
        <v>5</v>
      </c>
      <c r="G875" t="s">
        <v>6</v>
      </c>
      <c r="L875" t="s">
        <v>7</v>
      </c>
      <c r="M875">
        <v>2008</v>
      </c>
      <c r="N875" s="1">
        <v>39462</v>
      </c>
      <c r="O875" t="s">
        <v>1289</v>
      </c>
      <c r="P875">
        <v>1</v>
      </c>
      <c r="S875">
        <v>217.95</v>
      </c>
      <c r="T875">
        <v>250</v>
      </c>
      <c r="U875">
        <v>190</v>
      </c>
      <c r="V875" t="s">
        <v>58</v>
      </c>
      <c r="W875" t="s">
        <v>129</v>
      </c>
      <c r="X875" t="s">
        <v>1290</v>
      </c>
      <c r="Y875" t="s">
        <v>1291</v>
      </c>
      <c r="AF875" t="s">
        <v>13</v>
      </c>
      <c r="AG875" t="str">
        <f>HYPERLINK("https://doi.org/10.1515/9781474471893")</f>
        <v>https://doi.org/10.1515/9781474471893</v>
      </c>
      <c r="AH875" t="str">
        <f>HYPERLINK("http://www.degruyter.com/isbn/9781474471893")</f>
        <v>http://www.degruyter.com/isbn/9781474471893</v>
      </c>
      <c r="AI875" t="s">
        <v>68</v>
      </c>
      <c r="AL875" t="s">
        <v>62</v>
      </c>
      <c r="AM875">
        <v>1</v>
      </c>
      <c r="AN875" s="2">
        <v>9780748627882</v>
      </c>
    </row>
    <row r="876" spans="1:40" x14ac:dyDescent="0.3">
      <c r="A876" t="s">
        <v>4448</v>
      </c>
      <c r="B876" t="s">
        <v>1</v>
      </c>
      <c r="C876" t="s">
        <v>4449</v>
      </c>
      <c r="D876" t="s">
        <v>4450</v>
      </c>
      <c r="E876" t="s">
        <v>4451</v>
      </c>
      <c r="F876" t="s">
        <v>5</v>
      </c>
      <c r="G876" t="s">
        <v>6</v>
      </c>
      <c r="L876" t="s">
        <v>7</v>
      </c>
      <c r="M876">
        <v>2011</v>
      </c>
      <c r="N876" s="1">
        <v>40598</v>
      </c>
      <c r="O876" t="s">
        <v>4452</v>
      </c>
      <c r="P876">
        <v>1</v>
      </c>
      <c r="S876">
        <v>69.95</v>
      </c>
      <c r="T876">
        <v>79.95</v>
      </c>
      <c r="U876">
        <v>59.98</v>
      </c>
      <c r="V876" t="s">
        <v>20</v>
      </c>
      <c r="W876" t="s">
        <v>21</v>
      </c>
      <c r="X876" t="s">
        <v>575</v>
      </c>
      <c r="Y876" t="s">
        <v>576</v>
      </c>
      <c r="AF876" t="s">
        <v>13</v>
      </c>
      <c r="AG876" t="str">
        <f>HYPERLINK("https://doi.org/10.1515/9781474473279")</f>
        <v>https://doi.org/10.1515/9781474473279</v>
      </c>
      <c r="AH876" t="str">
        <f>HYPERLINK("http://www.degruyter.com/isbn/9781474473279")</f>
        <v>http://www.degruyter.com/isbn/9781474473279</v>
      </c>
      <c r="AI876" t="s">
        <v>68</v>
      </c>
      <c r="AL876" t="s">
        <v>15</v>
      </c>
      <c r="AM876">
        <v>1</v>
      </c>
      <c r="AN876" s="2">
        <v>9781845860905</v>
      </c>
    </row>
    <row r="877" spans="1:40" x14ac:dyDescent="0.3">
      <c r="A877" t="s">
        <v>4453</v>
      </c>
      <c r="B877" t="s">
        <v>1</v>
      </c>
      <c r="C877" t="s">
        <v>4454</v>
      </c>
      <c r="D877" t="s">
        <v>4455</v>
      </c>
      <c r="E877" t="s">
        <v>4456</v>
      </c>
      <c r="F877" t="s">
        <v>5</v>
      </c>
      <c r="G877" t="s">
        <v>6</v>
      </c>
      <c r="L877" t="s">
        <v>7</v>
      </c>
      <c r="M877">
        <v>2004</v>
      </c>
      <c r="N877" s="1">
        <v>38260</v>
      </c>
      <c r="O877" t="s">
        <v>4457</v>
      </c>
      <c r="P877">
        <v>1</v>
      </c>
      <c r="S877">
        <v>217.95</v>
      </c>
      <c r="T877">
        <v>250</v>
      </c>
      <c r="U877">
        <v>190</v>
      </c>
      <c r="V877" t="s">
        <v>58</v>
      </c>
      <c r="W877" t="s">
        <v>1135</v>
      </c>
      <c r="X877" t="s">
        <v>1136</v>
      </c>
      <c r="Y877" t="s">
        <v>1137</v>
      </c>
      <c r="AF877" t="s">
        <v>13</v>
      </c>
      <c r="AG877" t="str">
        <f>HYPERLINK("https://doi.org/10.1515/9781474468398")</f>
        <v>https://doi.org/10.1515/9781474468398</v>
      </c>
      <c r="AH877" t="str">
        <f>HYPERLINK("http://www.degruyter.com/isbn/9781474468398")</f>
        <v>http://www.degruyter.com/isbn/9781474468398</v>
      </c>
      <c r="AI877" t="s">
        <v>68</v>
      </c>
      <c r="AL877" t="s">
        <v>62</v>
      </c>
      <c r="AM877">
        <v>1</v>
      </c>
      <c r="AN877" s="2">
        <v>9780748621187</v>
      </c>
    </row>
    <row r="878" spans="1:40" x14ac:dyDescent="0.3">
      <c r="A878" t="s">
        <v>4458</v>
      </c>
      <c r="B878" t="s">
        <v>1</v>
      </c>
      <c r="C878" t="s">
        <v>1998</v>
      </c>
      <c r="D878" t="s">
        <v>4459</v>
      </c>
      <c r="E878" t="s">
        <v>2000</v>
      </c>
      <c r="F878" t="s">
        <v>5</v>
      </c>
      <c r="G878" t="s">
        <v>6</v>
      </c>
      <c r="L878" t="s">
        <v>7</v>
      </c>
      <c r="M878">
        <v>2007</v>
      </c>
      <c r="N878" s="1">
        <v>44607</v>
      </c>
      <c r="O878" t="s">
        <v>4460</v>
      </c>
      <c r="P878">
        <v>1</v>
      </c>
      <c r="S878">
        <v>217.95</v>
      </c>
      <c r="T878">
        <v>250</v>
      </c>
      <c r="U878">
        <v>190</v>
      </c>
      <c r="V878" t="s">
        <v>20</v>
      </c>
      <c r="W878" t="s">
        <v>21</v>
      </c>
      <c r="X878" t="s">
        <v>575</v>
      </c>
      <c r="Y878" t="s">
        <v>576</v>
      </c>
      <c r="AF878" t="s">
        <v>13</v>
      </c>
      <c r="AG878" t="str">
        <f>HYPERLINK("https://www.degruyter.com/isbn/9781474468893")</f>
        <v>https://www.degruyter.com/isbn/9781474468893</v>
      </c>
      <c r="AH878" t="str">
        <f>HYPERLINK("http://www.degruyter.com/isbn/9781474468893")</f>
        <v>http://www.degruyter.com/isbn/9781474468893</v>
      </c>
      <c r="AI878" t="s">
        <v>68</v>
      </c>
      <c r="AL878" t="s">
        <v>15</v>
      </c>
      <c r="AM878">
        <v>1</v>
      </c>
      <c r="AN878" s="2">
        <v>9781845860295</v>
      </c>
    </row>
    <row r="879" spans="1:40" x14ac:dyDescent="0.3">
      <c r="A879" t="s">
        <v>4461</v>
      </c>
      <c r="B879" t="s">
        <v>1</v>
      </c>
      <c r="C879" t="s">
        <v>4462</v>
      </c>
      <c r="D879" t="s">
        <v>4463</v>
      </c>
      <c r="E879" t="s">
        <v>4464</v>
      </c>
      <c r="F879" t="s">
        <v>5</v>
      </c>
      <c r="G879" t="s">
        <v>6</v>
      </c>
      <c r="L879" t="s">
        <v>7</v>
      </c>
      <c r="M879">
        <v>2013</v>
      </c>
      <c r="N879" s="1">
        <v>41509</v>
      </c>
      <c r="O879" t="s">
        <v>4465</v>
      </c>
      <c r="P879">
        <v>1</v>
      </c>
      <c r="S879">
        <v>227.95</v>
      </c>
      <c r="T879">
        <v>260</v>
      </c>
      <c r="U879">
        <v>200</v>
      </c>
      <c r="V879" t="s">
        <v>79</v>
      </c>
      <c r="W879" t="s">
        <v>209</v>
      </c>
      <c r="X879" t="s">
        <v>209</v>
      </c>
      <c r="Y879" t="s">
        <v>510</v>
      </c>
      <c r="AF879" t="s">
        <v>13</v>
      </c>
      <c r="AG879" t="str">
        <f>HYPERLINK("https://doi.org/10.1515/9780748684564?locatt=mode:legacy")</f>
        <v>https://doi.org/10.1515/9780748684564?locatt=mode:legacy</v>
      </c>
      <c r="AH879" t="str">
        <f>HYPERLINK("http://www.degruyter.com/isbn/9780748684564")</f>
        <v>http://www.degruyter.com/isbn/9780748684564</v>
      </c>
      <c r="AI879" t="s">
        <v>68</v>
      </c>
      <c r="AL879" t="s">
        <v>83</v>
      </c>
      <c r="AM879">
        <v>1</v>
      </c>
      <c r="AN879" s="2">
        <v>9780748684557</v>
      </c>
    </row>
    <row r="880" spans="1:40" x14ac:dyDescent="0.3">
      <c r="A880" t="s">
        <v>4466</v>
      </c>
      <c r="B880" t="s">
        <v>1</v>
      </c>
      <c r="C880" t="s">
        <v>4467</v>
      </c>
      <c r="D880" t="s">
        <v>4468</v>
      </c>
      <c r="E880" t="s">
        <v>4469</v>
      </c>
      <c r="F880" t="s">
        <v>5</v>
      </c>
      <c r="G880" t="s">
        <v>6</v>
      </c>
      <c r="L880" t="s">
        <v>7</v>
      </c>
      <c r="M880">
        <v>2005</v>
      </c>
      <c r="N880" s="1">
        <v>38551</v>
      </c>
      <c r="O880" t="s">
        <v>4470</v>
      </c>
      <c r="P880">
        <v>1</v>
      </c>
      <c r="S880">
        <v>209.95</v>
      </c>
      <c r="T880">
        <v>240</v>
      </c>
      <c r="U880">
        <v>180</v>
      </c>
      <c r="V880" t="s">
        <v>42</v>
      </c>
      <c r="W880" t="s">
        <v>107</v>
      </c>
      <c r="X880" t="s">
        <v>108</v>
      </c>
      <c r="Y880" t="s">
        <v>109</v>
      </c>
      <c r="AF880" t="s">
        <v>13</v>
      </c>
      <c r="AG880" t="str">
        <f>HYPERLINK("https://doi.org/10.1515/9781474465656")</f>
        <v>https://doi.org/10.1515/9781474465656</v>
      </c>
      <c r="AH880" t="str">
        <f>HYPERLINK("http://www.degruyter.com/isbn/9781474465656")</f>
        <v>http://www.degruyter.com/isbn/9781474465656</v>
      </c>
      <c r="AI880" t="s">
        <v>68</v>
      </c>
      <c r="AL880" t="s">
        <v>47</v>
      </c>
      <c r="AM880">
        <v>1</v>
      </c>
      <c r="AN880" s="2">
        <v>9780748621910</v>
      </c>
    </row>
    <row r="881" spans="1:40" x14ac:dyDescent="0.3">
      <c r="A881" t="s">
        <v>4471</v>
      </c>
      <c r="B881" t="s">
        <v>1</v>
      </c>
      <c r="C881" t="s">
        <v>4472</v>
      </c>
      <c r="E881" t="s">
        <v>4473</v>
      </c>
      <c r="F881" t="s">
        <v>5</v>
      </c>
      <c r="G881" t="s">
        <v>6</v>
      </c>
      <c r="L881" t="s">
        <v>7</v>
      </c>
      <c r="M881">
        <v>2021</v>
      </c>
      <c r="N881" s="1">
        <v>44656</v>
      </c>
      <c r="O881" t="s">
        <v>4474</v>
      </c>
      <c r="P881">
        <v>1</v>
      </c>
      <c r="S881">
        <v>227.95</v>
      </c>
      <c r="T881">
        <v>260</v>
      </c>
      <c r="U881">
        <v>200</v>
      </c>
      <c r="V881" t="s">
        <v>42</v>
      </c>
      <c r="W881" t="s">
        <v>43</v>
      </c>
      <c r="X881" t="s">
        <v>4475</v>
      </c>
      <c r="Y881" t="s">
        <v>4476</v>
      </c>
      <c r="AF881" t="s">
        <v>13</v>
      </c>
      <c r="AG881" t="str">
        <f>HYPERLINK("https://doi.org/10.1515/9781474448840")</f>
        <v>https://doi.org/10.1515/9781474448840</v>
      </c>
      <c r="AH881" t="str">
        <f>HYPERLINK("http://www.degruyter.com/isbn/9781474448840")</f>
        <v>http://www.degruyter.com/isbn/9781474448840</v>
      </c>
      <c r="AI881" t="s">
        <v>4477</v>
      </c>
      <c r="AL881" t="s">
        <v>47</v>
      </c>
      <c r="AM881">
        <v>1</v>
      </c>
      <c r="AN881" s="2">
        <v>9781474448826</v>
      </c>
    </row>
    <row r="882" spans="1:40" x14ac:dyDescent="0.3">
      <c r="A882" t="s">
        <v>4478</v>
      </c>
      <c r="B882" t="s">
        <v>1</v>
      </c>
      <c r="C882" t="s">
        <v>4479</v>
      </c>
      <c r="D882" t="s">
        <v>4480</v>
      </c>
      <c r="E882" t="s">
        <v>4481</v>
      </c>
      <c r="F882" t="s">
        <v>5</v>
      </c>
      <c r="G882" t="s">
        <v>6</v>
      </c>
      <c r="L882" t="s">
        <v>7</v>
      </c>
      <c r="M882">
        <v>2017</v>
      </c>
      <c r="N882" s="1">
        <v>43083</v>
      </c>
      <c r="O882" t="s">
        <v>4482</v>
      </c>
      <c r="P882">
        <v>1</v>
      </c>
      <c r="S882">
        <v>243.95</v>
      </c>
      <c r="T882">
        <v>280</v>
      </c>
      <c r="U882">
        <v>210</v>
      </c>
      <c r="V882" t="s">
        <v>847</v>
      </c>
      <c r="W882" t="s">
        <v>848</v>
      </c>
      <c r="X882" t="s">
        <v>20</v>
      </c>
      <c r="Y882" t="s">
        <v>3205</v>
      </c>
      <c r="AF882" t="s">
        <v>13</v>
      </c>
      <c r="AG882" t="str">
        <f>HYPERLINK("https://doi.org/10.1515/9781474469685")</f>
        <v>https://doi.org/10.1515/9781474469685</v>
      </c>
      <c r="AH882" t="str">
        <f>HYPERLINK("http://www.degruyter.com/isbn/9781474469685")</f>
        <v>http://www.degruyter.com/isbn/9781474469685</v>
      </c>
      <c r="AI882" t="s">
        <v>222</v>
      </c>
      <c r="AL882" t="s">
        <v>1070</v>
      </c>
      <c r="AM882">
        <v>1</v>
      </c>
      <c r="AN882" s="2">
        <v>9781474411158</v>
      </c>
    </row>
    <row r="883" spans="1:40" x14ac:dyDescent="0.3">
      <c r="A883" t="s">
        <v>4483</v>
      </c>
      <c r="B883" t="s">
        <v>1</v>
      </c>
      <c r="C883" t="s">
        <v>4484</v>
      </c>
      <c r="E883" t="s">
        <v>4485</v>
      </c>
      <c r="F883" t="s">
        <v>5</v>
      </c>
      <c r="G883" t="s">
        <v>6</v>
      </c>
      <c r="L883" t="s">
        <v>7</v>
      </c>
      <c r="M883">
        <v>2007</v>
      </c>
      <c r="N883" s="1">
        <v>39252</v>
      </c>
      <c r="O883" t="s">
        <v>4486</v>
      </c>
      <c r="P883">
        <v>1</v>
      </c>
      <c r="S883">
        <v>227.95</v>
      </c>
      <c r="T883">
        <v>260</v>
      </c>
      <c r="U883">
        <v>200</v>
      </c>
      <c r="V883" t="s">
        <v>42</v>
      </c>
      <c r="W883" t="s">
        <v>116</v>
      </c>
      <c r="X883" t="s">
        <v>116</v>
      </c>
      <c r="Y883" t="s">
        <v>117</v>
      </c>
      <c r="AF883" t="s">
        <v>13</v>
      </c>
      <c r="AG883" t="str">
        <f>HYPERLINK("https://doi.org/10.1515/9780748632015?locatt=mode:legacy")</f>
        <v>https://doi.org/10.1515/9780748632015?locatt=mode:legacy</v>
      </c>
      <c r="AH883" t="str">
        <f>HYPERLINK("http://www.degruyter.com/isbn/9780748632015")</f>
        <v>http://www.degruyter.com/isbn/9780748632015</v>
      </c>
      <c r="AI883" t="s">
        <v>68</v>
      </c>
      <c r="AL883" t="s">
        <v>47</v>
      </c>
      <c r="AM883">
        <v>1</v>
      </c>
      <c r="AN883" s="2">
        <v>9780748632817</v>
      </c>
    </row>
    <row r="884" spans="1:40" x14ac:dyDescent="0.3">
      <c r="A884" t="s">
        <v>4487</v>
      </c>
      <c r="B884" t="s">
        <v>1</v>
      </c>
      <c r="C884" t="s">
        <v>4488</v>
      </c>
      <c r="E884" t="s">
        <v>4489</v>
      </c>
      <c r="F884" t="s">
        <v>5</v>
      </c>
      <c r="G884" t="s">
        <v>6</v>
      </c>
      <c r="L884" t="s">
        <v>7</v>
      </c>
      <c r="M884">
        <v>2018</v>
      </c>
      <c r="N884" s="1">
        <v>44656</v>
      </c>
      <c r="O884" t="s">
        <v>4490</v>
      </c>
      <c r="P884">
        <v>1</v>
      </c>
      <c r="S884">
        <v>279.95</v>
      </c>
      <c r="T884">
        <v>320</v>
      </c>
      <c r="U884">
        <v>240</v>
      </c>
      <c r="V884" t="s">
        <v>42</v>
      </c>
      <c r="W884" t="s">
        <v>1379</v>
      </c>
      <c r="X884" t="s">
        <v>1380</v>
      </c>
      <c r="Y884" t="s">
        <v>1381</v>
      </c>
      <c r="AF884" t="s">
        <v>13</v>
      </c>
      <c r="AG884" t="str">
        <f>HYPERLINK("https://doi.org/10.1515/9780748697274")</f>
        <v>https://doi.org/10.1515/9780748697274</v>
      </c>
      <c r="AH884" t="str">
        <f>HYPERLINK("http://www.degruyter.com/isbn/9780748697274")</f>
        <v>http://www.degruyter.com/isbn/9780748697274</v>
      </c>
      <c r="AI884" t="s">
        <v>46</v>
      </c>
      <c r="AL884" t="s">
        <v>47</v>
      </c>
      <c r="AM884">
        <v>1</v>
      </c>
      <c r="AN884" s="2">
        <v>9780748697267</v>
      </c>
    </row>
    <row r="885" spans="1:40" x14ac:dyDescent="0.3">
      <c r="A885" t="s">
        <v>4491</v>
      </c>
      <c r="B885" t="s">
        <v>1</v>
      </c>
      <c r="C885" t="s">
        <v>4492</v>
      </c>
      <c r="E885" t="s">
        <v>4493</v>
      </c>
      <c r="F885" t="s">
        <v>5</v>
      </c>
      <c r="G885" t="s">
        <v>6</v>
      </c>
      <c r="L885" t="s">
        <v>7</v>
      </c>
      <c r="M885">
        <v>2009</v>
      </c>
      <c r="N885" s="1">
        <v>44592</v>
      </c>
      <c r="O885" t="s">
        <v>4494</v>
      </c>
      <c r="P885">
        <v>1</v>
      </c>
      <c r="S885">
        <v>217.95</v>
      </c>
      <c r="T885">
        <v>250</v>
      </c>
      <c r="U885">
        <v>190</v>
      </c>
      <c r="V885" t="s">
        <v>268</v>
      </c>
      <c r="W885" t="s">
        <v>269</v>
      </c>
      <c r="X885" t="s">
        <v>269</v>
      </c>
      <c r="Y885" t="s">
        <v>411</v>
      </c>
      <c r="AF885" t="s">
        <v>13</v>
      </c>
      <c r="AG885" t="str">
        <f>HYPERLINK("https://doi.org/10.1515/9780748699414")</f>
        <v>https://doi.org/10.1515/9780748699414</v>
      </c>
      <c r="AH885" t="str">
        <f>HYPERLINK("http://www.degruyter.com/isbn/9780748699414")</f>
        <v>http://www.degruyter.com/isbn/9780748699414</v>
      </c>
      <c r="AI885" t="s">
        <v>1003</v>
      </c>
      <c r="AL885" t="s">
        <v>272</v>
      </c>
      <c r="AM885">
        <v>1</v>
      </c>
      <c r="AN885" s="2">
        <v>9781845860523</v>
      </c>
    </row>
    <row r="886" spans="1:40" x14ac:dyDescent="0.3">
      <c r="A886" t="s">
        <v>4495</v>
      </c>
      <c r="B886" t="s">
        <v>1</v>
      </c>
      <c r="C886" t="s">
        <v>4496</v>
      </c>
      <c r="D886" t="s">
        <v>4497</v>
      </c>
      <c r="E886" t="s">
        <v>4498</v>
      </c>
      <c r="F886" t="s">
        <v>5</v>
      </c>
      <c r="G886" t="s">
        <v>6</v>
      </c>
      <c r="L886" t="s">
        <v>7</v>
      </c>
      <c r="M886">
        <v>2003</v>
      </c>
      <c r="N886" s="1">
        <v>44607</v>
      </c>
      <c r="O886" t="s">
        <v>4499</v>
      </c>
      <c r="P886">
        <v>1</v>
      </c>
      <c r="S886">
        <v>217.95</v>
      </c>
      <c r="T886">
        <v>250</v>
      </c>
      <c r="U886">
        <v>190</v>
      </c>
      <c r="V886" t="s">
        <v>42</v>
      </c>
      <c r="W886" t="s">
        <v>107</v>
      </c>
      <c r="X886" t="s">
        <v>108</v>
      </c>
      <c r="Y886" t="s">
        <v>221</v>
      </c>
      <c r="AF886" t="s">
        <v>13</v>
      </c>
      <c r="AG886" t="str">
        <f>HYPERLINK("https://doi.org/10.1515/9781474470193")</f>
        <v>https://doi.org/10.1515/9781474470193</v>
      </c>
      <c r="AH886" t="str">
        <f>HYPERLINK("http://www.degruyter.com/isbn/9781474470193")</f>
        <v>http://www.degruyter.com/isbn/9781474470193</v>
      </c>
      <c r="AI886" t="s">
        <v>68</v>
      </c>
      <c r="AL886" t="s">
        <v>47</v>
      </c>
      <c r="AM886">
        <v>1</v>
      </c>
      <c r="AN886" s="2">
        <v>9780748612277</v>
      </c>
    </row>
    <row r="887" spans="1:40" x14ac:dyDescent="0.3">
      <c r="A887" t="s">
        <v>4500</v>
      </c>
      <c r="B887" t="s">
        <v>1</v>
      </c>
      <c r="C887" t="s">
        <v>4501</v>
      </c>
      <c r="E887" t="s">
        <v>4502</v>
      </c>
      <c r="F887" t="s">
        <v>5</v>
      </c>
      <c r="G887" t="s">
        <v>6</v>
      </c>
      <c r="K887" t="s">
        <v>929</v>
      </c>
      <c r="L887" t="s">
        <v>7</v>
      </c>
      <c r="M887">
        <v>2017</v>
      </c>
      <c r="N887" s="1">
        <v>42825</v>
      </c>
      <c r="O887" t="s">
        <v>4503</v>
      </c>
      <c r="P887">
        <v>1</v>
      </c>
      <c r="V887" t="s">
        <v>79</v>
      </c>
      <c r="W887" t="s">
        <v>734</v>
      </c>
      <c r="X887" t="s">
        <v>734</v>
      </c>
      <c r="Y887" t="s">
        <v>735</v>
      </c>
      <c r="AF887" t="s">
        <v>13</v>
      </c>
      <c r="AG887" t="str">
        <f>HYPERLINK("https://doi.org/10.1515/9781474431194")</f>
        <v>https://doi.org/10.1515/9781474431194</v>
      </c>
      <c r="AH887" t="str">
        <f>HYPERLINK("http://www.degruyter.com/isbn/9781474431194")</f>
        <v>http://www.degruyter.com/isbn/9781474431194</v>
      </c>
      <c r="AI887" t="s">
        <v>222</v>
      </c>
      <c r="AM887">
        <v>1</v>
      </c>
      <c r="AN887" s="2"/>
    </row>
    <row r="888" spans="1:40" x14ac:dyDescent="0.3">
      <c r="A888" t="s">
        <v>4504</v>
      </c>
      <c r="B888" t="s">
        <v>1</v>
      </c>
      <c r="C888" t="s">
        <v>4505</v>
      </c>
      <c r="E888" t="s">
        <v>4506</v>
      </c>
      <c r="F888" t="s">
        <v>5</v>
      </c>
      <c r="G888" t="s">
        <v>6</v>
      </c>
      <c r="L888" t="s">
        <v>7</v>
      </c>
      <c r="M888">
        <v>2004</v>
      </c>
      <c r="N888" s="1">
        <v>38068</v>
      </c>
      <c r="O888" t="s">
        <v>4507</v>
      </c>
      <c r="P888">
        <v>1</v>
      </c>
      <c r="S888">
        <v>261.95</v>
      </c>
      <c r="T888">
        <v>300</v>
      </c>
      <c r="U888">
        <v>230</v>
      </c>
      <c r="V888" t="s">
        <v>495</v>
      </c>
      <c r="W888" t="s">
        <v>496</v>
      </c>
      <c r="X888" t="s">
        <v>496</v>
      </c>
      <c r="Y888" t="s">
        <v>497</v>
      </c>
      <c r="AF888" t="s">
        <v>13</v>
      </c>
      <c r="AG888" t="str">
        <f>HYPERLINK("https://doi.org/10.1515/9781474471756")</f>
        <v>https://doi.org/10.1515/9781474471756</v>
      </c>
      <c r="AH888" t="str">
        <f>HYPERLINK("http://www.degruyter.com/isbn/9781474471756")</f>
        <v>http://www.degruyter.com/isbn/9781474471756</v>
      </c>
      <c r="AI888" t="s">
        <v>2942</v>
      </c>
      <c r="AL888" t="s">
        <v>498</v>
      </c>
      <c r="AM888">
        <v>1</v>
      </c>
      <c r="AN888" s="2">
        <v>9780748615698</v>
      </c>
    </row>
    <row r="889" spans="1:40" x14ac:dyDescent="0.3">
      <c r="A889" t="s">
        <v>4508</v>
      </c>
      <c r="B889" t="s">
        <v>1</v>
      </c>
      <c r="C889" t="s">
        <v>4509</v>
      </c>
      <c r="D889" t="s">
        <v>4510</v>
      </c>
      <c r="E889" t="s">
        <v>4511</v>
      </c>
      <c r="F889" t="s">
        <v>5</v>
      </c>
      <c r="G889" t="s">
        <v>6</v>
      </c>
      <c r="L889" t="s">
        <v>7</v>
      </c>
      <c r="M889">
        <v>2011</v>
      </c>
      <c r="N889" s="1">
        <v>40725</v>
      </c>
      <c r="O889" t="s">
        <v>4512</v>
      </c>
      <c r="P889">
        <v>1</v>
      </c>
      <c r="S889">
        <v>217.95</v>
      </c>
      <c r="T889">
        <v>250</v>
      </c>
      <c r="U889">
        <v>190</v>
      </c>
      <c r="V889" t="s">
        <v>42</v>
      </c>
      <c r="W889" t="s">
        <v>107</v>
      </c>
      <c r="X889" t="s">
        <v>108</v>
      </c>
      <c r="Y889" t="s">
        <v>109</v>
      </c>
      <c r="AF889" t="s">
        <v>13</v>
      </c>
      <c r="AG889" t="str">
        <f>HYPERLINK("https://doi.org/10.1515/9780748647507")</f>
        <v>https://doi.org/10.1515/9780748647507</v>
      </c>
      <c r="AH889" t="str">
        <f>HYPERLINK("http://www.degruyter.com/isbn/9780748647507")</f>
        <v>http://www.degruyter.com/isbn/9780748647507</v>
      </c>
      <c r="AI889" t="s">
        <v>68</v>
      </c>
      <c r="AL889" t="s">
        <v>47</v>
      </c>
      <c r="AM889">
        <v>1</v>
      </c>
      <c r="AN889" s="2">
        <v>9780748640997</v>
      </c>
    </row>
    <row r="890" spans="1:40" x14ac:dyDescent="0.3">
      <c r="A890" t="s">
        <v>4513</v>
      </c>
      <c r="B890" t="s">
        <v>1</v>
      </c>
      <c r="C890" t="s">
        <v>4514</v>
      </c>
      <c r="D890" t="s">
        <v>4515</v>
      </c>
      <c r="E890" t="s">
        <v>4516</v>
      </c>
      <c r="F890" t="s">
        <v>5</v>
      </c>
      <c r="G890" t="s">
        <v>6</v>
      </c>
      <c r="L890" t="s">
        <v>7</v>
      </c>
      <c r="M890">
        <v>2016</v>
      </c>
      <c r="N890" s="1">
        <v>42690</v>
      </c>
      <c r="O890" t="s">
        <v>4517</v>
      </c>
      <c r="P890">
        <v>1</v>
      </c>
      <c r="S890">
        <v>253.95</v>
      </c>
      <c r="T890">
        <v>290</v>
      </c>
      <c r="U890">
        <v>220</v>
      </c>
      <c r="V890" t="s">
        <v>58</v>
      </c>
      <c r="W890" t="s">
        <v>59</v>
      </c>
      <c r="X890" t="s">
        <v>60</v>
      </c>
      <c r="Y890" t="s">
        <v>2620</v>
      </c>
      <c r="AF890" t="s">
        <v>13</v>
      </c>
      <c r="AG890" t="str">
        <f>HYPERLINK("https://doi.org/10.1515/9781474410502")</f>
        <v>https://doi.org/10.1515/9781474410502</v>
      </c>
      <c r="AH890" t="str">
        <f>HYPERLINK("http://www.degruyter.com/isbn/9781474410502")</f>
        <v>http://www.degruyter.com/isbn/9781474410502</v>
      </c>
      <c r="AI890" t="s">
        <v>180</v>
      </c>
      <c r="AL890" t="s">
        <v>62</v>
      </c>
      <c r="AM890">
        <v>1</v>
      </c>
      <c r="AN890" s="2">
        <v>9781474410489</v>
      </c>
    </row>
    <row r="891" spans="1:40" x14ac:dyDescent="0.3">
      <c r="A891" t="s">
        <v>4518</v>
      </c>
      <c r="B891" t="s">
        <v>1</v>
      </c>
      <c r="C891" t="s">
        <v>4519</v>
      </c>
      <c r="D891" t="s">
        <v>4520</v>
      </c>
      <c r="E891" t="s">
        <v>4521</v>
      </c>
      <c r="F891" t="s">
        <v>5</v>
      </c>
      <c r="G891" t="s">
        <v>6</v>
      </c>
      <c r="L891" t="s">
        <v>7</v>
      </c>
      <c r="M891">
        <v>2016</v>
      </c>
      <c r="N891" s="1">
        <v>42412</v>
      </c>
      <c r="O891" t="s">
        <v>4522</v>
      </c>
      <c r="P891">
        <v>1</v>
      </c>
      <c r="S891">
        <v>217.95</v>
      </c>
      <c r="T891">
        <v>250</v>
      </c>
      <c r="U891">
        <v>190</v>
      </c>
      <c r="V891" t="s">
        <v>20</v>
      </c>
      <c r="W891" t="s">
        <v>21</v>
      </c>
      <c r="X891" t="s">
        <v>22</v>
      </c>
      <c r="Y891" t="s">
        <v>489</v>
      </c>
      <c r="AF891" t="s">
        <v>13</v>
      </c>
      <c r="AG891" t="str">
        <f>HYPERLINK("https://doi.org/10.1515/9780748696604?locatt=mode:legacy")</f>
        <v>https://doi.org/10.1515/9780748696604?locatt=mode:legacy</v>
      </c>
      <c r="AH891" t="str">
        <f>HYPERLINK("http://www.degruyter.com/isbn/9780748696604")</f>
        <v>http://www.degruyter.com/isbn/9780748696604</v>
      </c>
      <c r="AI891" t="s">
        <v>180</v>
      </c>
      <c r="AL891" t="s">
        <v>15</v>
      </c>
      <c r="AM891">
        <v>1</v>
      </c>
      <c r="AN891" s="2">
        <v>9780748696581</v>
      </c>
    </row>
    <row r="892" spans="1:40" x14ac:dyDescent="0.3">
      <c r="A892" t="s">
        <v>4523</v>
      </c>
      <c r="B892" t="s">
        <v>1</v>
      </c>
      <c r="C892" t="s">
        <v>4524</v>
      </c>
      <c r="D892" t="s">
        <v>4525</v>
      </c>
      <c r="E892" t="s">
        <v>4526</v>
      </c>
      <c r="F892" t="s">
        <v>5</v>
      </c>
      <c r="G892" t="s">
        <v>6</v>
      </c>
      <c r="L892" t="s">
        <v>7</v>
      </c>
      <c r="M892">
        <v>2018</v>
      </c>
      <c r="N892" s="1">
        <v>44644</v>
      </c>
      <c r="O892" t="s">
        <v>4527</v>
      </c>
      <c r="P892">
        <v>1</v>
      </c>
      <c r="S892">
        <v>253.95</v>
      </c>
      <c r="T892">
        <v>290</v>
      </c>
      <c r="U892">
        <v>220</v>
      </c>
      <c r="V892" t="s">
        <v>79</v>
      </c>
      <c r="W892" t="s">
        <v>123</v>
      </c>
      <c r="X892" t="s">
        <v>123</v>
      </c>
      <c r="Y892" t="s">
        <v>124</v>
      </c>
      <c r="AF892" t="s">
        <v>13</v>
      </c>
      <c r="AG892" t="str">
        <f>HYPERLINK("https://doi.org/10.1515/9781474436779")</f>
        <v>https://doi.org/10.1515/9781474436779</v>
      </c>
      <c r="AH892" t="str">
        <f>HYPERLINK("http://www.degruyter.com/isbn/9781474436779")</f>
        <v>http://www.degruyter.com/isbn/9781474436779</v>
      </c>
      <c r="AI892" t="s">
        <v>46</v>
      </c>
      <c r="AL892" t="s">
        <v>83</v>
      </c>
      <c r="AM892">
        <v>1</v>
      </c>
      <c r="AN892" s="2">
        <v>9781474436755</v>
      </c>
    </row>
    <row r="893" spans="1:40" x14ac:dyDescent="0.3">
      <c r="A893" t="s">
        <v>4528</v>
      </c>
      <c r="B893" t="s">
        <v>1</v>
      </c>
      <c r="C893" t="s">
        <v>4529</v>
      </c>
      <c r="D893" t="s">
        <v>4530</v>
      </c>
      <c r="E893" t="s">
        <v>4531</v>
      </c>
      <c r="F893" t="s">
        <v>5</v>
      </c>
      <c r="G893" t="s">
        <v>6</v>
      </c>
      <c r="L893" t="s">
        <v>7</v>
      </c>
      <c r="M893">
        <v>2014</v>
      </c>
      <c r="N893" s="1">
        <v>41982</v>
      </c>
      <c r="O893" t="s">
        <v>2183</v>
      </c>
      <c r="P893">
        <v>1</v>
      </c>
      <c r="S893">
        <v>209.95</v>
      </c>
      <c r="T893">
        <v>240</v>
      </c>
      <c r="U893">
        <v>180</v>
      </c>
      <c r="V893" t="s">
        <v>42</v>
      </c>
      <c r="W893" t="s">
        <v>116</v>
      </c>
      <c r="X893" t="s">
        <v>116</v>
      </c>
      <c r="Y893" t="s">
        <v>117</v>
      </c>
      <c r="AF893" t="s">
        <v>13</v>
      </c>
      <c r="AG893" t="str">
        <f>HYPERLINK("https://doi.org/10.1515/9780748643370")</f>
        <v>https://doi.org/10.1515/9780748643370</v>
      </c>
      <c r="AH893" t="str">
        <f>HYPERLINK("http://www.degruyter.com/isbn/9780748643370")</f>
        <v>http://www.degruyter.com/isbn/9780748643370</v>
      </c>
      <c r="AI893" t="s">
        <v>34</v>
      </c>
      <c r="AL893" t="s">
        <v>47</v>
      </c>
      <c r="AM893">
        <v>1</v>
      </c>
      <c r="AN893" s="2">
        <v>9780748643363</v>
      </c>
    </row>
    <row r="894" spans="1:40" x14ac:dyDescent="0.3">
      <c r="A894" t="s">
        <v>4532</v>
      </c>
      <c r="B894" t="s">
        <v>1</v>
      </c>
      <c r="C894" t="s">
        <v>4533</v>
      </c>
      <c r="E894" t="s">
        <v>4534</v>
      </c>
      <c r="F894" t="s">
        <v>5</v>
      </c>
      <c r="G894" t="s">
        <v>6</v>
      </c>
      <c r="L894" t="s">
        <v>7</v>
      </c>
      <c r="M894">
        <v>2012</v>
      </c>
      <c r="N894" s="1">
        <v>40933</v>
      </c>
      <c r="O894" t="s">
        <v>4535</v>
      </c>
      <c r="P894">
        <v>1</v>
      </c>
      <c r="S894">
        <v>217.95</v>
      </c>
      <c r="T894">
        <v>250</v>
      </c>
      <c r="U894">
        <v>190</v>
      </c>
      <c r="V894" t="s">
        <v>20</v>
      </c>
      <c r="W894" t="s">
        <v>21</v>
      </c>
      <c r="X894" t="s">
        <v>458</v>
      </c>
      <c r="Y894" t="s">
        <v>459</v>
      </c>
      <c r="AF894" t="s">
        <v>13</v>
      </c>
      <c r="AG894" t="str">
        <f>HYPERLINK("https://doi.org/10.1515/9780748674619")</f>
        <v>https://doi.org/10.1515/9780748674619</v>
      </c>
      <c r="AH894" t="str">
        <f>HYPERLINK("http://www.degruyter.com/isbn/9780748674619")</f>
        <v>http://www.degruyter.com/isbn/9780748674619</v>
      </c>
      <c r="AI894" t="s">
        <v>68</v>
      </c>
      <c r="AL894" t="s">
        <v>15</v>
      </c>
      <c r="AM894">
        <v>1</v>
      </c>
      <c r="AN894" s="2">
        <v>9780748642953</v>
      </c>
    </row>
    <row r="895" spans="1:40" x14ac:dyDescent="0.3">
      <c r="A895" t="s">
        <v>4536</v>
      </c>
      <c r="B895" t="s">
        <v>1</v>
      </c>
      <c r="C895" t="s">
        <v>4537</v>
      </c>
      <c r="D895" t="s">
        <v>27</v>
      </c>
      <c r="E895" t="s">
        <v>4538</v>
      </c>
      <c r="F895" t="s">
        <v>5</v>
      </c>
      <c r="G895" t="s">
        <v>6</v>
      </c>
      <c r="L895" t="s">
        <v>7</v>
      </c>
      <c r="M895">
        <v>2008</v>
      </c>
      <c r="N895" s="1">
        <v>39553</v>
      </c>
      <c r="O895" t="s">
        <v>545</v>
      </c>
      <c r="P895">
        <v>1</v>
      </c>
      <c r="S895">
        <v>217.95</v>
      </c>
      <c r="T895">
        <v>250</v>
      </c>
      <c r="U895">
        <v>190</v>
      </c>
      <c r="V895" t="s">
        <v>42</v>
      </c>
      <c r="W895" t="s">
        <v>107</v>
      </c>
      <c r="X895" t="s">
        <v>108</v>
      </c>
      <c r="Y895" t="s">
        <v>109</v>
      </c>
      <c r="AF895" t="s">
        <v>13</v>
      </c>
      <c r="AG895" t="str">
        <f>HYPERLINK("https://doi.org/10.1515/9780748631315")</f>
        <v>https://doi.org/10.1515/9780748631315</v>
      </c>
      <c r="AH895" t="str">
        <f>HYPERLINK("http://www.degruyter.com/isbn/9780748631315")</f>
        <v>http://www.degruyter.com/isbn/9780748631315</v>
      </c>
      <c r="AI895" t="s">
        <v>68</v>
      </c>
      <c r="AL895" t="s">
        <v>47</v>
      </c>
      <c r="AM895">
        <v>1</v>
      </c>
      <c r="AN895" s="2">
        <v>9780748625994</v>
      </c>
    </row>
    <row r="896" spans="1:40" x14ac:dyDescent="0.3">
      <c r="A896" t="s">
        <v>4539</v>
      </c>
      <c r="B896" t="s">
        <v>1</v>
      </c>
      <c r="C896" t="s">
        <v>4540</v>
      </c>
      <c r="E896" t="s">
        <v>4541</v>
      </c>
      <c r="F896" t="s">
        <v>5</v>
      </c>
      <c r="G896" t="s">
        <v>6</v>
      </c>
      <c r="L896" t="s">
        <v>7</v>
      </c>
      <c r="M896">
        <v>2008</v>
      </c>
      <c r="N896" s="1">
        <v>39728</v>
      </c>
      <c r="O896" t="s">
        <v>4542</v>
      </c>
      <c r="P896">
        <v>1</v>
      </c>
      <c r="S896">
        <v>279.95</v>
      </c>
      <c r="T896">
        <v>320</v>
      </c>
      <c r="U896">
        <v>240</v>
      </c>
      <c r="V896" t="s">
        <v>58</v>
      </c>
      <c r="W896" t="s">
        <v>129</v>
      </c>
      <c r="X896" t="s">
        <v>1290</v>
      </c>
      <c r="Y896" t="s">
        <v>1291</v>
      </c>
      <c r="AF896" t="s">
        <v>13</v>
      </c>
      <c r="AG896" t="str">
        <f>HYPERLINK("https://doi.org/10.1515/9780748631322?locatt=mode:legacy")</f>
        <v>https://doi.org/10.1515/9780748631322?locatt=mode:legacy</v>
      </c>
      <c r="AH896" t="str">
        <f>HYPERLINK("http://www.degruyter.com/isbn/9780748631322")</f>
        <v>http://www.degruyter.com/isbn/9780748631322</v>
      </c>
      <c r="AI896" t="s">
        <v>68</v>
      </c>
      <c r="AL896" t="s">
        <v>62</v>
      </c>
      <c r="AM896">
        <v>1</v>
      </c>
      <c r="AN896" s="2">
        <v>9780748626014</v>
      </c>
    </row>
    <row r="897" spans="1:40" x14ac:dyDescent="0.3">
      <c r="A897" t="s">
        <v>4543</v>
      </c>
      <c r="B897" t="s">
        <v>1</v>
      </c>
      <c r="C897" t="s">
        <v>1998</v>
      </c>
      <c r="D897" t="s">
        <v>4544</v>
      </c>
      <c r="E897" t="s">
        <v>2000</v>
      </c>
      <c r="F897" t="s">
        <v>5</v>
      </c>
      <c r="G897" t="s">
        <v>6</v>
      </c>
      <c r="L897" t="s">
        <v>7</v>
      </c>
      <c r="M897">
        <v>2007</v>
      </c>
      <c r="N897" s="1">
        <v>44607</v>
      </c>
      <c r="O897" t="s">
        <v>4545</v>
      </c>
      <c r="P897">
        <v>1</v>
      </c>
      <c r="S897">
        <v>217.95</v>
      </c>
      <c r="T897">
        <v>250</v>
      </c>
      <c r="U897">
        <v>190</v>
      </c>
      <c r="V897" t="s">
        <v>20</v>
      </c>
      <c r="W897" t="s">
        <v>21</v>
      </c>
      <c r="X897" t="s">
        <v>575</v>
      </c>
      <c r="Y897" t="s">
        <v>576</v>
      </c>
      <c r="AF897" t="s">
        <v>13</v>
      </c>
      <c r="AG897" t="str">
        <f>HYPERLINK("https://www.degruyter.com/isbn/9781474468879")</f>
        <v>https://www.degruyter.com/isbn/9781474468879</v>
      </c>
      <c r="AH897" t="str">
        <f>HYPERLINK("http://www.degruyter.com/isbn/9781474468879")</f>
        <v>http://www.degruyter.com/isbn/9781474468879</v>
      </c>
      <c r="AI897" t="s">
        <v>68</v>
      </c>
      <c r="AL897" t="s">
        <v>15</v>
      </c>
      <c r="AM897">
        <v>1</v>
      </c>
      <c r="AN897" s="2">
        <v>9781845860288</v>
      </c>
    </row>
    <row r="898" spans="1:40" x14ac:dyDescent="0.3">
      <c r="A898" t="s">
        <v>4546</v>
      </c>
      <c r="B898" t="s">
        <v>1</v>
      </c>
      <c r="C898" t="s">
        <v>4547</v>
      </c>
      <c r="D898" t="s">
        <v>4548</v>
      </c>
      <c r="E898" t="s">
        <v>4549</v>
      </c>
      <c r="F898" t="s">
        <v>5</v>
      </c>
      <c r="G898" t="s">
        <v>6</v>
      </c>
      <c r="L898" t="s">
        <v>7</v>
      </c>
      <c r="M898">
        <v>1999</v>
      </c>
      <c r="N898" s="1">
        <v>44599</v>
      </c>
      <c r="O898" t="s">
        <v>4550</v>
      </c>
      <c r="P898">
        <v>1</v>
      </c>
      <c r="S898">
        <v>295.95</v>
      </c>
      <c r="T898">
        <v>340</v>
      </c>
      <c r="U898">
        <v>260</v>
      </c>
      <c r="V898" t="s">
        <v>89</v>
      </c>
      <c r="W898" t="s">
        <v>90</v>
      </c>
      <c r="X898" t="s">
        <v>1210</v>
      </c>
      <c r="Y898" t="s">
        <v>4551</v>
      </c>
      <c r="AF898" t="s">
        <v>13</v>
      </c>
      <c r="AG898" t="str">
        <f>HYPERLINK("https://doi.org/10.1515/9781474464697")</f>
        <v>https://doi.org/10.1515/9781474464697</v>
      </c>
      <c r="AH898" t="str">
        <f>HYPERLINK("http://www.degruyter.com/isbn/9781474464697")</f>
        <v>http://www.degruyter.com/isbn/9781474464697</v>
      </c>
      <c r="AI898" t="s">
        <v>24</v>
      </c>
      <c r="AL898" t="s">
        <v>83</v>
      </c>
      <c r="AM898">
        <v>1</v>
      </c>
      <c r="AN898" s="2">
        <v>9780748610488</v>
      </c>
    </row>
    <row r="899" spans="1:40" x14ac:dyDescent="0.3">
      <c r="A899" t="s">
        <v>4552</v>
      </c>
      <c r="B899" t="s">
        <v>1</v>
      </c>
      <c r="C899" t="s">
        <v>4553</v>
      </c>
      <c r="E899" t="s">
        <v>4554</v>
      </c>
      <c r="F899" t="s">
        <v>5</v>
      </c>
      <c r="G899" t="s">
        <v>6</v>
      </c>
      <c r="L899" t="s">
        <v>7</v>
      </c>
      <c r="M899">
        <v>2006</v>
      </c>
      <c r="N899" s="1">
        <v>44634</v>
      </c>
      <c r="O899" t="s">
        <v>3371</v>
      </c>
      <c r="P899">
        <v>1</v>
      </c>
      <c r="S899">
        <v>217.95</v>
      </c>
      <c r="T899">
        <v>250</v>
      </c>
      <c r="U899">
        <v>190</v>
      </c>
      <c r="V899" t="s">
        <v>79</v>
      </c>
      <c r="W899" t="s">
        <v>209</v>
      </c>
      <c r="X899" t="s">
        <v>209</v>
      </c>
      <c r="Y899" t="s">
        <v>510</v>
      </c>
      <c r="AF899" t="s">
        <v>13</v>
      </c>
      <c r="AG899" t="str">
        <f>HYPERLINK("https://doi.org/10.1515/9781474473132")</f>
        <v>https://doi.org/10.1515/9781474473132</v>
      </c>
      <c r="AH899" t="str">
        <f>HYPERLINK("http://www.degruyter.com/isbn/9781474473132")</f>
        <v>http://www.degruyter.com/isbn/9781474473132</v>
      </c>
      <c r="AI899" t="s">
        <v>68</v>
      </c>
      <c r="AL899" t="s">
        <v>83</v>
      </c>
      <c r="AM899">
        <v>1</v>
      </c>
      <c r="AN899" s="2">
        <v>9780748622504</v>
      </c>
    </row>
    <row r="900" spans="1:40" x14ac:dyDescent="0.3">
      <c r="A900" t="s">
        <v>4555</v>
      </c>
      <c r="B900" t="s">
        <v>1</v>
      </c>
      <c r="C900" t="s">
        <v>2222</v>
      </c>
      <c r="D900" t="s">
        <v>4556</v>
      </c>
      <c r="E900" t="s">
        <v>2224</v>
      </c>
      <c r="F900" t="s">
        <v>5</v>
      </c>
      <c r="G900" t="s">
        <v>6</v>
      </c>
      <c r="L900" t="s">
        <v>7</v>
      </c>
      <c r="M900">
        <v>2015</v>
      </c>
      <c r="N900" s="1">
        <v>42352</v>
      </c>
      <c r="O900" t="s">
        <v>4557</v>
      </c>
      <c r="P900">
        <v>1</v>
      </c>
      <c r="S900">
        <v>217.95</v>
      </c>
      <c r="T900">
        <v>250</v>
      </c>
      <c r="U900">
        <v>190</v>
      </c>
      <c r="V900" t="s">
        <v>42</v>
      </c>
      <c r="W900" t="s">
        <v>290</v>
      </c>
      <c r="X900" t="s">
        <v>290</v>
      </c>
      <c r="Y900" t="s">
        <v>515</v>
      </c>
      <c r="AF900" t="s">
        <v>13</v>
      </c>
      <c r="AG900" t="str">
        <f>HYPERLINK("https://doi.org/10.1515/9781474401937?locatt=mode:legacy")</f>
        <v>https://doi.org/10.1515/9781474401937?locatt=mode:legacy</v>
      </c>
      <c r="AH900" t="str">
        <f>HYPERLINK("http://www.degruyter.com/isbn/9781474401937")</f>
        <v>http://www.degruyter.com/isbn/9781474401937</v>
      </c>
      <c r="AI900" t="s">
        <v>34</v>
      </c>
      <c r="AL900" t="s">
        <v>47</v>
      </c>
      <c r="AM900">
        <v>1</v>
      </c>
      <c r="AN900" s="2">
        <v>9781474401920</v>
      </c>
    </row>
    <row r="901" spans="1:40" x14ac:dyDescent="0.3">
      <c r="A901" t="s">
        <v>4558</v>
      </c>
      <c r="B901" t="s">
        <v>1</v>
      </c>
      <c r="C901" t="s">
        <v>1998</v>
      </c>
      <c r="D901" t="s">
        <v>4559</v>
      </c>
      <c r="E901" t="s">
        <v>2000</v>
      </c>
      <c r="F901" t="s">
        <v>5</v>
      </c>
      <c r="G901" t="s">
        <v>6</v>
      </c>
      <c r="L901" t="s">
        <v>7</v>
      </c>
      <c r="M901">
        <v>2009</v>
      </c>
      <c r="N901" s="1">
        <v>40087</v>
      </c>
      <c r="O901" t="s">
        <v>4560</v>
      </c>
      <c r="P901">
        <v>1</v>
      </c>
      <c r="S901">
        <v>227.95</v>
      </c>
      <c r="T901">
        <v>260</v>
      </c>
      <c r="U901">
        <v>200</v>
      </c>
      <c r="V901" t="s">
        <v>9</v>
      </c>
      <c r="W901" t="s">
        <v>10</v>
      </c>
      <c r="X901" t="s">
        <v>11</v>
      </c>
      <c r="Y901" t="s">
        <v>12</v>
      </c>
      <c r="AF901" t="s">
        <v>13</v>
      </c>
      <c r="AG901" t="str">
        <f>HYPERLINK("https://doi.org/10.1515/9780748633937")</f>
        <v>https://doi.org/10.1515/9780748633937</v>
      </c>
      <c r="AH901" t="str">
        <f>HYPERLINK("http://www.degruyter.com/isbn/9780748633937")</f>
        <v>http://www.degruyter.com/isbn/9780748633937</v>
      </c>
      <c r="AI901" t="s">
        <v>68</v>
      </c>
      <c r="AL901" t="s">
        <v>15</v>
      </c>
      <c r="AM901">
        <v>1</v>
      </c>
      <c r="AN901" s="2">
        <v>9780748633913</v>
      </c>
    </row>
    <row r="902" spans="1:40" x14ac:dyDescent="0.3">
      <c r="A902" t="s">
        <v>4561</v>
      </c>
      <c r="B902" t="s">
        <v>1</v>
      </c>
      <c r="C902" t="s">
        <v>4562</v>
      </c>
      <c r="E902" t="s">
        <v>4563</v>
      </c>
      <c r="F902" t="s">
        <v>5</v>
      </c>
      <c r="G902" t="s">
        <v>6</v>
      </c>
      <c r="K902" t="s">
        <v>929</v>
      </c>
      <c r="L902" t="s">
        <v>7</v>
      </c>
      <c r="M902">
        <v>2016</v>
      </c>
      <c r="N902" s="1">
        <v>42521</v>
      </c>
      <c r="O902" t="s">
        <v>4564</v>
      </c>
      <c r="P902">
        <v>1</v>
      </c>
      <c r="V902" t="s">
        <v>329</v>
      </c>
      <c r="W902" t="s">
        <v>330</v>
      </c>
      <c r="X902" t="s">
        <v>331</v>
      </c>
      <c r="Y902" t="s">
        <v>332</v>
      </c>
      <c r="AF902" t="s">
        <v>13</v>
      </c>
      <c r="AG902" t="str">
        <f>HYPERLINK("https://doi.org/10.1515/9781474411080?locatt=mode:legacy")</f>
        <v>https://doi.org/10.1515/9781474411080?locatt=mode:legacy</v>
      </c>
      <c r="AH902" t="str">
        <f>HYPERLINK("http://www.degruyter.com/isbn/9781474411080")</f>
        <v>http://www.degruyter.com/isbn/9781474411080</v>
      </c>
      <c r="AI902" t="s">
        <v>180</v>
      </c>
      <c r="AM902">
        <v>1</v>
      </c>
      <c r="AN902" s="2"/>
    </row>
    <row r="903" spans="1:40" x14ac:dyDescent="0.3">
      <c r="A903" t="s">
        <v>4565</v>
      </c>
      <c r="B903" t="s">
        <v>1</v>
      </c>
      <c r="C903" t="s">
        <v>4566</v>
      </c>
      <c r="D903" t="s">
        <v>4567</v>
      </c>
      <c r="E903" t="s">
        <v>4568</v>
      </c>
      <c r="F903" t="s">
        <v>5</v>
      </c>
      <c r="G903" t="s">
        <v>6</v>
      </c>
      <c r="L903" t="s">
        <v>7</v>
      </c>
      <c r="M903">
        <v>2010</v>
      </c>
      <c r="N903" s="1">
        <v>40390</v>
      </c>
      <c r="O903" t="s">
        <v>4569</v>
      </c>
      <c r="P903">
        <v>1</v>
      </c>
      <c r="S903">
        <v>243.95</v>
      </c>
      <c r="T903">
        <v>280</v>
      </c>
      <c r="U903">
        <v>210</v>
      </c>
      <c r="V903" t="s">
        <v>98</v>
      </c>
      <c r="W903" t="s">
        <v>99</v>
      </c>
      <c r="X903" t="s">
        <v>386</v>
      </c>
      <c r="Y903" t="s">
        <v>387</v>
      </c>
      <c r="AF903" t="s">
        <v>13</v>
      </c>
      <c r="AG903" t="str">
        <f>HYPERLINK("https://doi.org/10.1515/9780748635993?locatt=mode:legacy")</f>
        <v>https://doi.org/10.1515/9780748635993?locatt=mode:legacy</v>
      </c>
      <c r="AH903" t="str">
        <f>HYPERLINK("http://www.degruyter.com/isbn/9780748635993")</f>
        <v>http://www.degruyter.com/isbn/9780748635993</v>
      </c>
      <c r="AI903" t="s">
        <v>68</v>
      </c>
      <c r="AL903" t="s">
        <v>102</v>
      </c>
      <c r="AM903">
        <v>1</v>
      </c>
      <c r="AN903" s="2">
        <v>9780748635986</v>
      </c>
    </row>
    <row r="904" spans="1:40" x14ac:dyDescent="0.3">
      <c r="A904" t="s">
        <v>4570</v>
      </c>
      <c r="B904" t="s">
        <v>1</v>
      </c>
      <c r="C904" t="s">
        <v>4571</v>
      </c>
      <c r="E904" t="s">
        <v>4572</v>
      </c>
      <c r="F904" t="s">
        <v>5</v>
      </c>
      <c r="G904" t="s">
        <v>6</v>
      </c>
      <c r="L904" t="s">
        <v>7</v>
      </c>
      <c r="M904">
        <v>2017</v>
      </c>
      <c r="N904" s="1">
        <v>42999</v>
      </c>
      <c r="O904" t="s">
        <v>4573</v>
      </c>
      <c r="P904">
        <v>1</v>
      </c>
      <c r="S904">
        <v>253.95</v>
      </c>
      <c r="T904">
        <v>290</v>
      </c>
      <c r="U904">
        <v>220</v>
      </c>
      <c r="V904" t="s">
        <v>79</v>
      </c>
      <c r="W904" t="s">
        <v>209</v>
      </c>
      <c r="X904" t="s">
        <v>209</v>
      </c>
      <c r="Y904" t="s">
        <v>1951</v>
      </c>
      <c r="AF904" t="s">
        <v>13</v>
      </c>
      <c r="AG904" t="str">
        <f>HYPERLINK("https://doi.org/10.1515/9781474423656")</f>
        <v>https://doi.org/10.1515/9781474423656</v>
      </c>
      <c r="AH904" t="str">
        <f>HYPERLINK("http://www.degruyter.com/isbn/9781474423656")</f>
        <v>http://www.degruyter.com/isbn/9781474423656</v>
      </c>
      <c r="AI904" t="s">
        <v>222</v>
      </c>
      <c r="AL904" t="s">
        <v>83</v>
      </c>
      <c r="AM904">
        <v>1</v>
      </c>
      <c r="AN904" s="2">
        <v>9781474423632</v>
      </c>
    </row>
    <row r="905" spans="1:40" x14ac:dyDescent="0.3">
      <c r="A905" t="s">
        <v>4574</v>
      </c>
      <c r="B905" t="s">
        <v>1</v>
      </c>
      <c r="C905" t="s">
        <v>4575</v>
      </c>
      <c r="D905" t="s">
        <v>4576</v>
      </c>
      <c r="E905" t="s">
        <v>4577</v>
      </c>
      <c r="F905" t="s">
        <v>5</v>
      </c>
      <c r="G905" t="s">
        <v>6</v>
      </c>
      <c r="L905" t="s">
        <v>7</v>
      </c>
      <c r="M905">
        <v>2006</v>
      </c>
      <c r="N905" s="1">
        <v>38806</v>
      </c>
      <c r="O905" t="s">
        <v>4578</v>
      </c>
      <c r="P905">
        <v>1</v>
      </c>
      <c r="S905">
        <v>243.95</v>
      </c>
      <c r="T905">
        <v>280</v>
      </c>
      <c r="U905">
        <v>210</v>
      </c>
      <c r="V905" t="s">
        <v>42</v>
      </c>
      <c r="W905" t="s">
        <v>43</v>
      </c>
      <c r="X905" t="s">
        <v>44</v>
      </c>
      <c r="Y905" t="s">
        <v>45</v>
      </c>
      <c r="AF905" t="s">
        <v>13</v>
      </c>
      <c r="AG905" t="str">
        <f>HYPERLINK("https://doi.org/10.1515/9780748626632")</f>
        <v>https://doi.org/10.1515/9780748626632</v>
      </c>
      <c r="AH905" t="str">
        <f>HYPERLINK("http://www.degruyter.com/isbn/9780748626632")</f>
        <v>http://www.degruyter.com/isbn/9780748626632</v>
      </c>
      <c r="AI905" t="s">
        <v>68</v>
      </c>
      <c r="AJ905" t="s">
        <v>35</v>
      </c>
      <c r="AL905" t="s">
        <v>520</v>
      </c>
      <c r="AM905">
        <v>1</v>
      </c>
      <c r="AN905" s="2">
        <v>9780748621651</v>
      </c>
    </row>
    <row r="906" spans="1:40" x14ac:dyDescent="0.3">
      <c r="A906" t="s">
        <v>4579</v>
      </c>
      <c r="B906" t="s">
        <v>1</v>
      </c>
      <c r="C906" t="s">
        <v>4580</v>
      </c>
      <c r="D906" t="s">
        <v>4581</v>
      </c>
      <c r="E906" t="s">
        <v>4582</v>
      </c>
      <c r="F906" t="s">
        <v>5</v>
      </c>
      <c r="G906" t="s">
        <v>6</v>
      </c>
      <c r="L906" t="s">
        <v>7</v>
      </c>
      <c r="M906">
        <v>2018</v>
      </c>
      <c r="N906" s="1">
        <v>44656</v>
      </c>
      <c r="O906" t="s">
        <v>4583</v>
      </c>
      <c r="P906">
        <v>1</v>
      </c>
      <c r="S906">
        <v>227.95</v>
      </c>
      <c r="T906">
        <v>260</v>
      </c>
      <c r="U906">
        <v>200</v>
      </c>
      <c r="V906" t="s">
        <v>9</v>
      </c>
      <c r="W906" t="s">
        <v>10</v>
      </c>
      <c r="X906" t="s">
        <v>11</v>
      </c>
      <c r="Y906" t="s">
        <v>52</v>
      </c>
      <c r="AF906" t="s">
        <v>13</v>
      </c>
      <c r="AG906" t="str">
        <f>HYPERLINK("https://doi.org/10.1515/9781474421843")</f>
        <v>https://doi.org/10.1515/9781474421843</v>
      </c>
      <c r="AH906" t="str">
        <f>HYPERLINK("http://www.degruyter.com/isbn/9781474421843")</f>
        <v>http://www.degruyter.com/isbn/9781474421843</v>
      </c>
      <c r="AI906" t="s">
        <v>46</v>
      </c>
      <c r="AL906" t="s">
        <v>15</v>
      </c>
      <c r="AM906">
        <v>1</v>
      </c>
      <c r="AN906" s="2">
        <v>9781474421836</v>
      </c>
    </row>
    <row r="907" spans="1:40" x14ac:dyDescent="0.3">
      <c r="A907" t="s">
        <v>4584</v>
      </c>
      <c r="B907" t="s">
        <v>1</v>
      </c>
      <c r="C907" t="s">
        <v>4585</v>
      </c>
      <c r="D907" t="s">
        <v>4586</v>
      </c>
      <c r="E907" t="s">
        <v>4587</v>
      </c>
      <c r="F907" t="s">
        <v>5</v>
      </c>
      <c r="G907" t="s">
        <v>6</v>
      </c>
      <c r="L907" t="s">
        <v>7</v>
      </c>
      <c r="M907">
        <v>2015</v>
      </c>
      <c r="N907" s="1">
        <v>42142</v>
      </c>
      <c r="O907" t="s">
        <v>4588</v>
      </c>
      <c r="P907">
        <v>1</v>
      </c>
      <c r="S907">
        <v>253.95</v>
      </c>
      <c r="T907">
        <v>290</v>
      </c>
      <c r="U907">
        <v>220</v>
      </c>
      <c r="V907" t="s">
        <v>79</v>
      </c>
      <c r="W907" t="s">
        <v>209</v>
      </c>
      <c r="X907" t="s">
        <v>209</v>
      </c>
      <c r="Y907" t="s">
        <v>510</v>
      </c>
      <c r="AF907" t="s">
        <v>13</v>
      </c>
      <c r="AG907" t="str">
        <f>HYPERLINK("https://doi.org/10.1515/9780748694648")</f>
        <v>https://doi.org/10.1515/9780748694648</v>
      </c>
      <c r="AH907" t="str">
        <f>HYPERLINK("http://www.degruyter.com/isbn/9780748694648")</f>
        <v>http://www.degruyter.com/isbn/9780748694648</v>
      </c>
      <c r="AI907" t="s">
        <v>1247</v>
      </c>
      <c r="AL907" t="s">
        <v>83</v>
      </c>
      <c r="AM907">
        <v>1</v>
      </c>
      <c r="AN907" s="2">
        <v>9780748694624</v>
      </c>
    </row>
    <row r="908" spans="1:40" x14ac:dyDescent="0.3">
      <c r="A908" t="s">
        <v>4589</v>
      </c>
      <c r="B908" t="s">
        <v>1</v>
      </c>
      <c r="C908" t="s">
        <v>4590</v>
      </c>
      <c r="D908" t="s">
        <v>4591</v>
      </c>
      <c r="E908" t="s">
        <v>4592</v>
      </c>
      <c r="F908" t="s">
        <v>5</v>
      </c>
      <c r="G908" t="s">
        <v>6</v>
      </c>
      <c r="L908" t="s">
        <v>7</v>
      </c>
      <c r="M908">
        <v>2004</v>
      </c>
      <c r="N908" s="1">
        <v>38050</v>
      </c>
      <c r="O908" t="s">
        <v>3770</v>
      </c>
      <c r="P908">
        <v>1</v>
      </c>
      <c r="S908">
        <v>217.95</v>
      </c>
      <c r="T908">
        <v>250</v>
      </c>
      <c r="U908">
        <v>190</v>
      </c>
      <c r="V908" t="s">
        <v>20</v>
      </c>
      <c r="W908" t="s">
        <v>21</v>
      </c>
      <c r="X908" t="s">
        <v>22</v>
      </c>
      <c r="Y908" t="s">
        <v>23</v>
      </c>
      <c r="AF908" t="s">
        <v>13</v>
      </c>
      <c r="AG908" t="str">
        <f>HYPERLINK("https://doi.org/10.1515/9780748679744?locatt=mode:legacy")</f>
        <v>https://doi.org/10.1515/9780748679744?locatt=mode:legacy</v>
      </c>
      <c r="AH908" t="str">
        <f>HYPERLINK("http://www.degruyter.com/isbn/9780748679744")</f>
        <v>http://www.degruyter.com/isbn/9780748679744</v>
      </c>
      <c r="AI908" t="s">
        <v>68</v>
      </c>
      <c r="AL908" t="s">
        <v>15</v>
      </c>
      <c r="AM908">
        <v>1</v>
      </c>
      <c r="AN908" s="2">
        <v>9780748617845</v>
      </c>
    </row>
    <row r="909" spans="1:40" x14ac:dyDescent="0.3">
      <c r="A909" t="s">
        <v>4593</v>
      </c>
      <c r="B909" t="s">
        <v>1</v>
      </c>
      <c r="C909" t="s">
        <v>4594</v>
      </c>
      <c r="E909" t="s">
        <v>4595</v>
      </c>
      <c r="F909" t="s">
        <v>5</v>
      </c>
      <c r="G909" t="s">
        <v>6</v>
      </c>
      <c r="L909" t="s">
        <v>7</v>
      </c>
      <c r="M909">
        <v>2006</v>
      </c>
      <c r="N909" s="1">
        <v>38908</v>
      </c>
      <c r="O909" t="s">
        <v>4596</v>
      </c>
      <c r="P909">
        <v>1</v>
      </c>
      <c r="S909">
        <v>217.95</v>
      </c>
      <c r="T909">
        <v>250</v>
      </c>
      <c r="U909">
        <v>190</v>
      </c>
      <c r="V909" t="s">
        <v>268</v>
      </c>
      <c r="W909" t="s">
        <v>269</v>
      </c>
      <c r="X909" t="s">
        <v>269</v>
      </c>
      <c r="Y909" t="s">
        <v>4597</v>
      </c>
      <c r="AF909" t="s">
        <v>13</v>
      </c>
      <c r="AG909" t="str">
        <f>HYPERLINK("https://doi.org/10.1515/9780748627158?locatt=mode:legacy")</f>
        <v>https://doi.org/10.1515/9780748627158?locatt=mode:legacy</v>
      </c>
      <c r="AH909" t="str">
        <f>HYPERLINK("http://www.degruyter.com/isbn/9780748627158")</f>
        <v>http://www.degruyter.com/isbn/9780748627158</v>
      </c>
      <c r="AI909" t="s">
        <v>444</v>
      </c>
      <c r="AL909" t="s">
        <v>272</v>
      </c>
      <c r="AM909">
        <v>1</v>
      </c>
      <c r="AN909" s="2">
        <v>9780748621668</v>
      </c>
    </row>
    <row r="910" spans="1:40" x14ac:dyDescent="0.3">
      <c r="A910" t="s">
        <v>4598</v>
      </c>
      <c r="B910" t="s">
        <v>1</v>
      </c>
      <c r="C910" t="s">
        <v>4599</v>
      </c>
      <c r="D910" t="s">
        <v>4600</v>
      </c>
      <c r="E910" t="s">
        <v>4601</v>
      </c>
      <c r="F910" t="s">
        <v>5</v>
      </c>
      <c r="G910" t="s">
        <v>6</v>
      </c>
      <c r="L910" t="s">
        <v>7</v>
      </c>
      <c r="M910">
        <v>2002</v>
      </c>
      <c r="N910" s="1">
        <v>44607</v>
      </c>
      <c r="O910" t="s">
        <v>4602</v>
      </c>
      <c r="P910">
        <v>1</v>
      </c>
      <c r="S910">
        <v>217.95</v>
      </c>
      <c r="T910">
        <v>250</v>
      </c>
      <c r="U910">
        <v>190</v>
      </c>
      <c r="V910" t="s">
        <v>79</v>
      </c>
      <c r="W910" t="s">
        <v>227</v>
      </c>
      <c r="X910" t="s">
        <v>234</v>
      </c>
      <c r="Y910" t="s">
        <v>355</v>
      </c>
      <c r="AF910" t="s">
        <v>13</v>
      </c>
      <c r="AG910" t="str">
        <f>HYPERLINK("https://doi.org/10.1515/9781474472630")</f>
        <v>https://doi.org/10.1515/9781474472630</v>
      </c>
      <c r="AH910" t="str">
        <f>HYPERLINK("http://www.degruyter.com/isbn/9781474472630")</f>
        <v>http://www.degruyter.com/isbn/9781474472630</v>
      </c>
      <c r="AI910" t="s">
        <v>68</v>
      </c>
      <c r="AL910" t="s">
        <v>83</v>
      </c>
      <c r="AM910">
        <v>1</v>
      </c>
      <c r="AN910" s="2">
        <v>9780748615063</v>
      </c>
    </row>
    <row r="911" spans="1:40" x14ac:dyDescent="0.3">
      <c r="A911" t="s">
        <v>4603</v>
      </c>
      <c r="B911" t="s">
        <v>1</v>
      </c>
      <c r="C911" t="s">
        <v>4604</v>
      </c>
      <c r="D911" t="s">
        <v>4605</v>
      </c>
      <c r="E911" t="s">
        <v>4606</v>
      </c>
      <c r="F911" t="s">
        <v>5</v>
      </c>
      <c r="G911" t="s">
        <v>6</v>
      </c>
      <c r="L911" t="s">
        <v>7</v>
      </c>
      <c r="M911">
        <v>2006</v>
      </c>
      <c r="N911" s="1">
        <v>38911</v>
      </c>
      <c r="O911" t="s">
        <v>4607</v>
      </c>
      <c r="P911">
        <v>1</v>
      </c>
      <c r="S911">
        <v>74.95</v>
      </c>
      <c r="T911">
        <v>83.95</v>
      </c>
      <c r="U911">
        <v>64</v>
      </c>
      <c r="V911" t="s">
        <v>42</v>
      </c>
      <c r="W911" t="s">
        <v>43</v>
      </c>
      <c r="X911" t="s">
        <v>1061</v>
      </c>
      <c r="Y911" t="s">
        <v>4608</v>
      </c>
      <c r="AF911" t="s">
        <v>13</v>
      </c>
      <c r="AG911" t="str">
        <f>HYPERLINK("https://doi.org/10.1515/9780748627059?locatt=mode:legacy")</f>
        <v>https://doi.org/10.1515/9780748627059?locatt=mode:legacy</v>
      </c>
      <c r="AH911" t="str">
        <f>HYPERLINK("http://www.degruyter.com/isbn/9780748627059")</f>
        <v>http://www.degruyter.com/isbn/9780748627059</v>
      </c>
      <c r="AI911" t="s">
        <v>68</v>
      </c>
      <c r="AL911" t="s">
        <v>47</v>
      </c>
      <c r="AM911">
        <v>1</v>
      </c>
      <c r="AN911" s="2">
        <v>9780748623525</v>
      </c>
    </row>
    <row r="912" spans="1:40" x14ac:dyDescent="0.3">
      <c r="A912" t="s">
        <v>4609</v>
      </c>
      <c r="B912" t="s">
        <v>1</v>
      </c>
      <c r="C912" t="s">
        <v>4610</v>
      </c>
      <c r="E912" t="s">
        <v>4611</v>
      </c>
      <c r="F912" t="s">
        <v>5</v>
      </c>
      <c r="G912" t="s">
        <v>6</v>
      </c>
      <c r="L912" t="s">
        <v>7</v>
      </c>
      <c r="M912">
        <v>2006</v>
      </c>
      <c r="N912" s="1">
        <v>38723</v>
      </c>
      <c r="O912" t="s">
        <v>4612</v>
      </c>
      <c r="P912">
        <v>1</v>
      </c>
      <c r="S912">
        <v>279.95</v>
      </c>
      <c r="T912">
        <v>320</v>
      </c>
      <c r="U912">
        <v>240</v>
      </c>
      <c r="V912" t="s">
        <v>89</v>
      </c>
      <c r="W912" t="s">
        <v>90</v>
      </c>
      <c r="X912" t="s">
        <v>91</v>
      </c>
      <c r="Y912" t="s">
        <v>717</v>
      </c>
      <c r="AF912" t="s">
        <v>13</v>
      </c>
      <c r="AG912" t="str">
        <f>HYPERLINK("https://doi.org/10.1515/9780748626298?locatt=mode:legacy")</f>
        <v>https://doi.org/10.1515/9780748626298?locatt=mode:legacy</v>
      </c>
      <c r="AH912" t="str">
        <f>HYPERLINK("http://www.degruyter.com/isbn/9780748626298")</f>
        <v>http://www.degruyter.com/isbn/9780748626298</v>
      </c>
      <c r="AI912" t="s">
        <v>68</v>
      </c>
      <c r="AL912" t="s">
        <v>83</v>
      </c>
      <c r="AM912">
        <v>1</v>
      </c>
      <c r="AN912" s="2">
        <v>9780748617326</v>
      </c>
    </row>
    <row r="913" spans="1:40" x14ac:dyDescent="0.3">
      <c r="A913" t="s">
        <v>4613</v>
      </c>
      <c r="B913" t="s">
        <v>1</v>
      </c>
      <c r="C913" t="s">
        <v>4614</v>
      </c>
      <c r="E913" t="s">
        <v>4615</v>
      </c>
      <c r="F913" t="s">
        <v>5</v>
      </c>
      <c r="G913" t="s">
        <v>6</v>
      </c>
      <c r="L913" t="s">
        <v>7</v>
      </c>
      <c r="M913">
        <v>2018</v>
      </c>
      <c r="N913" s="1">
        <v>44644</v>
      </c>
      <c r="O913" t="s">
        <v>4616</v>
      </c>
      <c r="P913">
        <v>1</v>
      </c>
      <c r="S913">
        <v>217.95</v>
      </c>
      <c r="T913">
        <v>250</v>
      </c>
      <c r="U913">
        <v>190</v>
      </c>
      <c r="V913" t="s">
        <v>42</v>
      </c>
      <c r="W913" t="s">
        <v>290</v>
      </c>
      <c r="X913" t="s">
        <v>290</v>
      </c>
      <c r="Y913" t="s">
        <v>515</v>
      </c>
      <c r="AF913" t="s">
        <v>13</v>
      </c>
      <c r="AG913" t="str">
        <f>HYPERLINK("https://doi.org/10.1515/9781474427753?locatt=mode:legacy")</f>
        <v>https://doi.org/10.1515/9781474427753?locatt=mode:legacy</v>
      </c>
      <c r="AH913" t="str">
        <f>HYPERLINK("http://www.degruyter.com/isbn/9781474427753")</f>
        <v>http://www.degruyter.com/isbn/9781474427753</v>
      </c>
      <c r="AI913" t="s">
        <v>46</v>
      </c>
      <c r="AL913" t="s">
        <v>47</v>
      </c>
      <c r="AM913">
        <v>1</v>
      </c>
      <c r="AN913" s="2">
        <v>9781474427739</v>
      </c>
    </row>
    <row r="914" spans="1:40" x14ac:dyDescent="0.3">
      <c r="A914" t="s">
        <v>4617</v>
      </c>
      <c r="B914" t="s">
        <v>1</v>
      </c>
      <c r="C914" t="s">
        <v>4618</v>
      </c>
      <c r="D914" t="s">
        <v>4619</v>
      </c>
      <c r="E914" t="s">
        <v>4620</v>
      </c>
      <c r="F914" t="s">
        <v>5</v>
      </c>
      <c r="G914" t="s">
        <v>6</v>
      </c>
      <c r="L914" t="s">
        <v>7</v>
      </c>
      <c r="M914">
        <v>2010</v>
      </c>
      <c r="N914" s="1">
        <v>44622</v>
      </c>
      <c r="O914" t="s">
        <v>4621</v>
      </c>
      <c r="P914">
        <v>1</v>
      </c>
      <c r="S914">
        <v>217.95</v>
      </c>
      <c r="T914">
        <v>250</v>
      </c>
      <c r="U914">
        <v>190</v>
      </c>
      <c r="V914" t="s">
        <v>9</v>
      </c>
      <c r="W914" t="s">
        <v>10</v>
      </c>
      <c r="X914" t="s">
        <v>11</v>
      </c>
      <c r="Y914" t="s">
        <v>12</v>
      </c>
      <c r="AF914" t="s">
        <v>13</v>
      </c>
      <c r="AG914" t="str">
        <f>HYPERLINK("https://doi.org/10.1515/9780748630523?locatt=mode:legacy")</f>
        <v>https://doi.org/10.1515/9780748630523?locatt=mode:legacy</v>
      </c>
      <c r="AH914" t="str">
        <f>HYPERLINK("http://www.degruyter.com/isbn/9780748630523")</f>
        <v>http://www.degruyter.com/isbn/9780748630523</v>
      </c>
      <c r="AI914" t="s">
        <v>68</v>
      </c>
      <c r="AL914" t="s">
        <v>15</v>
      </c>
      <c r="AM914">
        <v>1</v>
      </c>
      <c r="AN914" s="2">
        <v>9780748624560</v>
      </c>
    </row>
    <row r="915" spans="1:40" x14ac:dyDescent="0.3">
      <c r="A915" t="s">
        <v>4622</v>
      </c>
      <c r="B915" t="s">
        <v>1</v>
      </c>
      <c r="C915" t="s">
        <v>4623</v>
      </c>
      <c r="E915" t="s">
        <v>4624</v>
      </c>
      <c r="F915" t="s">
        <v>5</v>
      </c>
      <c r="G915" t="s">
        <v>6</v>
      </c>
      <c r="L915" t="s">
        <v>7</v>
      </c>
      <c r="M915">
        <v>2020</v>
      </c>
      <c r="N915" s="1">
        <v>44644</v>
      </c>
      <c r="O915" t="s">
        <v>4625</v>
      </c>
      <c r="P915">
        <v>1</v>
      </c>
      <c r="S915">
        <v>217.95</v>
      </c>
      <c r="T915">
        <v>250</v>
      </c>
      <c r="U915">
        <v>190</v>
      </c>
      <c r="V915" t="s">
        <v>58</v>
      </c>
      <c r="W915" t="s">
        <v>59</v>
      </c>
      <c r="X915" t="s">
        <v>60</v>
      </c>
      <c r="Y915" t="s">
        <v>169</v>
      </c>
      <c r="AF915" t="s">
        <v>13</v>
      </c>
      <c r="AG915" t="str">
        <f>HYPERLINK("https://doi.org/10.1515/9781474466288")</f>
        <v>https://doi.org/10.1515/9781474466288</v>
      </c>
      <c r="AH915" t="str">
        <f>HYPERLINK("http://www.degruyter.com/isbn/9781474466288")</f>
        <v>http://www.degruyter.com/isbn/9781474466288</v>
      </c>
      <c r="AI915" t="s">
        <v>14</v>
      </c>
      <c r="AL915" t="s">
        <v>62</v>
      </c>
      <c r="AM915">
        <v>1</v>
      </c>
      <c r="AN915" s="2">
        <v>9781474466264</v>
      </c>
    </row>
    <row r="916" spans="1:40" x14ac:dyDescent="0.3">
      <c r="A916" t="s">
        <v>4626</v>
      </c>
      <c r="B916" t="s">
        <v>1</v>
      </c>
      <c r="C916" t="s">
        <v>4627</v>
      </c>
      <c r="E916" t="s">
        <v>4628</v>
      </c>
      <c r="F916" t="s">
        <v>5</v>
      </c>
      <c r="G916" t="s">
        <v>6</v>
      </c>
      <c r="L916" t="s">
        <v>7</v>
      </c>
      <c r="M916">
        <v>2021</v>
      </c>
      <c r="N916" s="1">
        <v>44656</v>
      </c>
      <c r="O916" t="s">
        <v>4629</v>
      </c>
      <c r="P916">
        <v>1</v>
      </c>
      <c r="S916">
        <v>209.95</v>
      </c>
      <c r="T916">
        <v>240</v>
      </c>
      <c r="U916">
        <v>180</v>
      </c>
      <c r="V916" t="s">
        <v>79</v>
      </c>
      <c r="W916" t="s">
        <v>783</v>
      </c>
      <c r="X916" t="s">
        <v>783</v>
      </c>
      <c r="Y916" t="s">
        <v>784</v>
      </c>
      <c r="AF916" t="s">
        <v>13</v>
      </c>
      <c r="AG916" t="str">
        <f>HYPERLINK("https://doi.org/10.1515/9781474487870")</f>
        <v>https://doi.org/10.1515/9781474487870</v>
      </c>
      <c r="AH916" t="str">
        <f>HYPERLINK("http://www.degruyter.com/isbn/9781474487870")</f>
        <v>http://www.degruyter.com/isbn/9781474487870</v>
      </c>
      <c r="AI916" t="s">
        <v>4630</v>
      </c>
      <c r="AL916" t="s">
        <v>83</v>
      </c>
      <c r="AM916">
        <v>1</v>
      </c>
      <c r="AN916" s="2">
        <v>9781474487849</v>
      </c>
    </row>
    <row r="917" spans="1:40" x14ac:dyDescent="0.3">
      <c r="A917" t="s">
        <v>4631</v>
      </c>
      <c r="B917" t="s">
        <v>1</v>
      </c>
      <c r="C917" t="s">
        <v>4632</v>
      </c>
      <c r="D917" t="s">
        <v>4633</v>
      </c>
      <c r="E917" t="s">
        <v>4634</v>
      </c>
      <c r="F917" t="s">
        <v>5</v>
      </c>
      <c r="G917" t="s">
        <v>6</v>
      </c>
      <c r="L917" t="s">
        <v>7</v>
      </c>
      <c r="M917">
        <v>2016</v>
      </c>
      <c r="N917" s="1">
        <v>42486</v>
      </c>
      <c r="O917" t="s">
        <v>4635</v>
      </c>
      <c r="P917">
        <v>1</v>
      </c>
      <c r="S917">
        <v>217.95</v>
      </c>
      <c r="T917">
        <v>250</v>
      </c>
      <c r="U917">
        <v>190</v>
      </c>
      <c r="V917" t="s">
        <v>9</v>
      </c>
      <c r="W917" t="s">
        <v>10</v>
      </c>
      <c r="X917" t="s">
        <v>11</v>
      </c>
      <c r="Y917" t="s">
        <v>52</v>
      </c>
      <c r="AF917" t="s">
        <v>13</v>
      </c>
      <c r="AG917" t="str">
        <f>HYPERLINK("https://doi.org/10.1515/9781474407656")</f>
        <v>https://doi.org/10.1515/9781474407656</v>
      </c>
      <c r="AH917" t="str">
        <f>HYPERLINK("http://www.degruyter.com/isbn/9781474407656")</f>
        <v>http://www.degruyter.com/isbn/9781474407656</v>
      </c>
      <c r="AI917" t="s">
        <v>180</v>
      </c>
      <c r="AL917" t="s">
        <v>15</v>
      </c>
      <c r="AM917">
        <v>1</v>
      </c>
      <c r="AN917" s="2">
        <v>9781474407649</v>
      </c>
    </row>
    <row r="918" spans="1:40" x14ac:dyDescent="0.3">
      <c r="A918" t="s">
        <v>4636</v>
      </c>
      <c r="B918" t="s">
        <v>1</v>
      </c>
      <c r="C918" t="s">
        <v>4637</v>
      </c>
      <c r="D918" t="s">
        <v>4638</v>
      </c>
      <c r="E918" t="s">
        <v>4639</v>
      </c>
      <c r="F918" t="s">
        <v>5</v>
      </c>
      <c r="G918" t="s">
        <v>6</v>
      </c>
      <c r="L918" t="s">
        <v>7</v>
      </c>
      <c r="M918">
        <v>2020</v>
      </c>
      <c r="N918" s="1">
        <v>44644</v>
      </c>
      <c r="O918" t="s">
        <v>4640</v>
      </c>
      <c r="P918">
        <v>1</v>
      </c>
      <c r="S918">
        <v>217.95</v>
      </c>
      <c r="T918">
        <v>250</v>
      </c>
      <c r="U918">
        <v>190</v>
      </c>
      <c r="V918" t="s">
        <v>305</v>
      </c>
      <c r="W918" t="s">
        <v>306</v>
      </c>
      <c r="X918" t="s">
        <v>306</v>
      </c>
      <c r="Y918" t="s">
        <v>3135</v>
      </c>
      <c r="AF918" t="s">
        <v>13</v>
      </c>
      <c r="AG918" t="str">
        <f>HYPERLINK("https://doi.org/10.1515/9781474474627")</f>
        <v>https://doi.org/10.1515/9781474474627</v>
      </c>
      <c r="AH918" t="str">
        <f>HYPERLINK("http://www.degruyter.com/isbn/9781474474627")</f>
        <v>http://www.degruyter.com/isbn/9781474474627</v>
      </c>
      <c r="AI918" t="s">
        <v>3672</v>
      </c>
      <c r="AL918" t="s">
        <v>308</v>
      </c>
      <c r="AM918">
        <v>1</v>
      </c>
      <c r="AN918" s="2">
        <v>9781474474603</v>
      </c>
    </row>
    <row r="919" spans="1:40" x14ac:dyDescent="0.3">
      <c r="A919" t="s">
        <v>4641</v>
      </c>
      <c r="B919" t="s">
        <v>1</v>
      </c>
      <c r="C919" t="s">
        <v>4642</v>
      </c>
      <c r="D919" t="s">
        <v>4643</v>
      </c>
      <c r="E919" t="s">
        <v>4644</v>
      </c>
      <c r="F919" t="s">
        <v>5</v>
      </c>
      <c r="G919" t="s">
        <v>6</v>
      </c>
      <c r="L919" t="s">
        <v>7</v>
      </c>
      <c r="M919">
        <v>2005</v>
      </c>
      <c r="N919" s="1">
        <v>44656</v>
      </c>
      <c r="O919" t="s">
        <v>4645</v>
      </c>
      <c r="P919">
        <v>1</v>
      </c>
      <c r="S919">
        <v>217.95</v>
      </c>
      <c r="T919">
        <v>250</v>
      </c>
      <c r="U919">
        <v>190</v>
      </c>
      <c r="V919" t="s">
        <v>42</v>
      </c>
      <c r="W919" t="s">
        <v>116</v>
      </c>
      <c r="X919" t="s">
        <v>116</v>
      </c>
      <c r="Y919" t="s">
        <v>3967</v>
      </c>
      <c r="AF919" t="s">
        <v>13</v>
      </c>
      <c r="AG919" t="str">
        <f>HYPERLINK("https://doi.org/10.1515/9780748680740?locatt=mode:legacy")</f>
        <v>https://doi.org/10.1515/9780748680740?locatt=mode:legacy</v>
      </c>
      <c r="AH919" t="str">
        <f>HYPERLINK("http://www.degruyter.com/isbn/9780748680740")</f>
        <v>http://www.degruyter.com/isbn/9780748680740</v>
      </c>
      <c r="AI919" t="s">
        <v>68</v>
      </c>
      <c r="AL919" t="s">
        <v>47</v>
      </c>
      <c r="AM919">
        <v>1</v>
      </c>
      <c r="AN919" s="2">
        <v>9780748622276</v>
      </c>
    </row>
    <row r="920" spans="1:40" x14ac:dyDescent="0.3">
      <c r="A920" t="s">
        <v>4646</v>
      </c>
      <c r="B920" t="s">
        <v>1</v>
      </c>
      <c r="C920" t="s">
        <v>4647</v>
      </c>
      <c r="E920" t="s">
        <v>4648</v>
      </c>
      <c r="F920" t="s">
        <v>5</v>
      </c>
      <c r="G920" t="s">
        <v>6</v>
      </c>
      <c r="L920" t="s">
        <v>7</v>
      </c>
      <c r="M920">
        <v>2018</v>
      </c>
      <c r="N920" s="1">
        <v>44656</v>
      </c>
      <c r="O920" t="s">
        <v>4649</v>
      </c>
      <c r="P920">
        <v>1</v>
      </c>
      <c r="S920">
        <v>217.95</v>
      </c>
      <c r="T920">
        <v>250</v>
      </c>
      <c r="U920">
        <v>190</v>
      </c>
      <c r="V920" t="s">
        <v>9</v>
      </c>
      <c r="W920" t="s">
        <v>10</v>
      </c>
      <c r="X920" t="s">
        <v>11</v>
      </c>
      <c r="Y920" t="s">
        <v>3896</v>
      </c>
      <c r="AF920" t="s">
        <v>13</v>
      </c>
      <c r="AG920" t="str">
        <f>HYPERLINK("https://doi.org/10.1515/9781474418911")</f>
        <v>https://doi.org/10.1515/9781474418911</v>
      </c>
      <c r="AH920" t="str">
        <f>HYPERLINK("http://www.degruyter.com/isbn/9781474418911")</f>
        <v>http://www.degruyter.com/isbn/9781474418911</v>
      </c>
      <c r="AI920" t="s">
        <v>46</v>
      </c>
      <c r="AL920" t="s">
        <v>15</v>
      </c>
      <c r="AM920">
        <v>1</v>
      </c>
      <c r="AN920" s="2">
        <v>9781474418904</v>
      </c>
    </row>
    <row r="921" spans="1:40" x14ac:dyDescent="0.3">
      <c r="A921" t="s">
        <v>4650</v>
      </c>
      <c r="B921" t="s">
        <v>1</v>
      </c>
      <c r="C921" t="s">
        <v>4651</v>
      </c>
      <c r="D921" t="s">
        <v>4652</v>
      </c>
      <c r="E921" t="s">
        <v>4653</v>
      </c>
      <c r="F921" t="s">
        <v>5</v>
      </c>
      <c r="G921" t="s">
        <v>6</v>
      </c>
      <c r="K921" t="s">
        <v>929</v>
      </c>
      <c r="L921" t="s">
        <v>7</v>
      </c>
      <c r="M921">
        <v>2018</v>
      </c>
      <c r="N921" s="1">
        <v>43427</v>
      </c>
      <c r="O921" t="s">
        <v>4654</v>
      </c>
      <c r="P921">
        <v>1</v>
      </c>
      <c r="V921" t="s">
        <v>42</v>
      </c>
      <c r="W921" t="s">
        <v>107</v>
      </c>
      <c r="X921" t="s">
        <v>108</v>
      </c>
      <c r="Y921" t="s">
        <v>2244</v>
      </c>
      <c r="AF921" t="s">
        <v>13</v>
      </c>
      <c r="AG921" t="str">
        <f>HYPERLINK("https://doi.org/10.1515/9781474442541?locatt=mode:legacy")</f>
        <v>https://doi.org/10.1515/9781474442541?locatt=mode:legacy</v>
      </c>
      <c r="AH921" t="str">
        <f>HYPERLINK("http://www.degruyter.com/isbn/9781474442541")</f>
        <v>http://www.degruyter.com/isbn/9781474442541</v>
      </c>
      <c r="AI921" t="s">
        <v>46</v>
      </c>
      <c r="AM921">
        <v>1</v>
      </c>
      <c r="AN921" s="2"/>
    </row>
    <row r="922" spans="1:40" x14ac:dyDescent="0.3">
      <c r="A922" t="s">
        <v>4655</v>
      </c>
      <c r="B922" t="s">
        <v>1</v>
      </c>
      <c r="C922" t="s">
        <v>4656</v>
      </c>
      <c r="D922" t="s">
        <v>4657</v>
      </c>
      <c r="E922" t="s">
        <v>4658</v>
      </c>
      <c r="F922" t="s">
        <v>5</v>
      </c>
      <c r="G922" t="s">
        <v>6</v>
      </c>
      <c r="L922" t="s">
        <v>7</v>
      </c>
      <c r="M922">
        <v>2003</v>
      </c>
      <c r="N922" s="1">
        <v>44607</v>
      </c>
      <c r="O922" t="s">
        <v>4659</v>
      </c>
      <c r="P922">
        <v>1</v>
      </c>
      <c r="S922">
        <v>217.95</v>
      </c>
      <c r="T922">
        <v>250</v>
      </c>
      <c r="U922">
        <v>190</v>
      </c>
      <c r="V922" t="s">
        <v>20</v>
      </c>
      <c r="W922" t="s">
        <v>21</v>
      </c>
      <c r="X922" t="s">
        <v>22</v>
      </c>
      <c r="Y922" t="s">
        <v>23</v>
      </c>
      <c r="AF922" t="s">
        <v>13</v>
      </c>
      <c r="AG922" t="str">
        <f>HYPERLINK("https://doi.org/10.1515/9781474463935")</f>
        <v>https://doi.org/10.1515/9781474463935</v>
      </c>
      <c r="AH922" t="str">
        <f>HYPERLINK("http://www.degruyter.com/isbn/9781474463935")</f>
        <v>http://www.degruyter.com/isbn/9781474463935</v>
      </c>
      <c r="AI922" t="s">
        <v>68</v>
      </c>
      <c r="AL922" t="s">
        <v>15</v>
      </c>
      <c r="AM922">
        <v>1</v>
      </c>
      <c r="AN922" s="2">
        <v>9780748616466</v>
      </c>
    </row>
    <row r="923" spans="1:40" x14ac:dyDescent="0.3">
      <c r="A923" t="s">
        <v>4660</v>
      </c>
      <c r="B923" t="s">
        <v>1</v>
      </c>
      <c r="C923" t="s">
        <v>4661</v>
      </c>
      <c r="D923" t="s">
        <v>95</v>
      </c>
      <c r="E923" t="s">
        <v>4662</v>
      </c>
      <c r="F923" t="s">
        <v>5</v>
      </c>
      <c r="G923" t="s">
        <v>6</v>
      </c>
      <c r="L923" t="s">
        <v>7</v>
      </c>
      <c r="M923">
        <v>2003</v>
      </c>
      <c r="N923" s="1">
        <v>37940</v>
      </c>
      <c r="O923" t="s">
        <v>4663</v>
      </c>
      <c r="P923">
        <v>1</v>
      </c>
      <c r="S923">
        <v>287.95</v>
      </c>
      <c r="T923">
        <v>330</v>
      </c>
      <c r="U923">
        <v>250</v>
      </c>
      <c r="V923" t="s">
        <v>89</v>
      </c>
      <c r="W923" t="s">
        <v>4664</v>
      </c>
      <c r="X923" t="s">
        <v>4664</v>
      </c>
      <c r="Y923" t="s">
        <v>4665</v>
      </c>
      <c r="AF923" t="s">
        <v>13</v>
      </c>
      <c r="AG923" t="str">
        <f>HYPERLINK("https://doi.org/10.1515/9781474469746")</f>
        <v>https://doi.org/10.1515/9781474469746</v>
      </c>
      <c r="AH923" t="str">
        <f>HYPERLINK("http://www.degruyter.com/isbn/9781474469746")</f>
        <v>http://www.degruyter.com/isbn/9781474469746</v>
      </c>
      <c r="AI923" t="s">
        <v>68</v>
      </c>
      <c r="AL923" t="s">
        <v>83</v>
      </c>
      <c r="AM923">
        <v>1</v>
      </c>
      <c r="AN923" s="2">
        <v>9780748615315</v>
      </c>
    </row>
    <row r="924" spans="1:40" x14ac:dyDescent="0.3">
      <c r="A924" t="s">
        <v>4666</v>
      </c>
      <c r="B924" t="s">
        <v>1</v>
      </c>
      <c r="C924" t="s">
        <v>4667</v>
      </c>
      <c r="D924" t="s">
        <v>4668</v>
      </c>
      <c r="E924" t="s">
        <v>4669</v>
      </c>
      <c r="F924" t="s">
        <v>5</v>
      </c>
      <c r="G924" t="s">
        <v>6</v>
      </c>
      <c r="L924" t="s">
        <v>7</v>
      </c>
      <c r="M924">
        <v>2021</v>
      </c>
      <c r="N924" s="1">
        <v>44644</v>
      </c>
      <c r="O924" t="s">
        <v>807</v>
      </c>
      <c r="P924">
        <v>1</v>
      </c>
      <c r="S924">
        <v>227.95</v>
      </c>
      <c r="T924">
        <v>260</v>
      </c>
      <c r="U924">
        <v>200</v>
      </c>
      <c r="V924" t="s">
        <v>42</v>
      </c>
      <c r="W924" t="s">
        <v>107</v>
      </c>
      <c r="X924" t="s">
        <v>108</v>
      </c>
      <c r="Y924" t="s">
        <v>221</v>
      </c>
      <c r="AF924" t="s">
        <v>13</v>
      </c>
      <c r="AG924" t="str">
        <f>HYPERLINK("https://doi.org/10.1515/9781474456579")</f>
        <v>https://doi.org/10.1515/9781474456579</v>
      </c>
      <c r="AH924" t="str">
        <f>HYPERLINK("http://www.degruyter.com/isbn/9781474456579")</f>
        <v>http://www.degruyter.com/isbn/9781474456579</v>
      </c>
      <c r="AI924" t="s">
        <v>1561</v>
      </c>
      <c r="AL924" t="s">
        <v>47</v>
      </c>
      <c r="AM924">
        <v>1</v>
      </c>
      <c r="AN924" s="2">
        <v>9781474456555</v>
      </c>
    </row>
    <row r="925" spans="1:40" x14ac:dyDescent="0.3">
      <c r="A925" t="s">
        <v>4670</v>
      </c>
      <c r="B925" t="s">
        <v>1</v>
      </c>
      <c r="C925" t="s">
        <v>4671</v>
      </c>
      <c r="E925" t="s">
        <v>4672</v>
      </c>
      <c r="F925" t="s">
        <v>5</v>
      </c>
      <c r="G925" t="s">
        <v>6</v>
      </c>
      <c r="L925" t="s">
        <v>7</v>
      </c>
      <c r="M925">
        <v>1993</v>
      </c>
      <c r="N925" s="1">
        <v>44672</v>
      </c>
      <c r="O925" t="s">
        <v>4673</v>
      </c>
      <c r="P925">
        <v>1</v>
      </c>
      <c r="S925">
        <v>217.95</v>
      </c>
      <c r="T925">
        <v>250</v>
      </c>
      <c r="U925">
        <v>190</v>
      </c>
      <c r="V925" t="s">
        <v>20</v>
      </c>
      <c r="W925" t="s">
        <v>21</v>
      </c>
      <c r="X925" t="s">
        <v>22</v>
      </c>
      <c r="Y925" t="s">
        <v>23</v>
      </c>
      <c r="AF925" t="s">
        <v>13</v>
      </c>
      <c r="AG925" t="str">
        <f>HYPERLINK("https://doi.org/10.1515/9780748673889")</f>
        <v>https://doi.org/10.1515/9780748673889</v>
      </c>
      <c r="AH925" t="str">
        <f>HYPERLINK("http://www.degruyter.com/isbn/9780748673889")</f>
        <v>http://www.degruyter.com/isbn/9780748673889</v>
      </c>
      <c r="AI925" t="s">
        <v>24</v>
      </c>
      <c r="AL925" t="s">
        <v>15</v>
      </c>
      <c r="AM925">
        <v>1</v>
      </c>
      <c r="AN925" s="2">
        <v>9780748604388</v>
      </c>
    </row>
    <row r="926" spans="1:40" x14ac:dyDescent="0.3">
      <c r="A926" t="s">
        <v>4674</v>
      </c>
      <c r="B926" t="s">
        <v>1</v>
      </c>
      <c r="C926" t="s">
        <v>4675</v>
      </c>
      <c r="E926" t="s">
        <v>4676</v>
      </c>
      <c r="F926" t="s">
        <v>5</v>
      </c>
      <c r="G926" t="s">
        <v>6</v>
      </c>
      <c r="L926" t="s">
        <v>7</v>
      </c>
      <c r="M926">
        <v>2013</v>
      </c>
      <c r="N926" s="1">
        <v>41595</v>
      </c>
      <c r="O926" t="s">
        <v>4677</v>
      </c>
      <c r="P926">
        <v>1</v>
      </c>
      <c r="S926">
        <v>217.95</v>
      </c>
      <c r="T926">
        <v>250</v>
      </c>
      <c r="U926">
        <v>190</v>
      </c>
      <c r="V926" t="s">
        <v>98</v>
      </c>
      <c r="W926" t="s">
        <v>99</v>
      </c>
      <c r="X926" t="s">
        <v>100</v>
      </c>
      <c r="Y926" t="s">
        <v>4678</v>
      </c>
      <c r="AF926" t="s">
        <v>13</v>
      </c>
      <c r="AG926" t="str">
        <f>HYPERLINK("https://doi.org/10.1515/9780748689613?locatt=mode:legacy")</f>
        <v>https://doi.org/10.1515/9780748689613?locatt=mode:legacy</v>
      </c>
      <c r="AH926" t="str">
        <f>HYPERLINK("http://www.degruyter.com/isbn/9780748689613")</f>
        <v>http://www.degruyter.com/isbn/9780748689613</v>
      </c>
      <c r="AI926" t="s">
        <v>68</v>
      </c>
      <c r="AL926" t="s">
        <v>102</v>
      </c>
      <c r="AM926">
        <v>1</v>
      </c>
      <c r="AN926" s="2">
        <v>9780748689606</v>
      </c>
    </row>
    <row r="927" spans="1:40" x14ac:dyDescent="0.3">
      <c r="A927" t="s">
        <v>4679</v>
      </c>
      <c r="B927" t="s">
        <v>1</v>
      </c>
      <c r="C927" t="s">
        <v>4680</v>
      </c>
      <c r="D927" t="s">
        <v>4681</v>
      </c>
      <c r="E927" t="s">
        <v>4682</v>
      </c>
      <c r="F927" t="s">
        <v>5</v>
      </c>
      <c r="G927" t="s">
        <v>6</v>
      </c>
      <c r="L927" t="s">
        <v>7</v>
      </c>
      <c r="M927">
        <v>2021</v>
      </c>
      <c r="N927" s="1">
        <v>44644</v>
      </c>
      <c r="O927" t="s">
        <v>4683</v>
      </c>
      <c r="P927">
        <v>1</v>
      </c>
      <c r="S927">
        <v>227.95</v>
      </c>
      <c r="T927">
        <v>260</v>
      </c>
      <c r="U927">
        <v>200</v>
      </c>
      <c r="V927" t="s">
        <v>79</v>
      </c>
      <c r="W927" t="s">
        <v>209</v>
      </c>
      <c r="X927" t="s">
        <v>209</v>
      </c>
      <c r="Y927" t="s">
        <v>699</v>
      </c>
      <c r="AF927" t="s">
        <v>13</v>
      </c>
      <c r="AG927" t="str">
        <f>HYPERLINK("https://doi.org/10.1515/9781474467346")</f>
        <v>https://doi.org/10.1515/9781474467346</v>
      </c>
      <c r="AH927" t="str">
        <f>HYPERLINK("http://www.degruyter.com/isbn/9781474467346")</f>
        <v>http://www.degruyter.com/isbn/9781474467346</v>
      </c>
      <c r="AI927" t="s">
        <v>82</v>
      </c>
      <c r="AL927" t="s">
        <v>83</v>
      </c>
      <c r="AM927">
        <v>1</v>
      </c>
      <c r="AN927" s="2">
        <v>9781474467315</v>
      </c>
    </row>
    <row r="928" spans="1:40" x14ac:dyDescent="0.3">
      <c r="A928" t="s">
        <v>4684</v>
      </c>
      <c r="B928" t="s">
        <v>1</v>
      </c>
      <c r="C928" t="s">
        <v>4685</v>
      </c>
      <c r="D928" t="s">
        <v>4686</v>
      </c>
      <c r="E928" t="s">
        <v>4687</v>
      </c>
      <c r="F928" t="s">
        <v>5</v>
      </c>
      <c r="G928" t="s">
        <v>6</v>
      </c>
      <c r="L928" t="s">
        <v>7</v>
      </c>
      <c r="M928">
        <v>1999</v>
      </c>
      <c r="N928" s="1">
        <v>44607</v>
      </c>
      <c r="O928" t="s">
        <v>4688</v>
      </c>
      <c r="P928">
        <v>1</v>
      </c>
      <c r="S928">
        <v>217.95</v>
      </c>
      <c r="T928">
        <v>250</v>
      </c>
      <c r="U928">
        <v>190</v>
      </c>
      <c r="V928" t="s">
        <v>20</v>
      </c>
      <c r="W928" t="s">
        <v>21</v>
      </c>
      <c r="X928" t="s">
        <v>22</v>
      </c>
      <c r="Y928" t="s">
        <v>23</v>
      </c>
      <c r="AF928" t="s">
        <v>13</v>
      </c>
      <c r="AG928" t="str">
        <f>HYPERLINK("https://doi.org/10.1515/9781474469906")</f>
        <v>https://doi.org/10.1515/9781474469906</v>
      </c>
      <c r="AH928" t="str">
        <f>HYPERLINK("http://www.degruyter.com/isbn/9781474469906")</f>
        <v>http://www.degruyter.com/isbn/9781474469906</v>
      </c>
      <c r="AI928" t="s">
        <v>24</v>
      </c>
      <c r="AL928" t="s">
        <v>15</v>
      </c>
      <c r="AM928">
        <v>1</v>
      </c>
      <c r="AN928" s="2">
        <v>9780748610853</v>
      </c>
    </row>
    <row r="929" spans="1:40" x14ac:dyDescent="0.3">
      <c r="A929" t="s">
        <v>4689</v>
      </c>
      <c r="B929" t="s">
        <v>1</v>
      </c>
      <c r="C929" t="s">
        <v>4690</v>
      </c>
      <c r="E929" t="s">
        <v>4691</v>
      </c>
      <c r="F929" t="s">
        <v>5</v>
      </c>
      <c r="G929" t="s">
        <v>6</v>
      </c>
      <c r="L929" t="s">
        <v>7</v>
      </c>
      <c r="M929">
        <v>2017</v>
      </c>
      <c r="N929" s="1">
        <v>42897</v>
      </c>
      <c r="O929" t="s">
        <v>4692</v>
      </c>
      <c r="P929">
        <v>1</v>
      </c>
      <c r="S929">
        <v>227.95</v>
      </c>
      <c r="T929">
        <v>260</v>
      </c>
      <c r="U929">
        <v>200</v>
      </c>
      <c r="V929" t="s">
        <v>58</v>
      </c>
      <c r="W929" t="s">
        <v>59</v>
      </c>
      <c r="X929" t="s">
        <v>278</v>
      </c>
      <c r="Y929" t="s">
        <v>932</v>
      </c>
      <c r="AF929" t="s">
        <v>13</v>
      </c>
      <c r="AG929" t="str">
        <f>HYPERLINK("https://doi.org/10.1515/9781474423823?locatt=mode:legacy")</f>
        <v>https://doi.org/10.1515/9781474423823?locatt=mode:legacy</v>
      </c>
      <c r="AH929" t="str">
        <f>HYPERLINK("http://www.degruyter.com/isbn/9781474423823")</f>
        <v>http://www.degruyter.com/isbn/9781474423823</v>
      </c>
      <c r="AI929" t="s">
        <v>222</v>
      </c>
      <c r="AL929" t="s">
        <v>62</v>
      </c>
      <c r="AM929">
        <v>1</v>
      </c>
      <c r="AN929" s="2">
        <v>9781474423816</v>
      </c>
    </row>
    <row r="930" spans="1:40" x14ac:dyDescent="0.3">
      <c r="A930" t="s">
        <v>4693</v>
      </c>
      <c r="B930" t="s">
        <v>1</v>
      </c>
      <c r="C930" t="s">
        <v>4694</v>
      </c>
      <c r="D930" t="s">
        <v>4695</v>
      </c>
      <c r="E930" t="s">
        <v>4696</v>
      </c>
      <c r="F930" t="s">
        <v>5</v>
      </c>
      <c r="G930" t="s">
        <v>6</v>
      </c>
      <c r="L930" t="s">
        <v>7</v>
      </c>
      <c r="M930">
        <v>2012</v>
      </c>
      <c r="N930" s="1">
        <v>41011</v>
      </c>
      <c r="O930" t="s">
        <v>4697</v>
      </c>
      <c r="P930">
        <v>1</v>
      </c>
      <c r="S930">
        <v>217.95</v>
      </c>
      <c r="T930">
        <v>250</v>
      </c>
      <c r="U930">
        <v>190</v>
      </c>
      <c r="V930" t="s">
        <v>20</v>
      </c>
      <c r="W930" t="s">
        <v>21</v>
      </c>
      <c r="X930" t="s">
        <v>22</v>
      </c>
      <c r="Y930" t="s">
        <v>23</v>
      </c>
      <c r="AF930" t="s">
        <v>13</v>
      </c>
      <c r="AG930" t="str">
        <f>HYPERLINK("https://doi.org/10.1515/9780748649433")</f>
        <v>https://doi.org/10.1515/9780748649433</v>
      </c>
      <c r="AH930" t="str">
        <f>HYPERLINK("http://www.degruyter.com/isbn/9780748649433")</f>
        <v>http://www.degruyter.com/isbn/9780748649433</v>
      </c>
      <c r="AI930" t="s">
        <v>68</v>
      </c>
      <c r="AL930" t="s">
        <v>15</v>
      </c>
      <c r="AM930">
        <v>1</v>
      </c>
      <c r="AN930" s="2">
        <v>9780748645602</v>
      </c>
    </row>
    <row r="931" spans="1:40" x14ac:dyDescent="0.3">
      <c r="A931" t="s">
        <v>4698</v>
      </c>
      <c r="B931" t="s">
        <v>1</v>
      </c>
      <c r="C931" t="s">
        <v>4699</v>
      </c>
      <c r="D931" t="s">
        <v>4700</v>
      </c>
      <c r="E931" t="s">
        <v>4701</v>
      </c>
      <c r="F931" t="s">
        <v>5</v>
      </c>
      <c r="G931" t="s">
        <v>6</v>
      </c>
      <c r="L931" t="s">
        <v>7</v>
      </c>
      <c r="M931">
        <v>2019</v>
      </c>
      <c r="N931" s="1">
        <v>44644</v>
      </c>
      <c r="O931" t="s">
        <v>4702</v>
      </c>
      <c r="P931">
        <v>1</v>
      </c>
      <c r="S931">
        <v>227.95</v>
      </c>
      <c r="T931">
        <v>260</v>
      </c>
      <c r="U931">
        <v>200</v>
      </c>
      <c r="V931" t="s">
        <v>42</v>
      </c>
      <c r="W931" t="s">
        <v>107</v>
      </c>
      <c r="X931" t="s">
        <v>108</v>
      </c>
      <c r="Y931" t="s">
        <v>221</v>
      </c>
      <c r="AF931" t="s">
        <v>13</v>
      </c>
      <c r="AG931" t="str">
        <f>HYPERLINK("https://doi.org/10.1515/9781474458856")</f>
        <v>https://doi.org/10.1515/9781474458856</v>
      </c>
      <c r="AH931" t="str">
        <f>HYPERLINK("http://www.degruyter.com/isbn/9781474458856")</f>
        <v>http://www.degruyter.com/isbn/9781474458856</v>
      </c>
      <c r="AI931" t="s">
        <v>280</v>
      </c>
      <c r="AL931" t="s">
        <v>47</v>
      </c>
      <c r="AM931">
        <v>1</v>
      </c>
      <c r="AN931" s="2">
        <v>9781474458832</v>
      </c>
    </row>
    <row r="932" spans="1:40" x14ac:dyDescent="0.3">
      <c r="A932" t="s">
        <v>4703</v>
      </c>
      <c r="B932" t="s">
        <v>1</v>
      </c>
      <c r="C932" t="s">
        <v>4704</v>
      </c>
      <c r="E932" t="s">
        <v>4705</v>
      </c>
      <c r="F932" t="s">
        <v>5</v>
      </c>
      <c r="G932" t="s">
        <v>6</v>
      </c>
      <c r="L932" t="s">
        <v>7</v>
      </c>
      <c r="M932">
        <v>2009</v>
      </c>
      <c r="N932" s="1">
        <v>39945</v>
      </c>
      <c r="O932" t="s">
        <v>4706</v>
      </c>
      <c r="P932">
        <v>1</v>
      </c>
      <c r="S932">
        <v>295.95</v>
      </c>
      <c r="T932">
        <v>340</v>
      </c>
      <c r="U932">
        <v>260</v>
      </c>
      <c r="V932" t="s">
        <v>98</v>
      </c>
      <c r="W932" t="s">
        <v>99</v>
      </c>
      <c r="X932" t="s">
        <v>386</v>
      </c>
      <c r="Y932" t="s">
        <v>387</v>
      </c>
      <c r="AF932" t="s">
        <v>13</v>
      </c>
      <c r="AG932" t="str">
        <f>HYPERLINK("https://doi.org/10.1515/9780748631834")</f>
        <v>https://doi.org/10.1515/9780748631834</v>
      </c>
      <c r="AH932" t="str">
        <f>HYPERLINK("http://www.degruyter.com/isbn/9780748631834")</f>
        <v>http://www.degruyter.com/isbn/9780748631834</v>
      </c>
      <c r="AI932" t="s">
        <v>68</v>
      </c>
      <c r="AL932" t="s">
        <v>102</v>
      </c>
      <c r="AM932">
        <v>1</v>
      </c>
      <c r="AN932" s="2">
        <v>9780748628018</v>
      </c>
    </row>
    <row r="933" spans="1:40" x14ac:dyDescent="0.3">
      <c r="A933" t="s">
        <v>4707</v>
      </c>
      <c r="B933" t="s">
        <v>1</v>
      </c>
      <c r="C933" t="s">
        <v>4708</v>
      </c>
      <c r="D933" t="s">
        <v>4709</v>
      </c>
      <c r="E933" t="s">
        <v>4710</v>
      </c>
      <c r="F933" t="s">
        <v>5</v>
      </c>
      <c r="G933" t="s">
        <v>6</v>
      </c>
      <c r="L933" t="s">
        <v>7</v>
      </c>
      <c r="M933">
        <v>2020</v>
      </c>
      <c r="N933" s="1">
        <v>44656</v>
      </c>
      <c r="O933" t="s">
        <v>4711</v>
      </c>
      <c r="P933">
        <v>1</v>
      </c>
      <c r="S933">
        <v>217.95</v>
      </c>
      <c r="T933">
        <v>250</v>
      </c>
      <c r="U933">
        <v>190</v>
      </c>
      <c r="V933" t="s">
        <v>42</v>
      </c>
      <c r="W933" t="s">
        <v>107</v>
      </c>
      <c r="X933" t="s">
        <v>108</v>
      </c>
      <c r="Y933" t="s">
        <v>221</v>
      </c>
      <c r="AF933" t="s">
        <v>13</v>
      </c>
      <c r="AG933" t="str">
        <f>HYPERLINK("https://doi.org/10.1515/9780748695331")</f>
        <v>https://doi.org/10.1515/9780748695331</v>
      </c>
      <c r="AH933" t="str">
        <f>HYPERLINK("http://www.degruyter.com/isbn/9780748695331")</f>
        <v>http://www.degruyter.com/isbn/9780748695331</v>
      </c>
      <c r="AI933" t="s">
        <v>14</v>
      </c>
      <c r="AL933" t="s">
        <v>47</v>
      </c>
      <c r="AM933">
        <v>1</v>
      </c>
      <c r="AN933" s="2">
        <v>9780748695324</v>
      </c>
    </row>
    <row r="934" spans="1:40" x14ac:dyDescent="0.3">
      <c r="A934" t="s">
        <v>4712</v>
      </c>
      <c r="B934" t="s">
        <v>1</v>
      </c>
      <c r="C934" t="s">
        <v>2998</v>
      </c>
      <c r="D934" t="s">
        <v>4713</v>
      </c>
      <c r="E934" t="s">
        <v>3000</v>
      </c>
      <c r="F934" t="s">
        <v>5</v>
      </c>
      <c r="G934" t="s">
        <v>6</v>
      </c>
      <c r="L934" t="s">
        <v>7</v>
      </c>
      <c r="M934">
        <v>2002</v>
      </c>
      <c r="N934" s="1">
        <v>37417</v>
      </c>
      <c r="O934" t="s">
        <v>3001</v>
      </c>
      <c r="P934">
        <v>1</v>
      </c>
      <c r="S934">
        <v>243.95</v>
      </c>
      <c r="T934">
        <v>280</v>
      </c>
      <c r="U934">
        <v>210</v>
      </c>
      <c r="V934" t="s">
        <v>20</v>
      </c>
      <c r="W934" t="s">
        <v>21</v>
      </c>
      <c r="X934" t="s">
        <v>22</v>
      </c>
      <c r="Y934" t="s">
        <v>23</v>
      </c>
      <c r="AF934" t="s">
        <v>13</v>
      </c>
      <c r="AG934" t="str">
        <f>HYPERLINK("https://doi.org/10.1515/9781474408387")</f>
        <v>https://doi.org/10.1515/9781474408387</v>
      </c>
      <c r="AH934" t="str">
        <f>HYPERLINK("http://www.degruyter.com/isbn/9781474408387")</f>
        <v>http://www.degruyter.com/isbn/9781474408387</v>
      </c>
      <c r="AI934" t="s">
        <v>68</v>
      </c>
      <c r="AL934" t="s">
        <v>15</v>
      </c>
      <c r="AM934">
        <v>1</v>
      </c>
      <c r="AN934" s="2">
        <v>9781902930183</v>
      </c>
    </row>
    <row r="935" spans="1:40" x14ac:dyDescent="0.3">
      <c r="A935" t="s">
        <v>4714</v>
      </c>
      <c r="B935" t="s">
        <v>1</v>
      </c>
      <c r="C935" t="s">
        <v>4715</v>
      </c>
      <c r="E935" t="s">
        <v>4716</v>
      </c>
      <c r="F935" t="s">
        <v>5</v>
      </c>
      <c r="G935" t="s">
        <v>6</v>
      </c>
      <c r="L935" t="s">
        <v>7</v>
      </c>
      <c r="M935">
        <v>1997</v>
      </c>
      <c r="N935" s="1">
        <v>44719</v>
      </c>
      <c r="O935" t="s">
        <v>4717</v>
      </c>
      <c r="P935">
        <v>1</v>
      </c>
      <c r="S935">
        <v>75.95</v>
      </c>
      <c r="T935">
        <v>85.9</v>
      </c>
      <c r="U935">
        <v>66</v>
      </c>
      <c r="V935" t="s">
        <v>58</v>
      </c>
      <c r="W935" t="s">
        <v>129</v>
      </c>
      <c r="X935" t="s">
        <v>130</v>
      </c>
      <c r="Y935" t="s">
        <v>1826</v>
      </c>
      <c r="AF935" t="s">
        <v>13</v>
      </c>
      <c r="AG935" t="str">
        <f>HYPERLINK("https://doi.org/10.1515/9780585101095")</f>
        <v>https://doi.org/10.1515/9780585101095</v>
      </c>
      <c r="AH935" t="str">
        <f>HYPERLINK("http://www.degruyter.com/isbn/9780585101095")</f>
        <v>http://www.degruyter.com/isbn/9780585101095</v>
      </c>
      <c r="AI935" t="s">
        <v>24</v>
      </c>
      <c r="AL935" t="s">
        <v>62</v>
      </c>
      <c r="AM935">
        <v>1</v>
      </c>
      <c r="AN935" s="2">
        <v>9780748606450</v>
      </c>
    </row>
    <row r="936" spans="1:40" x14ac:dyDescent="0.3">
      <c r="A936" t="s">
        <v>4718</v>
      </c>
      <c r="B936" t="s">
        <v>1</v>
      </c>
      <c r="C936" t="s">
        <v>4719</v>
      </c>
      <c r="D936" t="s">
        <v>4720</v>
      </c>
      <c r="E936" t="s">
        <v>4721</v>
      </c>
      <c r="F936" t="s">
        <v>5</v>
      </c>
      <c r="G936" t="s">
        <v>6</v>
      </c>
      <c r="L936" t="s">
        <v>7</v>
      </c>
      <c r="M936">
        <v>2021</v>
      </c>
      <c r="N936" s="1">
        <v>44656</v>
      </c>
      <c r="O936" t="s">
        <v>4722</v>
      </c>
      <c r="P936">
        <v>1</v>
      </c>
      <c r="S936">
        <v>217.95</v>
      </c>
      <c r="T936">
        <v>250</v>
      </c>
      <c r="U936">
        <v>190</v>
      </c>
      <c r="V936" t="s">
        <v>79</v>
      </c>
      <c r="W936" t="s">
        <v>123</v>
      </c>
      <c r="X936" t="s">
        <v>123</v>
      </c>
      <c r="Y936" t="s">
        <v>124</v>
      </c>
      <c r="AF936" t="s">
        <v>13</v>
      </c>
      <c r="AG936" t="str">
        <f>HYPERLINK("https://doi.org/10.1515/9781474480369")</f>
        <v>https://doi.org/10.1515/9781474480369</v>
      </c>
      <c r="AH936" t="str">
        <f>HYPERLINK("http://www.degruyter.com/isbn/9781474480369")</f>
        <v>http://www.degruyter.com/isbn/9781474480369</v>
      </c>
      <c r="AI936" t="s">
        <v>4630</v>
      </c>
      <c r="AL936" t="s">
        <v>83</v>
      </c>
      <c r="AM936">
        <v>1</v>
      </c>
      <c r="AN936" s="2">
        <v>9781474480338</v>
      </c>
    </row>
    <row r="937" spans="1:40" x14ac:dyDescent="0.3">
      <c r="A937" t="s">
        <v>4723</v>
      </c>
      <c r="B937" t="s">
        <v>1</v>
      </c>
      <c r="C937" t="s">
        <v>4724</v>
      </c>
      <c r="D937" t="s">
        <v>4725</v>
      </c>
      <c r="E937" t="s">
        <v>4726</v>
      </c>
      <c r="F937" t="s">
        <v>5</v>
      </c>
      <c r="G937" t="s">
        <v>6</v>
      </c>
      <c r="L937" t="s">
        <v>7</v>
      </c>
      <c r="M937">
        <v>2016</v>
      </c>
      <c r="N937" s="1">
        <v>42633</v>
      </c>
      <c r="O937" t="s">
        <v>4727</v>
      </c>
      <c r="P937">
        <v>1</v>
      </c>
      <c r="S937">
        <v>253.95</v>
      </c>
      <c r="T937">
        <v>290</v>
      </c>
      <c r="U937">
        <v>220</v>
      </c>
      <c r="V937" t="s">
        <v>20</v>
      </c>
      <c r="W937" t="s">
        <v>556</v>
      </c>
      <c r="X937" t="s">
        <v>1731</v>
      </c>
      <c r="Y937" t="s">
        <v>4728</v>
      </c>
      <c r="AF937" t="s">
        <v>13</v>
      </c>
      <c r="AG937" t="str">
        <f>HYPERLINK("https://doi.org/10.1515/9781474410618")</f>
        <v>https://doi.org/10.1515/9781474410618</v>
      </c>
      <c r="AH937" t="str">
        <f>HYPERLINK("http://www.degruyter.com/isbn/9781474410618")</f>
        <v>http://www.degruyter.com/isbn/9781474410618</v>
      </c>
      <c r="AI937" t="s">
        <v>180</v>
      </c>
      <c r="AJ937" t="s">
        <v>35</v>
      </c>
      <c r="AL937" t="s">
        <v>1346</v>
      </c>
      <c r="AM937">
        <v>1</v>
      </c>
      <c r="AN937" s="2">
        <v>9781474410595</v>
      </c>
    </row>
    <row r="938" spans="1:40" x14ac:dyDescent="0.3">
      <c r="A938" t="s">
        <v>4729</v>
      </c>
      <c r="B938" t="s">
        <v>1</v>
      </c>
      <c r="C938" t="s">
        <v>4730</v>
      </c>
      <c r="D938" t="s">
        <v>4112</v>
      </c>
      <c r="E938" t="s">
        <v>4731</v>
      </c>
      <c r="F938" t="s">
        <v>5</v>
      </c>
      <c r="G938" t="s">
        <v>6</v>
      </c>
      <c r="L938" t="s">
        <v>7</v>
      </c>
      <c r="M938">
        <v>2017</v>
      </c>
      <c r="N938" s="1">
        <v>42816</v>
      </c>
      <c r="O938" t="s">
        <v>4732</v>
      </c>
      <c r="P938">
        <v>1</v>
      </c>
      <c r="S938">
        <v>227.95</v>
      </c>
      <c r="T938">
        <v>260</v>
      </c>
      <c r="U938">
        <v>200</v>
      </c>
      <c r="V938" t="s">
        <v>20</v>
      </c>
      <c r="W938" t="s">
        <v>556</v>
      </c>
      <c r="X938" t="s">
        <v>1731</v>
      </c>
      <c r="Y938" t="s">
        <v>4728</v>
      </c>
      <c r="AF938" t="s">
        <v>13</v>
      </c>
      <c r="AG938" t="str">
        <f>HYPERLINK("https://doi.org/10.1515/9780748683994")</f>
        <v>https://doi.org/10.1515/9780748683994</v>
      </c>
      <c r="AH938" t="str">
        <f>HYPERLINK("http://www.degruyter.com/isbn/9780748683994")</f>
        <v>http://www.degruyter.com/isbn/9780748683994</v>
      </c>
      <c r="AI938" t="s">
        <v>222</v>
      </c>
      <c r="AL938" t="s">
        <v>15</v>
      </c>
      <c r="AM938">
        <v>1</v>
      </c>
      <c r="AN938" s="2">
        <v>9780748683970</v>
      </c>
    </row>
    <row r="939" spans="1:40" x14ac:dyDescent="0.3">
      <c r="A939" t="s">
        <v>4733</v>
      </c>
      <c r="B939" t="s">
        <v>1</v>
      </c>
      <c r="C939" t="s">
        <v>4734</v>
      </c>
      <c r="D939" t="s">
        <v>4735</v>
      </c>
      <c r="E939" t="s">
        <v>4736</v>
      </c>
      <c r="F939" t="s">
        <v>5</v>
      </c>
      <c r="G939" t="s">
        <v>6</v>
      </c>
      <c r="L939" t="s">
        <v>7</v>
      </c>
      <c r="M939">
        <v>2010</v>
      </c>
      <c r="N939" s="1">
        <v>40268</v>
      </c>
      <c r="O939" t="s">
        <v>4737</v>
      </c>
      <c r="P939">
        <v>1</v>
      </c>
      <c r="S939">
        <v>279.95</v>
      </c>
      <c r="T939">
        <v>320</v>
      </c>
      <c r="U939">
        <v>240</v>
      </c>
      <c r="V939" t="s">
        <v>20</v>
      </c>
      <c r="W939" t="s">
        <v>21</v>
      </c>
      <c r="X939" t="s">
        <v>22</v>
      </c>
      <c r="Y939" t="s">
        <v>23</v>
      </c>
      <c r="AF939" t="s">
        <v>13</v>
      </c>
      <c r="AG939" t="str">
        <f>HYPERLINK("https://doi.org/10.1515/9780748632176")</f>
        <v>https://doi.org/10.1515/9780748632176</v>
      </c>
      <c r="AH939" t="str">
        <f>HYPERLINK("http://www.degruyter.com/isbn/9780748632176")</f>
        <v>http://www.degruyter.com/isbn/9780748632176</v>
      </c>
      <c r="AI939" t="s">
        <v>68</v>
      </c>
      <c r="AL939" t="s">
        <v>15</v>
      </c>
      <c r="AM939">
        <v>1</v>
      </c>
      <c r="AN939" s="2">
        <v>9780748632787</v>
      </c>
    </row>
    <row r="940" spans="1:40" x14ac:dyDescent="0.3">
      <c r="A940" t="s">
        <v>4738</v>
      </c>
      <c r="B940" t="s">
        <v>1</v>
      </c>
      <c r="C940" t="s">
        <v>4739</v>
      </c>
      <c r="D940" t="s">
        <v>4740</v>
      </c>
      <c r="E940" t="s">
        <v>4741</v>
      </c>
      <c r="F940" t="s">
        <v>5</v>
      </c>
      <c r="G940" t="s">
        <v>6</v>
      </c>
      <c r="L940" t="s">
        <v>7</v>
      </c>
      <c r="M940">
        <v>2020</v>
      </c>
      <c r="N940" s="1">
        <v>44644</v>
      </c>
      <c r="O940" t="s">
        <v>4742</v>
      </c>
      <c r="P940">
        <v>1</v>
      </c>
      <c r="S940">
        <v>227.95</v>
      </c>
      <c r="T940">
        <v>260</v>
      </c>
      <c r="U940">
        <v>200</v>
      </c>
      <c r="V940" t="s">
        <v>42</v>
      </c>
      <c r="W940" t="s">
        <v>107</v>
      </c>
      <c r="X940" t="s">
        <v>108</v>
      </c>
      <c r="Y940" t="s">
        <v>109</v>
      </c>
      <c r="AF940" t="s">
        <v>13</v>
      </c>
      <c r="AG940" t="str">
        <f>HYPERLINK("https://doi.org/10.1515/9781474461863?locatt=mode:legacy")</f>
        <v>https://doi.org/10.1515/9781474461863?locatt=mode:legacy</v>
      </c>
      <c r="AH940" t="str">
        <f>HYPERLINK("http://www.degruyter.com/isbn/9781474461863")</f>
        <v>http://www.degruyter.com/isbn/9781474461863</v>
      </c>
      <c r="AI940" t="s">
        <v>14</v>
      </c>
      <c r="AJ940" t="s">
        <v>35</v>
      </c>
      <c r="AL940" t="s">
        <v>520</v>
      </c>
      <c r="AM940">
        <v>1</v>
      </c>
      <c r="AN940" s="2">
        <v>9781474461849</v>
      </c>
    </row>
    <row r="941" spans="1:40" x14ac:dyDescent="0.3">
      <c r="A941" t="s">
        <v>4743</v>
      </c>
      <c r="B941" t="s">
        <v>1</v>
      </c>
      <c r="C941" t="s">
        <v>4744</v>
      </c>
      <c r="E941" t="s">
        <v>4745</v>
      </c>
      <c r="F941" t="s">
        <v>5</v>
      </c>
      <c r="G941" t="s">
        <v>6</v>
      </c>
      <c r="L941" t="s">
        <v>7</v>
      </c>
      <c r="M941">
        <v>2020</v>
      </c>
      <c r="N941" s="1">
        <v>44644</v>
      </c>
      <c r="O941" t="s">
        <v>4746</v>
      </c>
      <c r="P941">
        <v>1</v>
      </c>
      <c r="S941">
        <v>217.95</v>
      </c>
      <c r="T941">
        <v>250</v>
      </c>
      <c r="U941">
        <v>190</v>
      </c>
      <c r="V941" t="s">
        <v>42</v>
      </c>
      <c r="W941" t="s">
        <v>161</v>
      </c>
      <c r="X941" t="s">
        <v>162</v>
      </c>
      <c r="Y941" t="s">
        <v>393</v>
      </c>
      <c r="AF941" t="s">
        <v>13</v>
      </c>
      <c r="AG941" t="str">
        <f>HYPERLINK("https://doi.org/10.1515/9781474466783")</f>
        <v>https://doi.org/10.1515/9781474466783</v>
      </c>
      <c r="AH941" t="str">
        <f>HYPERLINK("http://www.degruyter.com/isbn/9781474466783")</f>
        <v>http://www.degruyter.com/isbn/9781474466783</v>
      </c>
      <c r="AI941" t="s">
        <v>14</v>
      </c>
      <c r="AL941" t="s">
        <v>47</v>
      </c>
      <c r="AM941">
        <v>1</v>
      </c>
      <c r="AN941" s="2">
        <v>9781474466752</v>
      </c>
    </row>
    <row r="942" spans="1:40" x14ac:dyDescent="0.3">
      <c r="A942" t="s">
        <v>4747</v>
      </c>
      <c r="B942" t="s">
        <v>1</v>
      </c>
      <c r="C942" t="s">
        <v>4748</v>
      </c>
      <c r="E942" t="s">
        <v>4749</v>
      </c>
      <c r="F942" t="s">
        <v>5</v>
      </c>
      <c r="G942" t="s">
        <v>6</v>
      </c>
      <c r="L942" t="s">
        <v>7</v>
      </c>
      <c r="M942">
        <v>2011</v>
      </c>
      <c r="N942" s="1">
        <v>40625</v>
      </c>
      <c r="O942" t="s">
        <v>4750</v>
      </c>
      <c r="P942">
        <v>1</v>
      </c>
      <c r="S942">
        <v>217.95</v>
      </c>
      <c r="T942">
        <v>250</v>
      </c>
      <c r="U942">
        <v>190</v>
      </c>
      <c r="V942" t="s">
        <v>42</v>
      </c>
      <c r="W942" t="s">
        <v>107</v>
      </c>
      <c r="X942" t="s">
        <v>108</v>
      </c>
      <c r="Y942" t="s">
        <v>109</v>
      </c>
      <c r="AF942" t="s">
        <v>13</v>
      </c>
      <c r="AG942" t="str">
        <f>HYPERLINK("https://doi.org/10.1515/9780748636655")</f>
        <v>https://doi.org/10.1515/9780748636655</v>
      </c>
      <c r="AH942" t="str">
        <f>HYPERLINK("http://www.degruyter.com/isbn/9780748636655")</f>
        <v>http://www.degruyter.com/isbn/9780748636655</v>
      </c>
      <c r="AI942" t="s">
        <v>68</v>
      </c>
      <c r="AL942" t="s">
        <v>47</v>
      </c>
      <c r="AM942">
        <v>1</v>
      </c>
      <c r="AN942" s="2">
        <v>9780748636631</v>
      </c>
    </row>
    <row r="943" spans="1:40" x14ac:dyDescent="0.3">
      <c r="A943" t="s">
        <v>4751</v>
      </c>
      <c r="B943" t="s">
        <v>1</v>
      </c>
      <c r="C943" t="s">
        <v>4752</v>
      </c>
      <c r="D943" t="s">
        <v>4753</v>
      </c>
      <c r="E943" t="s">
        <v>4754</v>
      </c>
      <c r="F943" t="s">
        <v>5</v>
      </c>
      <c r="G943" t="s">
        <v>6</v>
      </c>
      <c r="L943" t="s">
        <v>7</v>
      </c>
      <c r="M943">
        <v>2019</v>
      </c>
      <c r="N943" s="1">
        <v>44656</v>
      </c>
      <c r="O943" t="s">
        <v>4755</v>
      </c>
      <c r="P943">
        <v>1</v>
      </c>
      <c r="S943">
        <v>217.95</v>
      </c>
      <c r="T943">
        <v>250</v>
      </c>
      <c r="U943">
        <v>190</v>
      </c>
      <c r="V943" t="s">
        <v>79</v>
      </c>
      <c r="W943" t="s">
        <v>783</v>
      </c>
      <c r="X943" t="s">
        <v>783</v>
      </c>
      <c r="Y943" t="s">
        <v>784</v>
      </c>
      <c r="AF943" t="s">
        <v>13</v>
      </c>
      <c r="AG943" t="str">
        <f>HYPERLINK("https://doi.org/10.1515/9781474413381")</f>
        <v>https://doi.org/10.1515/9781474413381</v>
      </c>
      <c r="AH943" t="str">
        <f>HYPERLINK("http://www.degruyter.com/isbn/9781474413381")</f>
        <v>http://www.degruyter.com/isbn/9781474413381</v>
      </c>
      <c r="AI943" t="s">
        <v>280</v>
      </c>
      <c r="AL943" t="s">
        <v>83</v>
      </c>
      <c r="AM943">
        <v>1</v>
      </c>
      <c r="AN943" s="2">
        <v>9781474413374</v>
      </c>
    </row>
    <row r="944" spans="1:40" x14ac:dyDescent="0.3">
      <c r="A944" t="s">
        <v>4756</v>
      </c>
      <c r="B944" t="s">
        <v>1</v>
      </c>
      <c r="C944" t="s">
        <v>4757</v>
      </c>
      <c r="E944" t="s">
        <v>4758</v>
      </c>
      <c r="F944" t="s">
        <v>5</v>
      </c>
      <c r="G944" t="s">
        <v>6</v>
      </c>
      <c r="L944" t="s">
        <v>7</v>
      </c>
      <c r="M944">
        <v>2020</v>
      </c>
      <c r="N944" s="1">
        <v>44644</v>
      </c>
      <c r="O944" t="s">
        <v>4759</v>
      </c>
      <c r="P944">
        <v>1</v>
      </c>
      <c r="S944">
        <v>217.95</v>
      </c>
      <c r="T944">
        <v>250</v>
      </c>
      <c r="U944">
        <v>190</v>
      </c>
      <c r="V944" t="s">
        <v>9</v>
      </c>
      <c r="W944" t="s">
        <v>10</v>
      </c>
      <c r="X944" t="s">
        <v>11</v>
      </c>
      <c r="Y944" t="s">
        <v>52</v>
      </c>
      <c r="AF944" t="s">
        <v>13</v>
      </c>
      <c r="AG944" t="str">
        <f>HYPERLINK("https://doi.org/10.1515/9781474437059")</f>
        <v>https://doi.org/10.1515/9781474437059</v>
      </c>
      <c r="AH944" t="str">
        <f>HYPERLINK("http://www.degruyter.com/isbn/9781474437059")</f>
        <v>http://www.degruyter.com/isbn/9781474437059</v>
      </c>
      <c r="AI944" t="s">
        <v>14</v>
      </c>
      <c r="AL944" t="s">
        <v>15</v>
      </c>
      <c r="AM944">
        <v>1</v>
      </c>
      <c r="AN944" s="2">
        <v>9781474437035</v>
      </c>
    </row>
    <row r="945" spans="1:40" x14ac:dyDescent="0.3">
      <c r="A945" t="s">
        <v>4760</v>
      </c>
      <c r="B945" t="s">
        <v>1</v>
      </c>
      <c r="C945" t="s">
        <v>4761</v>
      </c>
      <c r="D945" t="s">
        <v>4762</v>
      </c>
      <c r="E945" t="s">
        <v>4763</v>
      </c>
      <c r="F945" t="s">
        <v>5</v>
      </c>
      <c r="G945" t="s">
        <v>6</v>
      </c>
      <c r="L945" t="s">
        <v>7</v>
      </c>
      <c r="M945">
        <v>2011</v>
      </c>
      <c r="N945" s="1">
        <v>40877</v>
      </c>
      <c r="O945" t="s">
        <v>4764</v>
      </c>
      <c r="P945">
        <v>1</v>
      </c>
      <c r="S945">
        <v>227.95</v>
      </c>
      <c r="T945">
        <v>260</v>
      </c>
      <c r="U945">
        <v>200</v>
      </c>
      <c r="V945" t="s">
        <v>9</v>
      </c>
      <c r="W945" t="s">
        <v>10</v>
      </c>
      <c r="X945" t="s">
        <v>596</v>
      </c>
      <c r="Y945" t="s">
        <v>2473</v>
      </c>
      <c r="AF945" t="s">
        <v>13</v>
      </c>
      <c r="AG945" t="str">
        <f>HYPERLINK("https://doi.org/10.1515/9780748654260")</f>
        <v>https://doi.org/10.1515/9780748654260</v>
      </c>
      <c r="AH945" t="str">
        <f>HYPERLINK("http://www.degruyter.com/isbn/9780748654260")</f>
        <v>http://www.degruyter.com/isbn/9780748654260</v>
      </c>
      <c r="AI945" t="s">
        <v>68</v>
      </c>
      <c r="AJ945" t="s">
        <v>35</v>
      </c>
      <c r="AL945" t="s">
        <v>53</v>
      </c>
      <c r="AM945">
        <v>1</v>
      </c>
      <c r="AN945" s="2">
        <v>9780748640782</v>
      </c>
    </row>
    <row r="946" spans="1:40" x14ac:dyDescent="0.3">
      <c r="A946" t="s">
        <v>4765</v>
      </c>
      <c r="B946" t="s">
        <v>1</v>
      </c>
      <c r="C946" t="s">
        <v>4766</v>
      </c>
      <c r="D946" t="s">
        <v>4767</v>
      </c>
      <c r="E946" t="s">
        <v>4768</v>
      </c>
      <c r="F946" t="s">
        <v>5</v>
      </c>
      <c r="G946" t="s">
        <v>6</v>
      </c>
      <c r="L946" t="s">
        <v>7</v>
      </c>
      <c r="M946">
        <v>2004</v>
      </c>
      <c r="N946" s="1">
        <v>38302</v>
      </c>
      <c r="O946" t="s">
        <v>4769</v>
      </c>
      <c r="P946">
        <v>1</v>
      </c>
      <c r="S946">
        <v>305.95</v>
      </c>
      <c r="T946">
        <v>350</v>
      </c>
      <c r="U946">
        <v>270</v>
      </c>
      <c r="V946" t="s">
        <v>329</v>
      </c>
      <c r="W946" t="s">
        <v>330</v>
      </c>
      <c r="X946" t="s">
        <v>331</v>
      </c>
      <c r="Y946" t="s">
        <v>4770</v>
      </c>
      <c r="AF946" t="s">
        <v>13</v>
      </c>
      <c r="AG946" t="str">
        <f>HYPERLINK("https://doi.org/10.1515/9781474469593")</f>
        <v>https://doi.org/10.1515/9781474469593</v>
      </c>
      <c r="AH946" t="str">
        <f>HYPERLINK("http://www.degruyter.com/isbn/9781474469593")</f>
        <v>http://www.degruyter.com/isbn/9781474469593</v>
      </c>
      <c r="AI946" t="s">
        <v>68</v>
      </c>
      <c r="AL946" t="s">
        <v>333</v>
      </c>
      <c r="AM946">
        <v>1</v>
      </c>
      <c r="AN946" s="2">
        <v>9780748617555</v>
      </c>
    </row>
    <row r="947" spans="1:40" x14ac:dyDescent="0.3">
      <c r="A947" t="s">
        <v>4771</v>
      </c>
      <c r="B947" t="s">
        <v>1</v>
      </c>
      <c r="C947" t="s">
        <v>4772</v>
      </c>
      <c r="D947" t="s">
        <v>4773</v>
      </c>
      <c r="E947" t="s">
        <v>4774</v>
      </c>
      <c r="F947" t="s">
        <v>5</v>
      </c>
      <c r="G947" t="s">
        <v>6</v>
      </c>
      <c r="L947" t="s">
        <v>7</v>
      </c>
      <c r="M947">
        <v>1995</v>
      </c>
      <c r="N947" s="1">
        <v>44719</v>
      </c>
      <c r="O947" t="s">
        <v>4775</v>
      </c>
      <c r="P947">
        <v>1</v>
      </c>
      <c r="S947">
        <v>305.95</v>
      </c>
      <c r="T947">
        <v>350</v>
      </c>
      <c r="U947">
        <v>270</v>
      </c>
      <c r="V947" t="s">
        <v>20</v>
      </c>
      <c r="W947" t="s">
        <v>21</v>
      </c>
      <c r="X947" t="s">
        <v>22</v>
      </c>
      <c r="Y947" t="s">
        <v>23</v>
      </c>
      <c r="AF947" t="s">
        <v>13</v>
      </c>
      <c r="AG947" t="str">
        <f>HYPERLINK("https://doi.org/10.1515/9781474473095")</f>
        <v>https://doi.org/10.1515/9781474473095</v>
      </c>
      <c r="AH947" t="str">
        <f>HYPERLINK("http://www.degruyter.com/isbn/9781474473095")</f>
        <v>http://www.degruyter.com/isbn/9781474473095</v>
      </c>
      <c r="AI947" t="s">
        <v>24</v>
      </c>
      <c r="AL947" t="s">
        <v>15</v>
      </c>
      <c r="AM947">
        <v>1</v>
      </c>
      <c r="AN947" s="2">
        <v>9781853310591</v>
      </c>
    </row>
    <row r="948" spans="1:40" x14ac:dyDescent="0.3">
      <c r="A948" t="s">
        <v>4776</v>
      </c>
      <c r="B948" t="s">
        <v>1</v>
      </c>
      <c r="C948" t="s">
        <v>4777</v>
      </c>
      <c r="D948" t="s">
        <v>4778</v>
      </c>
      <c r="E948" t="s">
        <v>4779</v>
      </c>
      <c r="F948" t="s">
        <v>5</v>
      </c>
      <c r="G948" t="s">
        <v>6</v>
      </c>
      <c r="L948" t="s">
        <v>7</v>
      </c>
      <c r="M948">
        <v>1997</v>
      </c>
      <c r="N948" s="1">
        <v>44599</v>
      </c>
      <c r="O948" t="s">
        <v>4780</v>
      </c>
      <c r="P948">
        <v>1</v>
      </c>
      <c r="S948">
        <v>217.95</v>
      </c>
      <c r="T948">
        <v>250</v>
      </c>
      <c r="U948">
        <v>190</v>
      </c>
      <c r="V948" t="s">
        <v>79</v>
      </c>
      <c r="W948" t="s">
        <v>227</v>
      </c>
      <c r="X948" t="s">
        <v>234</v>
      </c>
      <c r="Y948" t="s">
        <v>355</v>
      </c>
      <c r="AF948" t="s">
        <v>13</v>
      </c>
      <c r="AG948" t="str">
        <f>HYPERLINK("https://doi.org/10.1515/9781474467957")</f>
        <v>https://doi.org/10.1515/9781474467957</v>
      </c>
      <c r="AH948" t="str">
        <f>HYPERLINK("http://www.degruyter.com/isbn/9781474467957")</f>
        <v>http://www.degruyter.com/isbn/9781474467957</v>
      </c>
      <c r="AI948" t="s">
        <v>24</v>
      </c>
      <c r="AL948" t="s">
        <v>83</v>
      </c>
      <c r="AM948">
        <v>1</v>
      </c>
      <c r="AN948" s="2">
        <v>9780748609550</v>
      </c>
    </row>
    <row r="949" spans="1:40" x14ac:dyDescent="0.3">
      <c r="A949" t="s">
        <v>4781</v>
      </c>
      <c r="B949" t="s">
        <v>1</v>
      </c>
      <c r="C949" t="s">
        <v>4782</v>
      </c>
      <c r="D949" t="s">
        <v>4783</v>
      </c>
      <c r="E949" t="s">
        <v>4784</v>
      </c>
      <c r="F949" t="s">
        <v>5</v>
      </c>
      <c r="G949" t="s">
        <v>6</v>
      </c>
      <c r="L949" t="s">
        <v>7</v>
      </c>
      <c r="M949">
        <v>2016</v>
      </c>
      <c r="N949" s="1">
        <v>42387</v>
      </c>
      <c r="O949" t="s">
        <v>4785</v>
      </c>
      <c r="P949">
        <v>1</v>
      </c>
      <c r="S949">
        <v>253.95</v>
      </c>
      <c r="T949">
        <v>290</v>
      </c>
      <c r="U949">
        <v>220</v>
      </c>
      <c r="V949" t="s">
        <v>268</v>
      </c>
      <c r="W949" t="s">
        <v>4786</v>
      </c>
      <c r="X949" t="s">
        <v>4787</v>
      </c>
      <c r="Y949" t="s">
        <v>4788</v>
      </c>
      <c r="AF949" t="s">
        <v>13</v>
      </c>
      <c r="AG949" t="str">
        <f>HYPERLINK("https://doi.org/10.1515/9781474401135")</f>
        <v>https://doi.org/10.1515/9781474401135</v>
      </c>
      <c r="AH949" t="str">
        <f>HYPERLINK("http://www.degruyter.com/isbn/9781474401135")</f>
        <v>http://www.degruyter.com/isbn/9781474401135</v>
      </c>
      <c r="AI949" t="s">
        <v>4789</v>
      </c>
      <c r="AL949" t="s">
        <v>272</v>
      </c>
      <c r="AM949">
        <v>1</v>
      </c>
      <c r="AN949" s="2">
        <v>9781474401128</v>
      </c>
    </row>
    <row r="950" spans="1:40" x14ac:dyDescent="0.3">
      <c r="A950" t="s">
        <v>4790</v>
      </c>
      <c r="B950" t="s">
        <v>1</v>
      </c>
      <c r="C950" t="s">
        <v>4791</v>
      </c>
      <c r="D950" t="s">
        <v>4792</v>
      </c>
      <c r="E950" t="s">
        <v>4793</v>
      </c>
      <c r="F950" t="s">
        <v>5</v>
      </c>
      <c r="G950" t="s">
        <v>6</v>
      </c>
      <c r="L950" t="s">
        <v>7</v>
      </c>
      <c r="M950">
        <v>1993</v>
      </c>
      <c r="N950" s="1">
        <v>44719</v>
      </c>
      <c r="O950" t="s">
        <v>2344</v>
      </c>
      <c r="P950">
        <v>1</v>
      </c>
      <c r="S950">
        <v>217.95</v>
      </c>
      <c r="T950">
        <v>250</v>
      </c>
      <c r="U950">
        <v>190</v>
      </c>
      <c r="V950" t="s">
        <v>42</v>
      </c>
      <c r="W950" t="s">
        <v>740</v>
      </c>
      <c r="X950" t="s">
        <v>741</v>
      </c>
      <c r="Y950" t="s">
        <v>742</v>
      </c>
      <c r="AF950" t="s">
        <v>13</v>
      </c>
      <c r="AG950" t="str">
        <f>HYPERLINK("https://doi.org/10.1515/9781474471510")</f>
        <v>https://doi.org/10.1515/9781474471510</v>
      </c>
      <c r="AH950" t="str">
        <f>HYPERLINK("http://www.degruyter.com/isbn/9781474471510")</f>
        <v>http://www.degruyter.com/isbn/9781474471510</v>
      </c>
      <c r="AI950" t="s">
        <v>24</v>
      </c>
      <c r="AL950" t="s">
        <v>47</v>
      </c>
      <c r="AM950">
        <v>1</v>
      </c>
      <c r="AN950" s="2">
        <v>9780748683086</v>
      </c>
    </row>
    <row r="951" spans="1:40" x14ac:dyDescent="0.3">
      <c r="A951" t="s">
        <v>4794</v>
      </c>
      <c r="B951" t="s">
        <v>1</v>
      </c>
      <c r="C951" t="s">
        <v>4795</v>
      </c>
      <c r="D951" t="s">
        <v>4796</v>
      </c>
      <c r="E951" t="s">
        <v>4797</v>
      </c>
      <c r="F951" t="s">
        <v>5</v>
      </c>
      <c r="G951" t="s">
        <v>6</v>
      </c>
      <c r="L951" t="s">
        <v>7</v>
      </c>
      <c r="M951">
        <v>2016</v>
      </c>
      <c r="N951" s="1">
        <v>42661</v>
      </c>
      <c r="O951" t="s">
        <v>4798</v>
      </c>
      <c r="P951">
        <v>1</v>
      </c>
      <c r="S951">
        <v>217.95</v>
      </c>
      <c r="T951">
        <v>250</v>
      </c>
      <c r="U951">
        <v>190</v>
      </c>
      <c r="V951" t="s">
        <v>9</v>
      </c>
      <c r="W951" t="s">
        <v>10</v>
      </c>
      <c r="X951" t="s">
        <v>11</v>
      </c>
      <c r="Y951" t="s">
        <v>52</v>
      </c>
      <c r="AF951" t="s">
        <v>13</v>
      </c>
      <c r="AG951" t="str">
        <f>HYPERLINK("https://doi.org/10.1515/9781474405157?locatt=mode:legacy")</f>
        <v>https://doi.org/10.1515/9781474405157?locatt=mode:legacy</v>
      </c>
      <c r="AH951" t="str">
        <f>HYPERLINK("http://www.degruyter.com/isbn/9781474405157")</f>
        <v>http://www.degruyter.com/isbn/9781474405157</v>
      </c>
      <c r="AI951" t="s">
        <v>180</v>
      </c>
      <c r="AL951" t="s">
        <v>15</v>
      </c>
      <c r="AM951">
        <v>1</v>
      </c>
      <c r="AN951" s="2">
        <v>9781474405140</v>
      </c>
    </row>
    <row r="952" spans="1:40" x14ac:dyDescent="0.3">
      <c r="A952" t="s">
        <v>4799</v>
      </c>
      <c r="B952" t="s">
        <v>1</v>
      </c>
      <c r="C952" t="s">
        <v>4800</v>
      </c>
      <c r="E952" t="s">
        <v>4801</v>
      </c>
      <c r="F952" t="s">
        <v>5</v>
      </c>
      <c r="G952" t="s">
        <v>6</v>
      </c>
      <c r="L952" t="s">
        <v>7</v>
      </c>
      <c r="M952">
        <v>2004</v>
      </c>
      <c r="N952" s="1">
        <v>38328</v>
      </c>
      <c r="O952" t="s">
        <v>661</v>
      </c>
      <c r="P952">
        <v>1</v>
      </c>
      <c r="S952">
        <v>287.95</v>
      </c>
      <c r="T952">
        <v>330</v>
      </c>
      <c r="U952">
        <v>250</v>
      </c>
      <c r="V952" t="s">
        <v>42</v>
      </c>
      <c r="W952" t="s">
        <v>116</v>
      </c>
      <c r="X952" t="s">
        <v>116</v>
      </c>
      <c r="Y952" t="s">
        <v>971</v>
      </c>
      <c r="AF952" t="s">
        <v>13</v>
      </c>
      <c r="AG952" t="str">
        <f>HYPERLINK("https://doi.org/10.1515/9781474473651")</f>
        <v>https://doi.org/10.1515/9781474473651</v>
      </c>
      <c r="AH952" t="str">
        <f>HYPERLINK("http://www.degruyter.com/isbn/9781474473651")</f>
        <v>http://www.degruyter.com/isbn/9781474473651</v>
      </c>
      <c r="AI952" t="s">
        <v>68</v>
      </c>
      <c r="AL952" t="s">
        <v>47</v>
      </c>
      <c r="AM952">
        <v>1</v>
      </c>
      <c r="AN952" s="2">
        <v>9780748619917</v>
      </c>
    </row>
    <row r="953" spans="1:40" x14ac:dyDescent="0.3">
      <c r="A953" t="s">
        <v>4802</v>
      </c>
      <c r="B953" t="s">
        <v>1</v>
      </c>
      <c r="C953" t="s">
        <v>4803</v>
      </c>
      <c r="D953" t="s">
        <v>4804</v>
      </c>
      <c r="E953" t="s">
        <v>4805</v>
      </c>
      <c r="F953" t="s">
        <v>5</v>
      </c>
      <c r="G953" t="s">
        <v>6</v>
      </c>
      <c r="L953" t="s">
        <v>7</v>
      </c>
      <c r="M953">
        <v>2018</v>
      </c>
      <c r="N953" s="1">
        <v>44644</v>
      </c>
      <c r="O953" t="s">
        <v>4806</v>
      </c>
      <c r="P953">
        <v>1</v>
      </c>
      <c r="S953">
        <v>217.95</v>
      </c>
      <c r="T953">
        <v>250</v>
      </c>
      <c r="U953">
        <v>190</v>
      </c>
      <c r="V953" t="s">
        <v>9</v>
      </c>
      <c r="W953" t="s">
        <v>10</v>
      </c>
      <c r="X953" t="s">
        <v>11</v>
      </c>
      <c r="Y953" t="s">
        <v>52</v>
      </c>
      <c r="AF953" t="s">
        <v>13</v>
      </c>
      <c r="AG953" t="str">
        <f>HYPERLINK("https://doi.org/10.1515/9781474419482?locatt=mode:legacy")</f>
        <v>https://doi.org/10.1515/9781474419482?locatt=mode:legacy</v>
      </c>
      <c r="AH953" t="str">
        <f>HYPERLINK("http://www.degruyter.com/isbn/9781474419482")</f>
        <v>http://www.degruyter.com/isbn/9781474419482</v>
      </c>
      <c r="AI953" t="s">
        <v>46</v>
      </c>
      <c r="AL953" t="s">
        <v>15</v>
      </c>
      <c r="AM953">
        <v>1</v>
      </c>
      <c r="AN953" s="2">
        <v>9781474419475</v>
      </c>
    </row>
    <row r="954" spans="1:40" x14ac:dyDescent="0.3">
      <c r="A954" t="s">
        <v>4807</v>
      </c>
      <c r="B954" t="s">
        <v>1</v>
      </c>
      <c r="C954" t="s">
        <v>4808</v>
      </c>
      <c r="D954" t="s">
        <v>4809</v>
      </c>
      <c r="E954" t="s">
        <v>4810</v>
      </c>
      <c r="F954" t="s">
        <v>5</v>
      </c>
      <c r="G954" t="s">
        <v>6</v>
      </c>
      <c r="L954" t="s">
        <v>7</v>
      </c>
      <c r="M954">
        <v>1999</v>
      </c>
      <c r="N954" s="1">
        <v>44607</v>
      </c>
      <c r="O954" t="s">
        <v>4811</v>
      </c>
      <c r="P954">
        <v>1</v>
      </c>
      <c r="S954">
        <v>217.95</v>
      </c>
      <c r="T954">
        <v>250</v>
      </c>
      <c r="U954">
        <v>190</v>
      </c>
      <c r="V954" t="s">
        <v>42</v>
      </c>
      <c r="W954" t="s">
        <v>116</v>
      </c>
      <c r="X954" t="s">
        <v>116</v>
      </c>
      <c r="Y954" t="s">
        <v>117</v>
      </c>
      <c r="AF954" t="s">
        <v>13</v>
      </c>
      <c r="AG954" t="str">
        <f>HYPERLINK("https://doi.org/10.1515/9781474470926")</f>
        <v>https://doi.org/10.1515/9781474470926</v>
      </c>
      <c r="AH954" t="str">
        <f>HYPERLINK("http://www.degruyter.com/isbn/9781474470926")</f>
        <v>http://www.degruyter.com/isbn/9781474470926</v>
      </c>
      <c r="AI954" t="s">
        <v>24</v>
      </c>
      <c r="AL954" t="s">
        <v>47</v>
      </c>
      <c r="AM954">
        <v>1</v>
      </c>
      <c r="AN954" s="2">
        <v>9780748610655</v>
      </c>
    </row>
    <row r="955" spans="1:40" x14ac:dyDescent="0.3">
      <c r="A955" t="s">
        <v>4812</v>
      </c>
      <c r="B955" t="s">
        <v>1</v>
      </c>
      <c r="C955" t="s">
        <v>4813</v>
      </c>
      <c r="D955" t="s">
        <v>4814</v>
      </c>
      <c r="E955" t="s">
        <v>4815</v>
      </c>
      <c r="F955" t="s">
        <v>5</v>
      </c>
      <c r="G955" t="s">
        <v>6</v>
      </c>
      <c r="L955" t="s">
        <v>7</v>
      </c>
      <c r="M955">
        <v>2015</v>
      </c>
      <c r="N955" s="1">
        <v>42086</v>
      </c>
      <c r="O955" t="s">
        <v>4816</v>
      </c>
      <c r="P955">
        <v>1</v>
      </c>
      <c r="S955">
        <v>217.95</v>
      </c>
      <c r="T955">
        <v>250</v>
      </c>
      <c r="U955">
        <v>190</v>
      </c>
      <c r="V955" t="s">
        <v>20</v>
      </c>
      <c r="W955" t="s">
        <v>21</v>
      </c>
      <c r="X955" t="s">
        <v>22</v>
      </c>
      <c r="Y955" t="s">
        <v>489</v>
      </c>
      <c r="AF955" t="s">
        <v>13</v>
      </c>
      <c r="AG955" t="str">
        <f>HYPERLINK("https://doi.org/10.1515/9780748696215")</f>
        <v>https://doi.org/10.1515/9780748696215</v>
      </c>
      <c r="AH955" t="str">
        <f>HYPERLINK("http://www.degruyter.com/isbn/9780748696215")</f>
        <v>http://www.degruyter.com/isbn/9780748696215</v>
      </c>
      <c r="AI955" t="s">
        <v>34</v>
      </c>
      <c r="AL955" t="s">
        <v>15</v>
      </c>
      <c r="AM955">
        <v>1</v>
      </c>
      <c r="AN955" s="2">
        <v>9780748696208</v>
      </c>
    </row>
    <row r="956" spans="1:40" x14ac:dyDescent="0.3">
      <c r="A956" t="s">
        <v>4817</v>
      </c>
      <c r="B956" t="s">
        <v>1</v>
      </c>
      <c r="C956" t="s">
        <v>4818</v>
      </c>
      <c r="E956" t="s">
        <v>4819</v>
      </c>
      <c r="F956" t="s">
        <v>5</v>
      </c>
      <c r="G956" t="s">
        <v>6</v>
      </c>
      <c r="L956" t="s">
        <v>7</v>
      </c>
      <c r="M956">
        <v>1996</v>
      </c>
      <c r="N956" s="1">
        <v>44607</v>
      </c>
      <c r="O956" t="s">
        <v>4820</v>
      </c>
      <c r="P956">
        <v>1</v>
      </c>
      <c r="S956">
        <v>217.95</v>
      </c>
      <c r="T956">
        <v>250</v>
      </c>
      <c r="U956">
        <v>190</v>
      </c>
      <c r="V956" t="s">
        <v>58</v>
      </c>
      <c r="W956" t="s">
        <v>129</v>
      </c>
      <c r="X956" t="s">
        <v>130</v>
      </c>
      <c r="Y956" t="s">
        <v>546</v>
      </c>
      <c r="AF956" t="s">
        <v>13</v>
      </c>
      <c r="AG956" t="str">
        <f>HYPERLINK("https://doi.org/10.1515/9781474472272")</f>
        <v>https://doi.org/10.1515/9781474472272</v>
      </c>
      <c r="AH956" t="str">
        <f>HYPERLINK("http://www.degruyter.com/isbn/9781474472272")</f>
        <v>http://www.degruyter.com/isbn/9781474472272</v>
      </c>
      <c r="AI956" t="s">
        <v>24</v>
      </c>
      <c r="AL956" t="s">
        <v>62</v>
      </c>
      <c r="AM956">
        <v>1</v>
      </c>
      <c r="AN956" s="2">
        <v>9780748607792</v>
      </c>
    </row>
    <row r="957" spans="1:40" x14ac:dyDescent="0.3">
      <c r="A957" t="s">
        <v>4821</v>
      </c>
      <c r="B957" t="s">
        <v>1</v>
      </c>
      <c r="C957" t="s">
        <v>4822</v>
      </c>
      <c r="D957" t="s">
        <v>4823</v>
      </c>
      <c r="E957" t="s">
        <v>4824</v>
      </c>
      <c r="F957" t="s">
        <v>5</v>
      </c>
      <c r="G957" t="s">
        <v>6</v>
      </c>
      <c r="L957" t="s">
        <v>7</v>
      </c>
      <c r="M957">
        <v>2020</v>
      </c>
      <c r="N957" s="1">
        <v>44644</v>
      </c>
      <c r="O957" t="s">
        <v>4825</v>
      </c>
      <c r="P957">
        <v>1</v>
      </c>
      <c r="S957">
        <v>217.95</v>
      </c>
      <c r="T957">
        <v>250</v>
      </c>
      <c r="U957">
        <v>190</v>
      </c>
      <c r="V957" t="s">
        <v>42</v>
      </c>
      <c r="W957" t="s">
        <v>43</v>
      </c>
      <c r="X957" t="s">
        <v>44</v>
      </c>
      <c r="Y957" t="s">
        <v>45</v>
      </c>
      <c r="AF957" t="s">
        <v>13</v>
      </c>
      <c r="AG957" t="str">
        <f>HYPERLINK("https://doi.org/10.1515/9781474475860")</f>
        <v>https://doi.org/10.1515/9781474475860</v>
      </c>
      <c r="AH957" t="str">
        <f>HYPERLINK("http://www.degruyter.com/isbn/9781474475860")</f>
        <v>http://www.degruyter.com/isbn/9781474475860</v>
      </c>
      <c r="AI957" t="s">
        <v>14</v>
      </c>
      <c r="AL957" t="s">
        <v>47</v>
      </c>
      <c r="AM957">
        <v>1</v>
      </c>
      <c r="AN957" s="2">
        <v>9781474475846</v>
      </c>
    </row>
    <row r="958" spans="1:40" x14ac:dyDescent="0.3">
      <c r="A958" t="s">
        <v>4826</v>
      </c>
      <c r="B958" t="s">
        <v>1</v>
      </c>
      <c r="C958" t="s">
        <v>4827</v>
      </c>
      <c r="D958" t="s">
        <v>4828</v>
      </c>
      <c r="E958" t="s">
        <v>4829</v>
      </c>
      <c r="F958" t="s">
        <v>5</v>
      </c>
      <c r="G958" t="s">
        <v>6</v>
      </c>
      <c r="L958" t="s">
        <v>7</v>
      </c>
      <c r="M958">
        <v>2011</v>
      </c>
      <c r="N958" s="1">
        <v>40724</v>
      </c>
      <c r="O958" t="s">
        <v>4830</v>
      </c>
      <c r="P958">
        <v>1</v>
      </c>
      <c r="S958">
        <v>217.95</v>
      </c>
      <c r="T958">
        <v>250</v>
      </c>
      <c r="U958">
        <v>190</v>
      </c>
      <c r="V958" t="s">
        <v>42</v>
      </c>
      <c r="W958" t="s">
        <v>43</v>
      </c>
      <c r="X958" t="s">
        <v>44</v>
      </c>
      <c r="Y958" t="s">
        <v>45</v>
      </c>
      <c r="AF958" t="s">
        <v>13</v>
      </c>
      <c r="AG958" t="str">
        <f>HYPERLINK("https://doi.org/10.1515/9780748647040")</f>
        <v>https://doi.org/10.1515/9780748647040</v>
      </c>
      <c r="AH958" t="str">
        <f>HYPERLINK("http://www.degruyter.com/isbn/9780748647040")</f>
        <v>http://www.degruyter.com/isbn/9780748647040</v>
      </c>
      <c r="AI958" t="s">
        <v>68</v>
      </c>
      <c r="AL958" t="s">
        <v>47</v>
      </c>
      <c r="AM958">
        <v>1</v>
      </c>
      <c r="AN958" s="2">
        <v>9780748638246</v>
      </c>
    </row>
    <row r="959" spans="1:40" x14ac:dyDescent="0.3">
      <c r="A959" t="s">
        <v>4831</v>
      </c>
      <c r="B959" t="s">
        <v>1</v>
      </c>
      <c r="C959" t="s">
        <v>4832</v>
      </c>
      <c r="D959" t="s">
        <v>4833</v>
      </c>
      <c r="E959" t="s">
        <v>4834</v>
      </c>
      <c r="F959" t="s">
        <v>5</v>
      </c>
      <c r="G959" t="s">
        <v>6</v>
      </c>
      <c r="L959" t="s">
        <v>7</v>
      </c>
      <c r="M959">
        <v>2008</v>
      </c>
      <c r="N959" s="1">
        <v>39755</v>
      </c>
      <c r="O959" t="s">
        <v>4835</v>
      </c>
      <c r="P959">
        <v>1</v>
      </c>
      <c r="S959">
        <v>261.95</v>
      </c>
      <c r="T959">
        <v>300</v>
      </c>
      <c r="U959">
        <v>230</v>
      </c>
      <c r="V959" t="s">
        <v>79</v>
      </c>
      <c r="W959" t="s">
        <v>227</v>
      </c>
      <c r="X959" t="s">
        <v>234</v>
      </c>
      <c r="Y959" t="s">
        <v>235</v>
      </c>
      <c r="AF959" t="s">
        <v>13</v>
      </c>
      <c r="AG959" t="str">
        <f>HYPERLINK("https://doi.org/10.1515/9780748636044")</f>
        <v>https://doi.org/10.1515/9780748636044</v>
      </c>
      <c r="AH959" t="str">
        <f>HYPERLINK("http://www.degruyter.com/isbn/9780748636044")</f>
        <v>http://www.degruyter.com/isbn/9780748636044</v>
      </c>
      <c r="AI959" t="s">
        <v>68</v>
      </c>
      <c r="AL959" t="s">
        <v>83</v>
      </c>
      <c r="AM959">
        <v>1</v>
      </c>
      <c r="AN959" s="2">
        <v>9780748636037</v>
      </c>
    </row>
    <row r="960" spans="1:40" x14ac:dyDescent="0.3">
      <c r="A960" t="s">
        <v>4836</v>
      </c>
      <c r="B960" t="s">
        <v>1</v>
      </c>
      <c r="C960" t="s">
        <v>4837</v>
      </c>
      <c r="D960" t="s">
        <v>4838</v>
      </c>
      <c r="E960" t="s">
        <v>4839</v>
      </c>
      <c r="F960" t="s">
        <v>5</v>
      </c>
      <c r="G960" t="s">
        <v>6</v>
      </c>
      <c r="L960" t="s">
        <v>7</v>
      </c>
      <c r="M960">
        <v>1995</v>
      </c>
      <c r="N960" s="1">
        <v>44634</v>
      </c>
      <c r="O960" t="s">
        <v>4840</v>
      </c>
      <c r="P960">
        <v>1</v>
      </c>
      <c r="S960">
        <v>217.95</v>
      </c>
      <c r="T960">
        <v>250</v>
      </c>
      <c r="U960">
        <v>190</v>
      </c>
      <c r="V960" t="s">
        <v>42</v>
      </c>
      <c r="W960" t="s">
        <v>290</v>
      </c>
      <c r="X960" t="s">
        <v>290</v>
      </c>
      <c r="Y960" t="s">
        <v>536</v>
      </c>
      <c r="AF960" t="s">
        <v>13</v>
      </c>
      <c r="AG960" t="str">
        <f>HYPERLINK("https://doi.org/10.1515/9781474473583")</f>
        <v>https://doi.org/10.1515/9781474473583</v>
      </c>
      <c r="AH960" t="str">
        <f>HYPERLINK("http://www.degruyter.com/isbn/9781474473583")</f>
        <v>http://www.degruyter.com/isbn/9781474473583</v>
      </c>
      <c r="AI960" t="s">
        <v>24</v>
      </c>
      <c r="AJ960" t="s">
        <v>35</v>
      </c>
      <c r="AL960" t="s">
        <v>520</v>
      </c>
      <c r="AM960">
        <v>1</v>
      </c>
      <c r="AN960" s="2">
        <v>9780748606191</v>
      </c>
    </row>
    <row r="961" spans="1:40" x14ac:dyDescent="0.3">
      <c r="A961" t="s">
        <v>4841</v>
      </c>
      <c r="B961" t="s">
        <v>1</v>
      </c>
      <c r="C961" t="s">
        <v>4842</v>
      </c>
      <c r="D961" t="s">
        <v>4843</v>
      </c>
      <c r="E961" t="s">
        <v>4844</v>
      </c>
      <c r="F961" t="s">
        <v>5</v>
      </c>
      <c r="G961" t="s">
        <v>6</v>
      </c>
      <c r="L961" t="s">
        <v>7</v>
      </c>
      <c r="M961">
        <v>2018</v>
      </c>
      <c r="N961" s="1">
        <v>44656</v>
      </c>
      <c r="O961" t="s">
        <v>4368</v>
      </c>
      <c r="P961">
        <v>1</v>
      </c>
      <c r="S961">
        <v>227.95</v>
      </c>
      <c r="T961">
        <v>260</v>
      </c>
      <c r="U961">
        <v>200</v>
      </c>
      <c r="V961" t="s">
        <v>58</v>
      </c>
      <c r="W961" t="s">
        <v>59</v>
      </c>
      <c r="X961" t="s">
        <v>278</v>
      </c>
      <c r="Y961" t="s">
        <v>932</v>
      </c>
      <c r="AF961" t="s">
        <v>13</v>
      </c>
      <c r="AG961" t="str">
        <f>HYPERLINK("https://doi.org/10.1515/9781474433877?locatt=mode:legacy")</f>
        <v>https://doi.org/10.1515/9781474433877?locatt=mode:legacy</v>
      </c>
      <c r="AH961" t="str">
        <f>HYPERLINK("http://www.degruyter.com/isbn/9781474433877")</f>
        <v>http://www.degruyter.com/isbn/9781474433877</v>
      </c>
      <c r="AI961" t="s">
        <v>46</v>
      </c>
      <c r="AL961" t="s">
        <v>62</v>
      </c>
      <c r="AM961">
        <v>1</v>
      </c>
      <c r="AN961" s="2">
        <v>9781474433853</v>
      </c>
    </row>
    <row r="962" spans="1:40" x14ac:dyDescent="0.3">
      <c r="A962" t="s">
        <v>4845</v>
      </c>
      <c r="B962" t="s">
        <v>1</v>
      </c>
      <c r="C962" t="s">
        <v>4846</v>
      </c>
      <c r="D962" t="s">
        <v>4847</v>
      </c>
      <c r="E962" t="s">
        <v>4848</v>
      </c>
      <c r="F962" t="s">
        <v>5</v>
      </c>
      <c r="G962" t="s">
        <v>6</v>
      </c>
      <c r="L962" t="s">
        <v>7</v>
      </c>
      <c r="M962">
        <v>2018</v>
      </c>
      <c r="N962" s="1">
        <v>44656</v>
      </c>
      <c r="O962" t="s">
        <v>4849</v>
      </c>
      <c r="P962">
        <v>1</v>
      </c>
      <c r="S962">
        <v>209.95</v>
      </c>
      <c r="T962">
        <v>240</v>
      </c>
      <c r="U962">
        <v>180</v>
      </c>
      <c r="V962" t="s">
        <v>42</v>
      </c>
      <c r="W962" t="s">
        <v>43</v>
      </c>
      <c r="X962" t="s">
        <v>1061</v>
      </c>
      <c r="Y962" t="s">
        <v>1339</v>
      </c>
      <c r="AF962" t="s">
        <v>13</v>
      </c>
      <c r="AG962" t="str">
        <f>HYPERLINK("https://doi.org/10.1515/9781474438490")</f>
        <v>https://doi.org/10.1515/9781474438490</v>
      </c>
      <c r="AH962" t="str">
        <f>HYPERLINK("http://www.degruyter.com/isbn/9781474438490")</f>
        <v>http://www.degruyter.com/isbn/9781474438490</v>
      </c>
      <c r="AI962" t="s">
        <v>46</v>
      </c>
      <c r="AL962" t="s">
        <v>47</v>
      </c>
      <c r="AM962">
        <v>1</v>
      </c>
      <c r="AN962" s="2">
        <v>9781474438476</v>
      </c>
    </row>
    <row r="963" spans="1:40" x14ac:dyDescent="0.3">
      <c r="A963" t="s">
        <v>4850</v>
      </c>
      <c r="B963" t="s">
        <v>1</v>
      </c>
      <c r="C963" t="s">
        <v>4851</v>
      </c>
      <c r="E963" t="s">
        <v>4852</v>
      </c>
      <c r="F963" t="s">
        <v>5</v>
      </c>
      <c r="G963" t="s">
        <v>6</v>
      </c>
      <c r="L963" t="s">
        <v>7</v>
      </c>
      <c r="M963">
        <v>2019</v>
      </c>
      <c r="N963" s="1">
        <v>44644</v>
      </c>
      <c r="O963" t="s">
        <v>4853</v>
      </c>
      <c r="P963">
        <v>1</v>
      </c>
      <c r="S963">
        <v>253.95</v>
      </c>
      <c r="T963">
        <v>290</v>
      </c>
      <c r="U963">
        <v>220</v>
      </c>
      <c r="V963" t="s">
        <v>79</v>
      </c>
      <c r="W963" t="s">
        <v>783</v>
      </c>
      <c r="X963" t="s">
        <v>783</v>
      </c>
      <c r="Y963" t="s">
        <v>784</v>
      </c>
      <c r="AF963" t="s">
        <v>13</v>
      </c>
      <c r="AG963" t="str">
        <f>HYPERLINK("https://doi.org/10.1515/9781474450737?locatt=mode:legacy")</f>
        <v>https://doi.org/10.1515/9781474450737?locatt=mode:legacy</v>
      </c>
      <c r="AH963" t="str">
        <f>HYPERLINK("http://www.degruyter.com/isbn/9781474450737")</f>
        <v>http://www.degruyter.com/isbn/9781474450737</v>
      </c>
      <c r="AI963" t="s">
        <v>280</v>
      </c>
      <c r="AL963" t="s">
        <v>83</v>
      </c>
      <c r="AM963">
        <v>1</v>
      </c>
      <c r="AN963" s="2">
        <v>9781474450713</v>
      </c>
    </row>
    <row r="964" spans="1:40" x14ac:dyDescent="0.3">
      <c r="A964" t="s">
        <v>4854</v>
      </c>
      <c r="B964" t="s">
        <v>1</v>
      </c>
      <c r="C964" t="s">
        <v>4855</v>
      </c>
      <c r="E964" t="s">
        <v>4856</v>
      </c>
      <c r="F964" t="s">
        <v>5</v>
      </c>
      <c r="G964" t="s">
        <v>6</v>
      </c>
      <c r="L964" t="s">
        <v>7</v>
      </c>
      <c r="M964">
        <v>2011</v>
      </c>
      <c r="N964" s="1">
        <v>40828</v>
      </c>
      <c r="O964" t="s">
        <v>4857</v>
      </c>
      <c r="P964">
        <v>1</v>
      </c>
      <c r="S964">
        <v>253.95</v>
      </c>
      <c r="T964">
        <v>290</v>
      </c>
      <c r="U964">
        <v>220</v>
      </c>
      <c r="V964" t="s">
        <v>79</v>
      </c>
      <c r="W964" t="s">
        <v>123</v>
      </c>
      <c r="X964" t="s">
        <v>123</v>
      </c>
      <c r="Y964" t="s">
        <v>124</v>
      </c>
      <c r="AF964" t="s">
        <v>13</v>
      </c>
      <c r="AG964" t="str">
        <f>HYPERLINK("https://doi.org/10.1515/9780748654123?locatt=mode:legacy")</f>
        <v>https://doi.org/10.1515/9780748654123?locatt=mode:legacy</v>
      </c>
      <c r="AH964" t="str">
        <f>HYPERLINK("http://www.degruyter.com/isbn/9780748654123")</f>
        <v>http://www.degruyter.com/isbn/9780748654123</v>
      </c>
      <c r="AI964" t="s">
        <v>68</v>
      </c>
      <c r="AL964" t="s">
        <v>83</v>
      </c>
      <c r="AM964">
        <v>1</v>
      </c>
      <c r="AN964" s="2">
        <v>9780748641963</v>
      </c>
    </row>
    <row r="965" spans="1:40" x14ac:dyDescent="0.3">
      <c r="A965" t="s">
        <v>4858</v>
      </c>
      <c r="B965" t="s">
        <v>1</v>
      </c>
      <c r="C965" t="s">
        <v>4859</v>
      </c>
      <c r="E965" t="s">
        <v>4860</v>
      </c>
      <c r="F965" t="s">
        <v>5</v>
      </c>
      <c r="G965" t="s">
        <v>6</v>
      </c>
      <c r="L965" t="s">
        <v>7</v>
      </c>
      <c r="M965">
        <v>2019</v>
      </c>
      <c r="N965" s="1">
        <v>44644</v>
      </c>
      <c r="O965" t="s">
        <v>4861</v>
      </c>
      <c r="P965">
        <v>1</v>
      </c>
      <c r="S965">
        <v>227.95</v>
      </c>
      <c r="T965">
        <v>260</v>
      </c>
      <c r="U965">
        <v>200</v>
      </c>
      <c r="V965" t="s">
        <v>20</v>
      </c>
      <c r="W965" t="s">
        <v>21</v>
      </c>
      <c r="X965" t="s">
        <v>22</v>
      </c>
      <c r="Y965" t="s">
        <v>23</v>
      </c>
      <c r="AF965" t="s">
        <v>13</v>
      </c>
      <c r="AG965" t="str">
        <f>HYPERLINK("https://doi.org/10.1515/9781474423137")</f>
        <v>https://doi.org/10.1515/9781474423137</v>
      </c>
      <c r="AH965" t="str">
        <f>HYPERLINK("http://www.degruyter.com/isbn/9781474423137")</f>
        <v>http://www.degruyter.com/isbn/9781474423137</v>
      </c>
      <c r="AI965" t="s">
        <v>280</v>
      </c>
      <c r="AL965" t="s">
        <v>15</v>
      </c>
      <c r="AM965">
        <v>1</v>
      </c>
      <c r="AN965" s="2">
        <v>9781474423113</v>
      </c>
    </row>
    <row r="966" spans="1:40" x14ac:dyDescent="0.3">
      <c r="A966" t="s">
        <v>4862</v>
      </c>
      <c r="B966" t="s">
        <v>1</v>
      </c>
      <c r="C966" t="s">
        <v>4863</v>
      </c>
      <c r="D966" t="s">
        <v>4864</v>
      </c>
      <c r="E966" t="s">
        <v>4865</v>
      </c>
      <c r="F966" t="s">
        <v>5</v>
      </c>
      <c r="G966" t="s">
        <v>6</v>
      </c>
      <c r="L966" t="s">
        <v>7</v>
      </c>
      <c r="M966">
        <v>2012</v>
      </c>
      <c r="N966" s="1">
        <v>41241</v>
      </c>
      <c r="O966" t="s">
        <v>4866</v>
      </c>
      <c r="P966">
        <v>1</v>
      </c>
      <c r="S966">
        <v>217.95</v>
      </c>
      <c r="T966">
        <v>250</v>
      </c>
      <c r="U966">
        <v>190</v>
      </c>
      <c r="V966" t="s">
        <v>20</v>
      </c>
      <c r="W966" t="s">
        <v>556</v>
      </c>
      <c r="X966" t="s">
        <v>1540</v>
      </c>
      <c r="Y966" t="s">
        <v>2459</v>
      </c>
      <c r="AF966" t="s">
        <v>13</v>
      </c>
      <c r="AG966" t="str">
        <f>HYPERLINK("https://doi.org/10.1515/9780748629794")</f>
        <v>https://doi.org/10.1515/9780748629794</v>
      </c>
      <c r="AH966" t="str">
        <f>HYPERLINK("http://www.degruyter.com/isbn/9780748629794")</f>
        <v>http://www.degruyter.com/isbn/9780748629794</v>
      </c>
      <c r="AI966" t="s">
        <v>68</v>
      </c>
      <c r="AL966" t="s">
        <v>15</v>
      </c>
      <c r="AM966">
        <v>1</v>
      </c>
      <c r="AN966" s="2">
        <v>9780748622634</v>
      </c>
    </row>
    <row r="967" spans="1:40" x14ac:dyDescent="0.3">
      <c r="A967" t="s">
        <v>4867</v>
      </c>
      <c r="B967" t="s">
        <v>1</v>
      </c>
      <c r="C967" t="s">
        <v>4868</v>
      </c>
      <c r="D967" t="s">
        <v>4869</v>
      </c>
      <c r="E967" t="s">
        <v>4870</v>
      </c>
      <c r="F967" t="s">
        <v>5</v>
      </c>
      <c r="G967" t="s">
        <v>6</v>
      </c>
      <c r="L967" t="s">
        <v>7</v>
      </c>
      <c r="M967">
        <v>2011</v>
      </c>
      <c r="N967" s="1">
        <v>40672</v>
      </c>
      <c r="O967" t="s">
        <v>322</v>
      </c>
      <c r="P967">
        <v>1</v>
      </c>
      <c r="S967">
        <v>69.95</v>
      </c>
      <c r="T967">
        <v>79.95</v>
      </c>
      <c r="U967">
        <v>59.98</v>
      </c>
      <c r="V967" t="s">
        <v>20</v>
      </c>
      <c r="W967" t="s">
        <v>21</v>
      </c>
      <c r="X967" t="s">
        <v>575</v>
      </c>
      <c r="Y967" t="s">
        <v>576</v>
      </c>
      <c r="AF967" t="s">
        <v>13</v>
      </c>
      <c r="AG967" t="str">
        <f>HYPERLINK("https://doi.org/10.1515/9781474467858")</f>
        <v>https://doi.org/10.1515/9781474467858</v>
      </c>
      <c r="AH967" t="str">
        <f>HYPERLINK("http://www.degruyter.com/isbn/9781474467858")</f>
        <v>http://www.degruyter.com/isbn/9781474467858</v>
      </c>
      <c r="AI967" t="s">
        <v>68</v>
      </c>
      <c r="AL967" t="s">
        <v>15</v>
      </c>
      <c r="AM967">
        <v>1</v>
      </c>
      <c r="AN967" s="2">
        <v>9781845861186</v>
      </c>
    </row>
    <row r="968" spans="1:40" x14ac:dyDescent="0.3">
      <c r="A968" t="s">
        <v>4871</v>
      </c>
      <c r="B968" t="s">
        <v>1</v>
      </c>
      <c r="C968" t="s">
        <v>4872</v>
      </c>
      <c r="D968" t="s">
        <v>4873</v>
      </c>
      <c r="E968" t="s">
        <v>4874</v>
      </c>
      <c r="F968" t="s">
        <v>5</v>
      </c>
      <c r="G968" t="s">
        <v>6</v>
      </c>
      <c r="L968" t="s">
        <v>7</v>
      </c>
      <c r="M968">
        <v>2016</v>
      </c>
      <c r="N968" s="1">
        <v>42415</v>
      </c>
      <c r="O968" t="s">
        <v>1115</v>
      </c>
      <c r="P968">
        <v>1</v>
      </c>
      <c r="S968">
        <v>227.95</v>
      </c>
      <c r="T968">
        <v>260</v>
      </c>
      <c r="U968">
        <v>200</v>
      </c>
      <c r="V968" t="s">
        <v>20</v>
      </c>
      <c r="W968" t="s">
        <v>21</v>
      </c>
      <c r="X968" t="s">
        <v>4875</v>
      </c>
      <c r="Y968" t="s">
        <v>4876</v>
      </c>
      <c r="AF968" t="s">
        <v>13</v>
      </c>
      <c r="AG968" t="str">
        <f>HYPERLINK("https://doi.org/10.1515/9781474410540")</f>
        <v>https://doi.org/10.1515/9781474410540</v>
      </c>
      <c r="AH968" t="str">
        <f>HYPERLINK("http://www.degruyter.com/isbn/9781474410540")</f>
        <v>http://www.degruyter.com/isbn/9781474410540</v>
      </c>
      <c r="AI968" t="s">
        <v>180</v>
      </c>
      <c r="AL968" t="s">
        <v>15</v>
      </c>
      <c r="AM968">
        <v>1</v>
      </c>
      <c r="AN968" s="2">
        <v>9781474410526</v>
      </c>
    </row>
    <row r="969" spans="1:40" x14ac:dyDescent="0.3">
      <c r="A969" t="s">
        <v>4877</v>
      </c>
      <c r="B969" t="s">
        <v>1</v>
      </c>
      <c r="C969" t="s">
        <v>4878</v>
      </c>
      <c r="E969" t="s">
        <v>4879</v>
      </c>
      <c r="F969" t="s">
        <v>5</v>
      </c>
      <c r="G969" t="s">
        <v>6</v>
      </c>
      <c r="L969" t="s">
        <v>7</v>
      </c>
      <c r="M969">
        <v>2018</v>
      </c>
      <c r="N969" s="1">
        <v>44644</v>
      </c>
      <c r="O969" t="s">
        <v>4880</v>
      </c>
      <c r="P969">
        <v>1</v>
      </c>
      <c r="S969">
        <v>173.95</v>
      </c>
      <c r="T969">
        <v>200</v>
      </c>
      <c r="U969">
        <v>150</v>
      </c>
      <c r="V969" t="s">
        <v>9</v>
      </c>
      <c r="W969" t="s">
        <v>10</v>
      </c>
      <c r="X969" t="s">
        <v>11</v>
      </c>
      <c r="Y969" t="s">
        <v>52</v>
      </c>
      <c r="AF969" t="s">
        <v>13</v>
      </c>
      <c r="AG969" t="str">
        <f>HYPERLINK("https://doi.org/10.1515/9781474434201")</f>
        <v>https://doi.org/10.1515/9781474434201</v>
      </c>
      <c r="AH969" t="str">
        <f>HYPERLINK("http://www.degruyter.com/isbn/9781474434201")</f>
        <v>http://www.degruyter.com/isbn/9781474434201</v>
      </c>
      <c r="AI969" t="s">
        <v>46</v>
      </c>
      <c r="AL969" t="s">
        <v>15</v>
      </c>
      <c r="AM969">
        <v>1</v>
      </c>
      <c r="AN969" s="2">
        <v>9781474434195</v>
      </c>
    </row>
    <row r="970" spans="1:40" x14ac:dyDescent="0.3">
      <c r="A970" t="s">
        <v>4881</v>
      </c>
      <c r="B970" t="s">
        <v>1</v>
      </c>
      <c r="C970" t="s">
        <v>4882</v>
      </c>
      <c r="D970" t="s">
        <v>4883</v>
      </c>
      <c r="E970" t="s">
        <v>4884</v>
      </c>
      <c r="F970" t="s">
        <v>5</v>
      </c>
      <c r="G970" t="s">
        <v>6</v>
      </c>
      <c r="L970" t="s">
        <v>7</v>
      </c>
      <c r="M970">
        <v>2019</v>
      </c>
      <c r="N970" s="1">
        <v>44656</v>
      </c>
      <c r="O970" t="s">
        <v>4885</v>
      </c>
      <c r="P970">
        <v>1</v>
      </c>
      <c r="S970">
        <v>217.95</v>
      </c>
      <c r="T970">
        <v>250</v>
      </c>
      <c r="U970">
        <v>190</v>
      </c>
      <c r="V970" t="s">
        <v>20</v>
      </c>
      <c r="W970" t="s">
        <v>470</v>
      </c>
      <c r="X970" t="s">
        <v>2114</v>
      </c>
      <c r="Y970" t="s">
        <v>2115</v>
      </c>
      <c r="AF970" t="s">
        <v>13</v>
      </c>
      <c r="AG970" t="str">
        <f>HYPERLINK("https://doi.org/10.1515/9781474440363")</f>
        <v>https://doi.org/10.1515/9781474440363</v>
      </c>
      <c r="AH970" t="str">
        <f>HYPERLINK("http://www.degruyter.com/isbn/9781474440363")</f>
        <v>http://www.degruyter.com/isbn/9781474440363</v>
      </c>
      <c r="AI970" t="s">
        <v>280</v>
      </c>
      <c r="AL970" t="s">
        <v>15</v>
      </c>
      <c r="AM970">
        <v>1</v>
      </c>
      <c r="AN970" s="2">
        <v>9781474440349</v>
      </c>
    </row>
    <row r="971" spans="1:40" x14ac:dyDescent="0.3">
      <c r="A971" t="s">
        <v>4886</v>
      </c>
      <c r="B971" t="s">
        <v>1</v>
      </c>
      <c r="C971" t="s">
        <v>4887</v>
      </c>
      <c r="D971" t="s">
        <v>4888</v>
      </c>
      <c r="E971" t="s">
        <v>4889</v>
      </c>
      <c r="F971" t="s">
        <v>5</v>
      </c>
      <c r="G971" t="s">
        <v>6</v>
      </c>
      <c r="L971" t="s">
        <v>7</v>
      </c>
      <c r="M971">
        <v>1996</v>
      </c>
      <c r="N971" s="1">
        <v>44672</v>
      </c>
      <c r="O971" t="s">
        <v>4890</v>
      </c>
      <c r="P971">
        <v>1</v>
      </c>
      <c r="S971">
        <v>217.95</v>
      </c>
      <c r="T971">
        <v>250</v>
      </c>
      <c r="U971">
        <v>190</v>
      </c>
      <c r="V971" t="s">
        <v>89</v>
      </c>
      <c r="W971" t="s">
        <v>90</v>
      </c>
      <c r="X971" t="s">
        <v>4891</v>
      </c>
      <c r="Y971" t="s">
        <v>4892</v>
      </c>
      <c r="AF971" t="s">
        <v>13</v>
      </c>
      <c r="AG971" t="str">
        <f>HYPERLINK("https://doi.org/10.1515/9780748672882")</f>
        <v>https://doi.org/10.1515/9780748672882</v>
      </c>
      <c r="AH971" t="str">
        <f>HYPERLINK("http://www.degruyter.com/isbn/9780748672882")</f>
        <v>http://www.degruyter.com/isbn/9780748672882</v>
      </c>
      <c r="AI971" t="s">
        <v>24</v>
      </c>
      <c r="AL971" t="s">
        <v>83</v>
      </c>
      <c r="AM971">
        <v>1</v>
      </c>
      <c r="AN971" s="2">
        <v>9780748608300</v>
      </c>
    </row>
    <row r="972" spans="1:40" x14ac:dyDescent="0.3">
      <c r="A972" t="s">
        <v>4893</v>
      </c>
      <c r="B972" t="s">
        <v>1</v>
      </c>
      <c r="C972" t="s">
        <v>4894</v>
      </c>
      <c r="D972" t="s">
        <v>4895</v>
      </c>
      <c r="E972" t="s">
        <v>4896</v>
      </c>
      <c r="F972" t="s">
        <v>5</v>
      </c>
      <c r="G972" t="s">
        <v>6</v>
      </c>
      <c r="L972" t="s">
        <v>7</v>
      </c>
      <c r="M972">
        <v>2010</v>
      </c>
      <c r="N972" s="1">
        <v>40428</v>
      </c>
      <c r="O972" t="s">
        <v>3947</v>
      </c>
      <c r="P972">
        <v>1</v>
      </c>
      <c r="S972">
        <v>217.95</v>
      </c>
      <c r="T972">
        <v>250</v>
      </c>
      <c r="U972">
        <v>190</v>
      </c>
      <c r="V972" t="s">
        <v>42</v>
      </c>
      <c r="W972" t="s">
        <v>116</v>
      </c>
      <c r="X972" t="s">
        <v>116</v>
      </c>
      <c r="Y972" t="s">
        <v>117</v>
      </c>
      <c r="AF972" t="s">
        <v>13</v>
      </c>
      <c r="AG972" t="str">
        <f>HYPERLINK("https://doi.org/10.1515/9780748643257")</f>
        <v>https://doi.org/10.1515/9780748643257</v>
      </c>
      <c r="AH972" t="str">
        <f>HYPERLINK("http://www.degruyter.com/isbn/9780748643257")</f>
        <v>http://www.degruyter.com/isbn/9780748643257</v>
      </c>
      <c r="AI972" t="s">
        <v>68</v>
      </c>
      <c r="AL972" t="s">
        <v>47</v>
      </c>
      <c r="AM972">
        <v>1</v>
      </c>
      <c r="AN972" s="2">
        <v>9780748641505</v>
      </c>
    </row>
    <row r="973" spans="1:40" x14ac:dyDescent="0.3">
      <c r="A973" t="s">
        <v>4897</v>
      </c>
      <c r="B973" t="s">
        <v>1</v>
      </c>
      <c r="C973" t="s">
        <v>4898</v>
      </c>
      <c r="D973" t="s">
        <v>4899</v>
      </c>
      <c r="E973" t="s">
        <v>4900</v>
      </c>
      <c r="F973" t="s">
        <v>5</v>
      </c>
      <c r="G973" t="s">
        <v>6</v>
      </c>
      <c r="L973" t="s">
        <v>7</v>
      </c>
      <c r="M973">
        <v>2018</v>
      </c>
      <c r="N973" s="1">
        <v>44644</v>
      </c>
      <c r="O973" t="s">
        <v>4901</v>
      </c>
      <c r="P973">
        <v>1</v>
      </c>
      <c r="S973">
        <v>217.95</v>
      </c>
      <c r="T973">
        <v>250</v>
      </c>
      <c r="U973">
        <v>190</v>
      </c>
      <c r="V973" t="s">
        <v>9</v>
      </c>
      <c r="W973" t="s">
        <v>10</v>
      </c>
      <c r="X973" t="s">
        <v>11</v>
      </c>
      <c r="Y973" t="s">
        <v>52</v>
      </c>
      <c r="AF973" t="s">
        <v>13</v>
      </c>
      <c r="AG973" t="str">
        <f>HYPERLINK("https://doi.org/10.1515/9781474427395?locatt=mode:legacy")</f>
        <v>https://doi.org/10.1515/9781474427395?locatt=mode:legacy</v>
      </c>
      <c r="AH973" t="str">
        <f>HYPERLINK("http://www.degruyter.com/isbn/9781474427395")</f>
        <v>http://www.degruyter.com/isbn/9781474427395</v>
      </c>
      <c r="AI973" t="s">
        <v>46</v>
      </c>
      <c r="AL973" t="s">
        <v>15</v>
      </c>
      <c r="AM973">
        <v>1</v>
      </c>
      <c r="AN973" s="2">
        <v>9781474427371</v>
      </c>
    </row>
    <row r="974" spans="1:40" x14ac:dyDescent="0.3">
      <c r="A974" t="s">
        <v>4902</v>
      </c>
      <c r="B974" t="s">
        <v>1</v>
      </c>
      <c r="C974" t="s">
        <v>4903</v>
      </c>
      <c r="D974" t="s">
        <v>4904</v>
      </c>
      <c r="E974" t="s">
        <v>4905</v>
      </c>
      <c r="F974" t="s">
        <v>5</v>
      </c>
      <c r="G974" t="s">
        <v>6</v>
      </c>
      <c r="L974" t="s">
        <v>7</v>
      </c>
      <c r="M974">
        <v>2014</v>
      </c>
      <c r="N974" s="1">
        <v>41995</v>
      </c>
      <c r="O974" t="s">
        <v>4906</v>
      </c>
      <c r="P974">
        <v>1</v>
      </c>
      <c r="S974">
        <v>217.95</v>
      </c>
      <c r="T974">
        <v>250</v>
      </c>
      <c r="U974">
        <v>190</v>
      </c>
      <c r="V974" t="s">
        <v>58</v>
      </c>
      <c r="W974" t="s">
        <v>59</v>
      </c>
      <c r="X974" t="s">
        <v>60</v>
      </c>
      <c r="Y974" t="s">
        <v>169</v>
      </c>
      <c r="AF974" t="s">
        <v>13</v>
      </c>
      <c r="AG974" t="str">
        <f>HYPERLINK("https://doi.org/10.1515/9780748692316?locatt=mode:legacy")</f>
        <v>https://doi.org/10.1515/9780748692316?locatt=mode:legacy</v>
      </c>
      <c r="AH974" t="str">
        <f>HYPERLINK("http://www.degruyter.com/isbn/9780748692316")</f>
        <v>http://www.degruyter.com/isbn/9780748692316</v>
      </c>
      <c r="AI974" t="s">
        <v>34</v>
      </c>
      <c r="AL974" t="s">
        <v>62</v>
      </c>
      <c r="AM974">
        <v>1</v>
      </c>
      <c r="AN974" s="2">
        <v>9780748692309</v>
      </c>
    </row>
    <row r="975" spans="1:40" x14ac:dyDescent="0.3">
      <c r="A975" t="s">
        <v>4907</v>
      </c>
      <c r="B975" t="s">
        <v>1</v>
      </c>
      <c r="C975" t="s">
        <v>4908</v>
      </c>
      <c r="E975" t="s">
        <v>4909</v>
      </c>
      <c r="F975" t="s">
        <v>5</v>
      </c>
      <c r="G975" t="s">
        <v>6</v>
      </c>
      <c r="L975" t="s">
        <v>7</v>
      </c>
      <c r="M975">
        <v>2007</v>
      </c>
      <c r="N975" s="1">
        <v>39128</v>
      </c>
      <c r="O975" t="s">
        <v>4910</v>
      </c>
      <c r="P975">
        <v>1</v>
      </c>
      <c r="S975">
        <v>243.95</v>
      </c>
      <c r="T975">
        <v>280</v>
      </c>
      <c r="U975">
        <v>210</v>
      </c>
      <c r="V975" t="s">
        <v>58</v>
      </c>
      <c r="W975" t="s">
        <v>129</v>
      </c>
      <c r="X975" t="s">
        <v>1290</v>
      </c>
      <c r="Y975" t="s">
        <v>1291</v>
      </c>
      <c r="AF975" t="s">
        <v>13</v>
      </c>
      <c r="AG975" t="str">
        <f>HYPERLINK("https://doi.org/10.1515/9780748629091?locatt=mode:legacy")</f>
        <v>https://doi.org/10.1515/9780748629091?locatt=mode:legacy</v>
      </c>
      <c r="AH975" t="str">
        <f>HYPERLINK("http://www.degruyter.com/isbn/9780748629091")</f>
        <v>http://www.degruyter.com/isbn/9780748629091</v>
      </c>
      <c r="AI975" t="s">
        <v>68</v>
      </c>
      <c r="AL975" t="s">
        <v>62</v>
      </c>
      <c r="AM975">
        <v>1</v>
      </c>
      <c r="AN975" s="2">
        <v>9780748619887</v>
      </c>
    </row>
    <row r="976" spans="1:40" x14ac:dyDescent="0.3">
      <c r="A976" t="s">
        <v>4911</v>
      </c>
      <c r="B976" t="s">
        <v>1</v>
      </c>
      <c r="C976" t="s">
        <v>4912</v>
      </c>
      <c r="E976" t="s">
        <v>4913</v>
      </c>
      <c r="F976" t="s">
        <v>5</v>
      </c>
      <c r="G976" t="s">
        <v>6</v>
      </c>
      <c r="L976" t="s">
        <v>7</v>
      </c>
      <c r="M976">
        <v>2009</v>
      </c>
      <c r="N976" s="1">
        <v>40154</v>
      </c>
      <c r="O976" t="s">
        <v>4914</v>
      </c>
      <c r="P976">
        <v>1</v>
      </c>
      <c r="S976">
        <v>217.95</v>
      </c>
      <c r="T976">
        <v>250</v>
      </c>
      <c r="U976">
        <v>190</v>
      </c>
      <c r="V976" t="s">
        <v>58</v>
      </c>
      <c r="W976" t="s">
        <v>59</v>
      </c>
      <c r="X976" t="s">
        <v>60</v>
      </c>
      <c r="Y976" t="s">
        <v>399</v>
      </c>
      <c r="AF976" t="s">
        <v>13</v>
      </c>
      <c r="AG976" t="str">
        <f>HYPERLINK("https://doi.org/10.1515/9780748642151?locatt=mode:legacy")</f>
        <v>https://doi.org/10.1515/9780748642151?locatt=mode:legacy</v>
      </c>
      <c r="AH976" t="str">
        <f>HYPERLINK("http://www.degruyter.com/isbn/9780748642151")</f>
        <v>http://www.degruyter.com/isbn/9780748642151</v>
      </c>
      <c r="AI976" t="s">
        <v>68</v>
      </c>
      <c r="AL976" t="s">
        <v>62</v>
      </c>
      <c r="AM976">
        <v>1</v>
      </c>
      <c r="AN976" s="2">
        <v>9780748638994</v>
      </c>
    </row>
    <row r="977" spans="1:40" x14ac:dyDescent="0.3">
      <c r="A977" t="s">
        <v>4915</v>
      </c>
      <c r="B977" t="s">
        <v>1</v>
      </c>
      <c r="C977" t="s">
        <v>1998</v>
      </c>
      <c r="D977" t="s">
        <v>4916</v>
      </c>
      <c r="E977" t="s">
        <v>2000</v>
      </c>
      <c r="F977" t="s">
        <v>5</v>
      </c>
      <c r="G977" t="s">
        <v>6</v>
      </c>
      <c r="L977" t="s">
        <v>7</v>
      </c>
      <c r="M977">
        <v>2007</v>
      </c>
      <c r="N977" s="1">
        <v>44592</v>
      </c>
      <c r="O977" t="s">
        <v>4917</v>
      </c>
      <c r="P977">
        <v>1</v>
      </c>
      <c r="S977">
        <v>217.95</v>
      </c>
      <c r="T977">
        <v>250</v>
      </c>
      <c r="U977">
        <v>190</v>
      </c>
      <c r="V977" t="s">
        <v>20</v>
      </c>
      <c r="W977" t="s">
        <v>21</v>
      </c>
      <c r="X977" t="s">
        <v>575</v>
      </c>
      <c r="Y977" t="s">
        <v>576</v>
      </c>
      <c r="AF977" t="s">
        <v>13</v>
      </c>
      <c r="AG977" t="str">
        <f>HYPERLINK("https://doi.org/10.1515/9780748699629")</f>
        <v>https://doi.org/10.1515/9780748699629</v>
      </c>
      <c r="AH977" t="str">
        <f>HYPERLINK("http://www.degruyter.com/isbn/9780748699629")</f>
        <v>http://www.degruyter.com/isbn/9780748699629</v>
      </c>
      <c r="AI977" t="s">
        <v>68</v>
      </c>
      <c r="AL977" t="s">
        <v>15</v>
      </c>
      <c r="AM977">
        <v>1</v>
      </c>
      <c r="AN977" s="2">
        <v>9781845860301</v>
      </c>
    </row>
    <row r="978" spans="1:40" x14ac:dyDescent="0.3">
      <c r="A978" t="s">
        <v>4918</v>
      </c>
      <c r="B978" t="s">
        <v>1</v>
      </c>
      <c r="C978" t="s">
        <v>4919</v>
      </c>
      <c r="D978" t="s">
        <v>4920</v>
      </c>
      <c r="E978" t="s">
        <v>4921</v>
      </c>
      <c r="F978" t="s">
        <v>5</v>
      </c>
      <c r="G978" t="s">
        <v>6</v>
      </c>
      <c r="L978" t="s">
        <v>7</v>
      </c>
      <c r="M978">
        <v>2015</v>
      </c>
      <c r="N978" s="1">
        <v>42086</v>
      </c>
      <c r="O978" t="s">
        <v>4922</v>
      </c>
      <c r="P978">
        <v>1</v>
      </c>
      <c r="S978">
        <v>217.95</v>
      </c>
      <c r="T978">
        <v>250</v>
      </c>
      <c r="U978">
        <v>190</v>
      </c>
      <c r="V978" t="s">
        <v>20</v>
      </c>
      <c r="W978" t="s">
        <v>21</v>
      </c>
      <c r="X978" t="s">
        <v>22</v>
      </c>
      <c r="Y978" t="s">
        <v>489</v>
      </c>
      <c r="AF978" t="s">
        <v>13</v>
      </c>
      <c r="AG978" t="str">
        <f>HYPERLINK("https://doi.org/10.1515/9780748699162?locatt=mode:legacy")</f>
        <v>https://doi.org/10.1515/9780748699162?locatt=mode:legacy</v>
      </c>
      <c r="AH978" t="str">
        <f>HYPERLINK("http://www.degruyter.com/isbn/9780748699162")</f>
        <v>http://www.degruyter.com/isbn/9780748699162</v>
      </c>
      <c r="AI978" t="s">
        <v>34</v>
      </c>
      <c r="AL978" t="s">
        <v>15</v>
      </c>
      <c r="AM978">
        <v>1</v>
      </c>
      <c r="AN978" s="2">
        <v>9780748699155</v>
      </c>
    </row>
    <row r="979" spans="1:40" x14ac:dyDescent="0.3">
      <c r="A979" t="s">
        <v>4923</v>
      </c>
      <c r="B979" t="s">
        <v>1</v>
      </c>
      <c r="C979" t="s">
        <v>4924</v>
      </c>
      <c r="E979" t="s">
        <v>4925</v>
      </c>
      <c r="F979" t="s">
        <v>5</v>
      </c>
      <c r="G979" t="s">
        <v>6</v>
      </c>
      <c r="L979" t="s">
        <v>7</v>
      </c>
      <c r="M979">
        <v>2006</v>
      </c>
      <c r="N979" s="1">
        <v>38987</v>
      </c>
      <c r="O979" t="s">
        <v>4926</v>
      </c>
      <c r="P979">
        <v>1</v>
      </c>
      <c r="S979">
        <v>227.95</v>
      </c>
      <c r="T979">
        <v>260</v>
      </c>
      <c r="U979">
        <v>200</v>
      </c>
      <c r="V979" t="s">
        <v>42</v>
      </c>
      <c r="W979" t="s">
        <v>107</v>
      </c>
      <c r="X979" t="s">
        <v>108</v>
      </c>
      <c r="Y979" t="s">
        <v>2244</v>
      </c>
      <c r="AF979" t="s">
        <v>13</v>
      </c>
      <c r="AG979" t="str">
        <f>HYPERLINK("https://doi.org/10.1515/9780748630080")</f>
        <v>https://doi.org/10.1515/9780748630080</v>
      </c>
      <c r="AH979" t="str">
        <f>HYPERLINK("http://www.degruyter.com/isbn/9780748630080")</f>
        <v>http://www.degruyter.com/isbn/9780748630080</v>
      </c>
      <c r="AI979" t="s">
        <v>68</v>
      </c>
      <c r="AL979" t="s">
        <v>47</v>
      </c>
      <c r="AM979">
        <v>1</v>
      </c>
      <c r="AN979" s="2">
        <v>9780748623501</v>
      </c>
    </row>
    <row r="980" spans="1:40" x14ac:dyDescent="0.3">
      <c r="A980" t="s">
        <v>4927</v>
      </c>
      <c r="B980" t="s">
        <v>1</v>
      </c>
      <c r="C980" t="s">
        <v>4928</v>
      </c>
      <c r="D980" t="s">
        <v>4929</v>
      </c>
      <c r="E980" t="s">
        <v>4930</v>
      </c>
      <c r="F980" t="s">
        <v>5</v>
      </c>
      <c r="G980" t="s">
        <v>6</v>
      </c>
      <c r="L980" t="s">
        <v>7</v>
      </c>
      <c r="M980">
        <v>2009</v>
      </c>
      <c r="N980" s="1">
        <v>40072</v>
      </c>
      <c r="O980" t="s">
        <v>4931</v>
      </c>
      <c r="P980">
        <v>1</v>
      </c>
      <c r="S980">
        <v>253.95</v>
      </c>
      <c r="T980">
        <v>290</v>
      </c>
      <c r="U980">
        <v>220</v>
      </c>
      <c r="V980" t="s">
        <v>58</v>
      </c>
      <c r="W980" t="s">
        <v>59</v>
      </c>
      <c r="X980" t="s">
        <v>278</v>
      </c>
      <c r="Y980" t="s">
        <v>932</v>
      </c>
      <c r="AF980" t="s">
        <v>13</v>
      </c>
      <c r="AG980" t="str">
        <f>HYPERLINK("https://doi.org/10.1515/9780748642069")</f>
        <v>https://doi.org/10.1515/9780748642069</v>
      </c>
      <c r="AH980" t="str">
        <f>HYPERLINK("http://www.degruyter.com/isbn/9780748642069")</f>
        <v>http://www.degruyter.com/isbn/9780748642069</v>
      </c>
      <c r="AI980" t="s">
        <v>68</v>
      </c>
      <c r="AL980" t="s">
        <v>62</v>
      </c>
      <c r="AM980">
        <v>1</v>
      </c>
      <c r="AN980" s="2">
        <v>9780748638765</v>
      </c>
    </row>
    <row r="981" spans="1:40" x14ac:dyDescent="0.3">
      <c r="A981" t="s">
        <v>4932</v>
      </c>
      <c r="B981" t="s">
        <v>1</v>
      </c>
      <c r="C981" t="s">
        <v>4933</v>
      </c>
      <c r="E981" t="s">
        <v>4934</v>
      </c>
      <c r="F981" t="s">
        <v>5</v>
      </c>
      <c r="G981" t="s">
        <v>6</v>
      </c>
      <c r="L981" t="s">
        <v>7</v>
      </c>
      <c r="M981">
        <v>2001</v>
      </c>
      <c r="N981" s="1">
        <v>44634</v>
      </c>
      <c r="O981" t="s">
        <v>3075</v>
      </c>
      <c r="P981">
        <v>1</v>
      </c>
      <c r="S981">
        <v>217.95</v>
      </c>
      <c r="T981">
        <v>250</v>
      </c>
      <c r="U981">
        <v>190</v>
      </c>
      <c r="V981" t="s">
        <v>98</v>
      </c>
      <c r="W981" t="s">
        <v>99</v>
      </c>
      <c r="X981" t="s">
        <v>386</v>
      </c>
      <c r="Y981" t="s">
        <v>387</v>
      </c>
      <c r="AF981" t="s">
        <v>13</v>
      </c>
      <c r="AG981" t="str">
        <f>HYPERLINK("https://doi.org/10.1515/9781474473330")</f>
        <v>https://doi.org/10.1515/9781474473330</v>
      </c>
      <c r="AH981" t="str">
        <f>HYPERLINK("http://www.degruyter.com/isbn/9781474473330")</f>
        <v>http://www.degruyter.com/isbn/9781474473330</v>
      </c>
      <c r="AI981" t="s">
        <v>1661</v>
      </c>
      <c r="AL981" t="s">
        <v>102</v>
      </c>
      <c r="AM981">
        <v>1</v>
      </c>
      <c r="AN981" s="2">
        <v>9780748615155</v>
      </c>
    </row>
    <row r="982" spans="1:40" x14ac:dyDescent="0.3">
      <c r="A982" t="s">
        <v>4935</v>
      </c>
      <c r="B982" t="s">
        <v>1</v>
      </c>
      <c r="C982" t="s">
        <v>4936</v>
      </c>
      <c r="E982" t="s">
        <v>4937</v>
      </c>
      <c r="F982" t="s">
        <v>5</v>
      </c>
      <c r="G982" t="s">
        <v>6</v>
      </c>
      <c r="L982" t="s">
        <v>7</v>
      </c>
      <c r="M982">
        <v>2000</v>
      </c>
      <c r="N982" s="1">
        <v>36643</v>
      </c>
      <c r="O982" t="s">
        <v>4938</v>
      </c>
      <c r="P982">
        <v>1</v>
      </c>
      <c r="S982">
        <v>417.95</v>
      </c>
      <c r="T982">
        <v>480</v>
      </c>
      <c r="U982">
        <v>370</v>
      </c>
      <c r="V982" t="s">
        <v>98</v>
      </c>
      <c r="W982" t="s">
        <v>99</v>
      </c>
      <c r="X982" t="s">
        <v>386</v>
      </c>
      <c r="Y982" t="s">
        <v>387</v>
      </c>
      <c r="AF982" t="s">
        <v>13</v>
      </c>
      <c r="AG982" t="str">
        <f>HYPERLINK("https://doi.org/10.1515/9781474473316")</f>
        <v>https://doi.org/10.1515/9781474473316</v>
      </c>
      <c r="AH982" t="str">
        <f>HYPERLINK("http://www.degruyter.com/isbn/9781474473316")</f>
        <v>http://www.degruyter.com/isbn/9781474473316</v>
      </c>
      <c r="AI982" t="s">
        <v>68</v>
      </c>
      <c r="AL982" t="s">
        <v>102</v>
      </c>
      <c r="AM982">
        <v>1</v>
      </c>
      <c r="AN982" s="2">
        <v>9780748610037</v>
      </c>
    </row>
    <row r="983" spans="1:40" x14ac:dyDescent="0.3">
      <c r="A983" t="s">
        <v>4939</v>
      </c>
      <c r="B983" t="s">
        <v>1</v>
      </c>
      <c r="C983" t="s">
        <v>4940</v>
      </c>
      <c r="D983" t="s">
        <v>4941</v>
      </c>
      <c r="E983" t="s">
        <v>4942</v>
      </c>
      <c r="F983" t="s">
        <v>5</v>
      </c>
      <c r="G983" t="s">
        <v>6</v>
      </c>
      <c r="L983" t="s">
        <v>7</v>
      </c>
      <c r="M983">
        <v>2012</v>
      </c>
      <c r="N983" s="1">
        <v>41108</v>
      </c>
      <c r="O983" t="s">
        <v>4943</v>
      </c>
      <c r="P983">
        <v>1</v>
      </c>
      <c r="S983">
        <v>243.95</v>
      </c>
      <c r="T983">
        <v>280</v>
      </c>
      <c r="U983">
        <v>210</v>
      </c>
      <c r="V983" t="s">
        <v>79</v>
      </c>
      <c r="W983" t="s">
        <v>783</v>
      </c>
      <c r="X983" t="s">
        <v>783</v>
      </c>
      <c r="Y983" t="s">
        <v>784</v>
      </c>
      <c r="AF983" t="s">
        <v>13</v>
      </c>
      <c r="AG983" t="str">
        <f>HYPERLINK("https://doi.org/10.1515/9780748649648")</f>
        <v>https://doi.org/10.1515/9780748649648</v>
      </c>
      <c r="AH983" t="str">
        <f>HYPERLINK("http://www.degruyter.com/isbn/9780748649648")</f>
        <v>http://www.degruyter.com/isbn/9780748649648</v>
      </c>
      <c r="AI983" t="s">
        <v>68</v>
      </c>
      <c r="AL983" t="s">
        <v>83</v>
      </c>
      <c r="AM983">
        <v>1</v>
      </c>
      <c r="AN983" s="2">
        <v>9780748649624</v>
      </c>
    </row>
    <row r="984" spans="1:40" x14ac:dyDescent="0.3">
      <c r="A984" t="s">
        <v>4944</v>
      </c>
      <c r="B984" t="s">
        <v>1</v>
      </c>
      <c r="C984" t="s">
        <v>4945</v>
      </c>
      <c r="D984" t="s">
        <v>4946</v>
      </c>
      <c r="E984" t="s">
        <v>4947</v>
      </c>
      <c r="F984" t="s">
        <v>5</v>
      </c>
      <c r="G984" t="s">
        <v>6</v>
      </c>
      <c r="L984" t="s">
        <v>7</v>
      </c>
      <c r="M984">
        <v>2018</v>
      </c>
      <c r="N984" s="1">
        <v>44656</v>
      </c>
      <c r="O984" t="s">
        <v>4948</v>
      </c>
      <c r="P984">
        <v>1</v>
      </c>
      <c r="S984">
        <v>217.95</v>
      </c>
      <c r="T984">
        <v>250</v>
      </c>
      <c r="U984">
        <v>190</v>
      </c>
      <c r="V984" t="s">
        <v>20</v>
      </c>
      <c r="W984" t="s">
        <v>21</v>
      </c>
      <c r="X984" t="s">
        <v>22</v>
      </c>
      <c r="Y984" t="s">
        <v>23</v>
      </c>
      <c r="AF984" t="s">
        <v>13</v>
      </c>
      <c r="AG984" t="str">
        <f>HYPERLINK("https://doi.org/10.1515/9781474440585?locatt=mode:legacy")</f>
        <v>https://doi.org/10.1515/9781474440585?locatt=mode:legacy</v>
      </c>
      <c r="AH984" t="str">
        <f>HYPERLINK("http://www.degruyter.com/isbn/9781474440585")</f>
        <v>http://www.degruyter.com/isbn/9781474440585</v>
      </c>
      <c r="AI984" t="s">
        <v>46</v>
      </c>
      <c r="AL984" t="s">
        <v>15</v>
      </c>
      <c r="AM984">
        <v>1</v>
      </c>
      <c r="AN984" s="2">
        <v>9781474440561</v>
      </c>
    </row>
    <row r="985" spans="1:40" x14ac:dyDescent="0.3">
      <c r="A985" t="s">
        <v>4949</v>
      </c>
      <c r="B985" t="s">
        <v>1</v>
      </c>
      <c r="C985" t="s">
        <v>4950</v>
      </c>
      <c r="D985" t="s">
        <v>4951</v>
      </c>
      <c r="E985" t="s">
        <v>4952</v>
      </c>
      <c r="F985" t="s">
        <v>5</v>
      </c>
      <c r="G985" t="s">
        <v>6</v>
      </c>
      <c r="L985" t="s">
        <v>7</v>
      </c>
      <c r="M985">
        <v>2019</v>
      </c>
      <c r="N985" s="1">
        <v>44656</v>
      </c>
      <c r="O985" t="s">
        <v>1730</v>
      </c>
      <c r="P985">
        <v>1</v>
      </c>
      <c r="S985">
        <v>227.95</v>
      </c>
      <c r="T985">
        <v>260</v>
      </c>
      <c r="U985">
        <v>200</v>
      </c>
      <c r="V985" t="s">
        <v>20</v>
      </c>
      <c r="W985" t="s">
        <v>21</v>
      </c>
      <c r="X985" t="s">
        <v>458</v>
      </c>
      <c r="Y985" t="s">
        <v>459</v>
      </c>
      <c r="AF985" t="s">
        <v>13</v>
      </c>
      <c r="AG985" t="str">
        <f>HYPERLINK("https://doi.org/10.1515/9781474429726")</f>
        <v>https://doi.org/10.1515/9781474429726</v>
      </c>
      <c r="AH985" t="str">
        <f>HYPERLINK("http://www.degruyter.com/isbn/9781474429726")</f>
        <v>http://www.degruyter.com/isbn/9781474429726</v>
      </c>
      <c r="AI985" t="s">
        <v>280</v>
      </c>
      <c r="AL985" t="s">
        <v>15</v>
      </c>
      <c r="AM985">
        <v>1</v>
      </c>
      <c r="AN985" s="2">
        <v>9781474429702</v>
      </c>
    </row>
    <row r="986" spans="1:40" x14ac:dyDescent="0.3">
      <c r="A986" t="s">
        <v>4953</v>
      </c>
      <c r="B986" t="s">
        <v>1</v>
      </c>
      <c r="C986" t="s">
        <v>4954</v>
      </c>
      <c r="E986" t="s">
        <v>4955</v>
      </c>
      <c r="F986" t="s">
        <v>5</v>
      </c>
      <c r="G986" t="s">
        <v>6</v>
      </c>
      <c r="L986" t="s">
        <v>7</v>
      </c>
      <c r="M986">
        <v>2007</v>
      </c>
      <c r="N986" s="1">
        <v>39344</v>
      </c>
      <c r="O986" t="s">
        <v>4956</v>
      </c>
      <c r="P986">
        <v>1</v>
      </c>
      <c r="S986">
        <v>261.95</v>
      </c>
      <c r="T986">
        <v>300</v>
      </c>
      <c r="U986">
        <v>230</v>
      </c>
      <c r="V986" t="s">
        <v>58</v>
      </c>
      <c r="W986" t="s">
        <v>129</v>
      </c>
      <c r="X986" t="s">
        <v>1290</v>
      </c>
      <c r="Y986" t="s">
        <v>1291</v>
      </c>
      <c r="AF986" t="s">
        <v>13</v>
      </c>
      <c r="AG986" t="str">
        <f>HYPERLINK("https://doi.org/10.1515/9780748630738?locatt=mode:legacy")</f>
        <v>https://doi.org/10.1515/9780748630738?locatt=mode:legacy</v>
      </c>
      <c r="AH986" t="str">
        <f>HYPERLINK("http://www.degruyter.com/isbn/9780748630738")</f>
        <v>http://www.degruyter.com/isbn/9780748630738</v>
      </c>
      <c r="AI986" t="s">
        <v>68</v>
      </c>
      <c r="AL986" t="s">
        <v>62</v>
      </c>
      <c r="AM986">
        <v>1</v>
      </c>
      <c r="AN986" s="2">
        <v>9780748625239</v>
      </c>
    </row>
    <row r="987" spans="1:40" x14ac:dyDescent="0.3">
      <c r="A987" t="s">
        <v>4957</v>
      </c>
      <c r="B987" t="s">
        <v>1</v>
      </c>
      <c r="C987" t="s">
        <v>4958</v>
      </c>
      <c r="D987" t="s">
        <v>4959</v>
      </c>
      <c r="E987" t="s">
        <v>4960</v>
      </c>
      <c r="F987" t="s">
        <v>5</v>
      </c>
      <c r="G987" t="s">
        <v>6</v>
      </c>
      <c r="L987" t="s">
        <v>7</v>
      </c>
      <c r="M987">
        <v>2014</v>
      </c>
      <c r="N987" s="1">
        <v>41982</v>
      </c>
      <c r="O987" t="s">
        <v>4961</v>
      </c>
      <c r="P987">
        <v>1</v>
      </c>
      <c r="S987">
        <v>217.95</v>
      </c>
      <c r="T987">
        <v>250</v>
      </c>
      <c r="U987">
        <v>190</v>
      </c>
      <c r="V987" t="s">
        <v>42</v>
      </c>
      <c r="W987" t="s">
        <v>107</v>
      </c>
      <c r="X987" t="s">
        <v>108</v>
      </c>
      <c r="Y987" t="s">
        <v>109</v>
      </c>
      <c r="AF987" t="s">
        <v>13</v>
      </c>
      <c r="AG987" t="str">
        <f>HYPERLINK("https://doi.org/10.1515/9780748696017?locatt=mode:legacy")</f>
        <v>https://doi.org/10.1515/9780748696017?locatt=mode:legacy</v>
      </c>
      <c r="AH987" t="str">
        <f>HYPERLINK("http://www.degruyter.com/isbn/9780748696017")</f>
        <v>http://www.degruyter.com/isbn/9780748696017</v>
      </c>
      <c r="AI987" t="s">
        <v>34</v>
      </c>
      <c r="AL987" t="s">
        <v>47</v>
      </c>
      <c r="AM987">
        <v>1</v>
      </c>
      <c r="AN987" s="2">
        <v>9780748696000</v>
      </c>
    </row>
    <row r="988" spans="1:40" x14ac:dyDescent="0.3">
      <c r="A988" t="s">
        <v>4962</v>
      </c>
      <c r="B988" t="s">
        <v>1</v>
      </c>
      <c r="C988" t="s">
        <v>4963</v>
      </c>
      <c r="E988" t="s">
        <v>4964</v>
      </c>
      <c r="F988" t="s">
        <v>5</v>
      </c>
      <c r="G988" t="s">
        <v>6</v>
      </c>
      <c r="L988" t="s">
        <v>7</v>
      </c>
      <c r="M988">
        <v>2012</v>
      </c>
      <c r="N988" s="1">
        <v>41044</v>
      </c>
      <c r="O988" t="s">
        <v>4965</v>
      </c>
      <c r="P988">
        <v>1</v>
      </c>
      <c r="S988">
        <v>279.95</v>
      </c>
      <c r="T988">
        <v>320</v>
      </c>
      <c r="U988">
        <v>240</v>
      </c>
      <c r="V988" t="s">
        <v>79</v>
      </c>
      <c r="W988" t="s">
        <v>209</v>
      </c>
      <c r="X988" t="s">
        <v>209</v>
      </c>
      <c r="Y988" t="s">
        <v>510</v>
      </c>
      <c r="AF988" t="s">
        <v>13</v>
      </c>
      <c r="AG988" t="str">
        <f>HYPERLINK("https://doi.org/10.1515/9780748643349")</f>
        <v>https://doi.org/10.1515/9780748643349</v>
      </c>
      <c r="AH988" t="str">
        <f>HYPERLINK("http://www.degruyter.com/isbn/9780748643349")</f>
        <v>http://www.degruyter.com/isbn/9780748643349</v>
      </c>
      <c r="AI988" t="s">
        <v>68</v>
      </c>
      <c r="AL988" t="s">
        <v>83</v>
      </c>
      <c r="AM988">
        <v>1</v>
      </c>
      <c r="AN988" s="2">
        <v>9780748643332</v>
      </c>
    </row>
    <row r="989" spans="1:40" x14ac:dyDescent="0.3">
      <c r="A989" t="s">
        <v>4966</v>
      </c>
      <c r="B989" t="s">
        <v>1</v>
      </c>
      <c r="C989" t="s">
        <v>4967</v>
      </c>
      <c r="D989" t="s">
        <v>4968</v>
      </c>
      <c r="E989" t="s">
        <v>4969</v>
      </c>
      <c r="F989" t="s">
        <v>5</v>
      </c>
      <c r="G989" t="s">
        <v>6</v>
      </c>
      <c r="L989" t="s">
        <v>7</v>
      </c>
      <c r="M989">
        <v>1996</v>
      </c>
      <c r="N989" s="1">
        <v>44607</v>
      </c>
      <c r="O989" t="s">
        <v>1601</v>
      </c>
      <c r="P989">
        <v>1</v>
      </c>
      <c r="S989">
        <v>217.95</v>
      </c>
      <c r="T989">
        <v>250</v>
      </c>
      <c r="U989">
        <v>190</v>
      </c>
      <c r="V989" t="s">
        <v>42</v>
      </c>
      <c r="W989" t="s">
        <v>290</v>
      </c>
      <c r="X989" t="s">
        <v>290</v>
      </c>
      <c r="Y989" t="s">
        <v>291</v>
      </c>
      <c r="AF989" t="s">
        <v>13</v>
      </c>
      <c r="AG989" t="str">
        <f>HYPERLINK("https://doi.org/10.1515/9781474471701")</f>
        <v>https://doi.org/10.1515/9781474471701</v>
      </c>
      <c r="AH989" t="str">
        <f>HYPERLINK("http://www.degruyter.com/isbn/9781474471701")</f>
        <v>http://www.degruyter.com/isbn/9781474471701</v>
      </c>
      <c r="AI989" t="s">
        <v>24</v>
      </c>
      <c r="AL989" t="s">
        <v>47</v>
      </c>
      <c r="AM989">
        <v>1</v>
      </c>
      <c r="AN989" s="2">
        <v>9780748606610</v>
      </c>
    </row>
    <row r="990" spans="1:40" x14ac:dyDescent="0.3">
      <c r="A990" t="s">
        <v>4970</v>
      </c>
      <c r="B990" t="s">
        <v>1</v>
      </c>
      <c r="C990" t="s">
        <v>4971</v>
      </c>
      <c r="D990" t="s">
        <v>4972</v>
      </c>
      <c r="E990" t="s">
        <v>4973</v>
      </c>
      <c r="F990" t="s">
        <v>5</v>
      </c>
      <c r="G990" t="s">
        <v>6</v>
      </c>
      <c r="L990" t="s">
        <v>7</v>
      </c>
      <c r="M990">
        <v>2009</v>
      </c>
      <c r="N990" s="1">
        <v>39875</v>
      </c>
      <c r="O990" t="s">
        <v>3925</v>
      </c>
      <c r="P990">
        <v>1</v>
      </c>
      <c r="S990">
        <v>253.95</v>
      </c>
      <c r="T990">
        <v>290</v>
      </c>
      <c r="U990">
        <v>220</v>
      </c>
      <c r="V990" t="s">
        <v>79</v>
      </c>
      <c r="W990" t="s">
        <v>4974</v>
      </c>
      <c r="X990" t="s">
        <v>4975</v>
      </c>
      <c r="Y990" t="s">
        <v>4976</v>
      </c>
      <c r="AF990" t="s">
        <v>13</v>
      </c>
      <c r="AG990" t="str">
        <f>HYPERLINK("https://doi.org/10.1515/9780748637607?locatt=mode:legacy")</f>
        <v>https://doi.org/10.1515/9780748637607?locatt=mode:legacy</v>
      </c>
      <c r="AH990" t="str">
        <f>HYPERLINK("http://www.degruyter.com/isbn/9780748637607")</f>
        <v>http://www.degruyter.com/isbn/9780748637607</v>
      </c>
      <c r="AI990" t="s">
        <v>68</v>
      </c>
      <c r="AL990" t="s">
        <v>83</v>
      </c>
      <c r="AM990">
        <v>1</v>
      </c>
      <c r="AN990" s="2">
        <v>9780748637591</v>
      </c>
    </row>
    <row r="991" spans="1:40" x14ac:dyDescent="0.3">
      <c r="A991" t="s">
        <v>4977</v>
      </c>
      <c r="B991" t="s">
        <v>1</v>
      </c>
      <c r="C991" t="s">
        <v>4978</v>
      </c>
      <c r="D991" t="s">
        <v>4979</v>
      </c>
      <c r="E991" t="s">
        <v>4980</v>
      </c>
      <c r="F991" t="s">
        <v>5</v>
      </c>
      <c r="G991" t="s">
        <v>6</v>
      </c>
      <c r="L991" t="s">
        <v>7</v>
      </c>
      <c r="M991">
        <v>2015</v>
      </c>
      <c r="N991" s="1">
        <v>42268</v>
      </c>
      <c r="O991" t="s">
        <v>4981</v>
      </c>
      <c r="P991">
        <v>1</v>
      </c>
      <c r="S991">
        <v>243.95</v>
      </c>
      <c r="T991">
        <v>280</v>
      </c>
      <c r="U991">
        <v>210</v>
      </c>
      <c r="V991" t="s">
        <v>42</v>
      </c>
      <c r="W991" t="s">
        <v>116</v>
      </c>
      <c r="X991" t="s">
        <v>116</v>
      </c>
      <c r="Y991" t="s">
        <v>586</v>
      </c>
      <c r="AF991" t="s">
        <v>13</v>
      </c>
      <c r="AG991" t="str">
        <f>HYPERLINK("https://doi.org/10.1515/9781474406659")</f>
        <v>https://doi.org/10.1515/9781474406659</v>
      </c>
      <c r="AH991" t="str">
        <f>HYPERLINK("http://www.degruyter.com/isbn/9781474406659")</f>
        <v>http://www.degruyter.com/isbn/9781474406659</v>
      </c>
      <c r="AI991" t="s">
        <v>34</v>
      </c>
      <c r="AL991" t="s">
        <v>47</v>
      </c>
      <c r="AM991">
        <v>1</v>
      </c>
      <c r="AN991" s="2">
        <v>9781474406635</v>
      </c>
    </row>
    <row r="992" spans="1:40" x14ac:dyDescent="0.3">
      <c r="A992" t="s">
        <v>4982</v>
      </c>
      <c r="B992" t="s">
        <v>1</v>
      </c>
      <c r="C992" t="s">
        <v>4983</v>
      </c>
      <c r="D992" t="s">
        <v>4984</v>
      </c>
      <c r="E992" t="s">
        <v>4985</v>
      </c>
      <c r="F992" t="s">
        <v>5</v>
      </c>
      <c r="G992" t="s">
        <v>6</v>
      </c>
      <c r="L992" t="s">
        <v>7</v>
      </c>
      <c r="M992">
        <v>2005</v>
      </c>
      <c r="N992" s="1">
        <v>44607</v>
      </c>
      <c r="O992" t="s">
        <v>4986</v>
      </c>
      <c r="P992">
        <v>1</v>
      </c>
      <c r="S992">
        <v>217.95</v>
      </c>
      <c r="T992">
        <v>250</v>
      </c>
      <c r="U992">
        <v>190</v>
      </c>
      <c r="V992" t="s">
        <v>58</v>
      </c>
      <c r="W992" t="s">
        <v>59</v>
      </c>
      <c r="X992" t="s">
        <v>60</v>
      </c>
      <c r="Y992" t="s">
        <v>145</v>
      </c>
      <c r="AF992" t="s">
        <v>13</v>
      </c>
      <c r="AG992" t="str">
        <f>HYPERLINK("https://doi.org/10.1515/9781474464086")</f>
        <v>https://doi.org/10.1515/9781474464086</v>
      </c>
      <c r="AH992" t="str">
        <f>HYPERLINK("http://www.degruyter.com/isbn/9781474464086")</f>
        <v>http://www.degruyter.com/isbn/9781474464086</v>
      </c>
      <c r="AI992" t="s">
        <v>68</v>
      </c>
      <c r="AL992" t="s">
        <v>62</v>
      </c>
      <c r="AM992">
        <v>1</v>
      </c>
      <c r="AN992" s="2">
        <v>9780748620654</v>
      </c>
    </row>
    <row r="993" spans="1:40" x14ac:dyDescent="0.3">
      <c r="A993" t="s">
        <v>4987</v>
      </c>
      <c r="B993" t="s">
        <v>1</v>
      </c>
      <c r="C993" t="s">
        <v>4988</v>
      </c>
      <c r="D993" t="s">
        <v>4989</v>
      </c>
      <c r="E993" t="s">
        <v>4990</v>
      </c>
      <c r="F993" t="s">
        <v>5</v>
      </c>
      <c r="G993" t="s">
        <v>6</v>
      </c>
      <c r="L993" t="s">
        <v>7</v>
      </c>
      <c r="M993">
        <v>2001</v>
      </c>
      <c r="N993" s="1">
        <v>37071</v>
      </c>
      <c r="O993" t="s">
        <v>4991</v>
      </c>
      <c r="P993">
        <v>1</v>
      </c>
      <c r="S993">
        <v>217.95</v>
      </c>
      <c r="T993">
        <v>250</v>
      </c>
      <c r="U993">
        <v>190</v>
      </c>
      <c r="V993" t="s">
        <v>329</v>
      </c>
      <c r="W993" t="s">
        <v>330</v>
      </c>
      <c r="X993" t="s">
        <v>331</v>
      </c>
      <c r="Y993" t="s">
        <v>332</v>
      </c>
      <c r="AF993" t="s">
        <v>13</v>
      </c>
      <c r="AG993" t="str">
        <f>HYPERLINK("https://doi.org/10.1515/9781474468947")</f>
        <v>https://doi.org/10.1515/9781474468947</v>
      </c>
      <c r="AH993" t="str">
        <f>HYPERLINK("http://www.degruyter.com/isbn/9781474468947")</f>
        <v>http://www.degruyter.com/isbn/9781474468947</v>
      </c>
      <c r="AI993" t="s">
        <v>68</v>
      </c>
      <c r="AL993" t="s">
        <v>333</v>
      </c>
      <c r="AM993">
        <v>1</v>
      </c>
      <c r="AN993" s="2">
        <v>9780748614486</v>
      </c>
    </row>
    <row r="994" spans="1:40" x14ac:dyDescent="0.3">
      <c r="A994" t="s">
        <v>4992</v>
      </c>
      <c r="B994" t="s">
        <v>1</v>
      </c>
      <c r="C994" t="s">
        <v>4993</v>
      </c>
      <c r="E994" t="s">
        <v>4994</v>
      </c>
      <c r="F994" t="s">
        <v>5</v>
      </c>
      <c r="G994" t="s">
        <v>6</v>
      </c>
      <c r="L994" t="s">
        <v>7</v>
      </c>
      <c r="M994">
        <v>2012</v>
      </c>
      <c r="N994" s="1">
        <v>41113</v>
      </c>
      <c r="O994" t="s">
        <v>4995</v>
      </c>
      <c r="P994">
        <v>1</v>
      </c>
      <c r="S994">
        <v>217.95</v>
      </c>
      <c r="T994">
        <v>250</v>
      </c>
      <c r="U994">
        <v>190</v>
      </c>
      <c r="V994" t="s">
        <v>79</v>
      </c>
      <c r="W994" t="s">
        <v>123</v>
      </c>
      <c r="X994" t="s">
        <v>123</v>
      </c>
      <c r="Y994" t="s">
        <v>124</v>
      </c>
      <c r="AF994" t="s">
        <v>13</v>
      </c>
      <c r="AG994" t="str">
        <f>HYPERLINK("https://doi.org/10.1515/9780748633791")</f>
        <v>https://doi.org/10.1515/9780748633791</v>
      </c>
      <c r="AH994" t="str">
        <f>HYPERLINK("http://www.degruyter.com/isbn/9780748633791")</f>
        <v>http://www.degruyter.com/isbn/9780748633791</v>
      </c>
      <c r="AI994" t="s">
        <v>68</v>
      </c>
      <c r="AJ994" t="s">
        <v>35</v>
      </c>
      <c r="AL994" t="s">
        <v>718</v>
      </c>
      <c r="AM994">
        <v>1</v>
      </c>
      <c r="AN994" s="2">
        <v>9780748638710</v>
      </c>
    </row>
    <row r="995" spans="1:40" x14ac:dyDescent="0.3">
      <c r="A995" t="s">
        <v>4996</v>
      </c>
      <c r="B995" t="s">
        <v>1</v>
      </c>
      <c r="C995" t="s">
        <v>4997</v>
      </c>
      <c r="D995" t="s">
        <v>4998</v>
      </c>
      <c r="E995" t="s">
        <v>4999</v>
      </c>
      <c r="F995" t="s">
        <v>5</v>
      </c>
      <c r="G995" t="s">
        <v>6</v>
      </c>
      <c r="L995" t="s">
        <v>7</v>
      </c>
      <c r="M995">
        <v>2015</v>
      </c>
      <c r="N995" s="1">
        <v>42341</v>
      </c>
      <c r="O995" t="s">
        <v>5000</v>
      </c>
      <c r="P995">
        <v>1</v>
      </c>
      <c r="S995">
        <v>217.95</v>
      </c>
      <c r="T995">
        <v>250</v>
      </c>
      <c r="U995">
        <v>190</v>
      </c>
      <c r="V995" t="s">
        <v>42</v>
      </c>
      <c r="W995" t="s">
        <v>107</v>
      </c>
      <c r="X995" t="s">
        <v>108</v>
      </c>
      <c r="Y995" t="s">
        <v>5001</v>
      </c>
      <c r="AF995" t="s">
        <v>13</v>
      </c>
      <c r="AG995" t="str">
        <f>HYPERLINK("https://doi.org/10.1515/9781474406932")</f>
        <v>https://doi.org/10.1515/9781474406932</v>
      </c>
      <c r="AH995" t="str">
        <f>HYPERLINK("http://www.degruyter.com/isbn/9781474406932")</f>
        <v>http://www.degruyter.com/isbn/9781474406932</v>
      </c>
      <c r="AI995" t="s">
        <v>34</v>
      </c>
      <c r="AL995" t="s">
        <v>47</v>
      </c>
      <c r="AM995">
        <v>1</v>
      </c>
      <c r="AN995" s="2">
        <v>9781474406925</v>
      </c>
    </row>
    <row r="996" spans="1:40" x14ac:dyDescent="0.3">
      <c r="A996" t="s">
        <v>5002</v>
      </c>
      <c r="B996" t="s">
        <v>1</v>
      </c>
      <c r="C996" t="s">
        <v>5003</v>
      </c>
      <c r="E996" t="s">
        <v>5004</v>
      </c>
      <c r="F996" t="s">
        <v>5</v>
      </c>
      <c r="G996" t="s">
        <v>6</v>
      </c>
      <c r="L996" t="s">
        <v>7</v>
      </c>
      <c r="M996">
        <v>1990</v>
      </c>
      <c r="N996" s="1">
        <v>44599</v>
      </c>
      <c r="O996" t="s">
        <v>1913</v>
      </c>
      <c r="P996">
        <v>1</v>
      </c>
      <c r="S996">
        <v>227.95</v>
      </c>
      <c r="T996">
        <v>260</v>
      </c>
      <c r="U996">
        <v>200</v>
      </c>
      <c r="V996" t="s">
        <v>89</v>
      </c>
      <c r="W996" t="s">
        <v>90</v>
      </c>
      <c r="X996" t="s">
        <v>4409</v>
      </c>
      <c r="Y996" t="s">
        <v>4410</v>
      </c>
      <c r="AF996" t="s">
        <v>13</v>
      </c>
      <c r="AG996" t="str">
        <f>HYPERLINK("https://doi.org/10.1515/9781474470650")</f>
        <v>https://doi.org/10.1515/9781474470650</v>
      </c>
      <c r="AH996" t="str">
        <f>HYPERLINK("http://www.degruyter.com/isbn/9781474470650")</f>
        <v>http://www.degruyter.com/isbn/9781474470650</v>
      </c>
      <c r="AI996" t="s">
        <v>24</v>
      </c>
      <c r="AJ996" t="s">
        <v>35</v>
      </c>
      <c r="AL996" t="s">
        <v>718</v>
      </c>
      <c r="AM996">
        <v>1</v>
      </c>
      <c r="AN996" s="2">
        <v>9780852246306</v>
      </c>
    </row>
    <row r="997" spans="1:40" x14ac:dyDescent="0.3">
      <c r="A997" t="s">
        <v>5005</v>
      </c>
      <c r="B997" t="s">
        <v>1</v>
      </c>
      <c r="C997" t="s">
        <v>5006</v>
      </c>
      <c r="D997" t="s">
        <v>5007</v>
      </c>
      <c r="E997" t="s">
        <v>5008</v>
      </c>
      <c r="F997" t="s">
        <v>5</v>
      </c>
      <c r="G997" t="s">
        <v>6</v>
      </c>
      <c r="L997" t="s">
        <v>7</v>
      </c>
      <c r="M997">
        <v>2019</v>
      </c>
      <c r="N997" s="1">
        <v>44644</v>
      </c>
      <c r="O997" t="s">
        <v>5009</v>
      </c>
      <c r="P997">
        <v>1</v>
      </c>
      <c r="S997">
        <v>183.95</v>
      </c>
      <c r="T997">
        <v>210</v>
      </c>
      <c r="U997">
        <v>160</v>
      </c>
      <c r="V997" t="s">
        <v>20</v>
      </c>
      <c r="W997" t="s">
        <v>21</v>
      </c>
      <c r="X997" t="s">
        <v>4875</v>
      </c>
      <c r="Y997" t="s">
        <v>4876</v>
      </c>
      <c r="AF997" t="s">
        <v>13</v>
      </c>
      <c r="AG997" t="str">
        <f>HYPERLINK("https://doi.org/10.1515/9781474444507?locatt=mode:legacy")</f>
        <v>https://doi.org/10.1515/9781474444507?locatt=mode:legacy</v>
      </c>
      <c r="AH997" t="str">
        <f>HYPERLINK("http://www.degruyter.com/isbn/9781474444507")</f>
        <v>http://www.degruyter.com/isbn/9781474444507</v>
      </c>
      <c r="AI997" t="s">
        <v>280</v>
      </c>
      <c r="AL997" t="s">
        <v>15</v>
      </c>
      <c r="AM997">
        <v>1</v>
      </c>
      <c r="AN997" s="2">
        <v>9781474444484</v>
      </c>
    </row>
    <row r="998" spans="1:40" x14ac:dyDescent="0.3">
      <c r="A998" t="s">
        <v>5010</v>
      </c>
      <c r="B998" t="s">
        <v>1</v>
      </c>
      <c r="C998" t="s">
        <v>5011</v>
      </c>
      <c r="D998" t="s">
        <v>5012</v>
      </c>
      <c r="E998" t="s">
        <v>5013</v>
      </c>
      <c r="F998" t="s">
        <v>5</v>
      </c>
      <c r="G998" t="s">
        <v>6</v>
      </c>
      <c r="L998" t="s">
        <v>7</v>
      </c>
      <c r="M998">
        <v>2020</v>
      </c>
      <c r="N998" s="1">
        <v>44656</v>
      </c>
      <c r="O998" t="s">
        <v>5014</v>
      </c>
      <c r="P998">
        <v>1</v>
      </c>
      <c r="S998">
        <v>217.95</v>
      </c>
      <c r="T998">
        <v>250</v>
      </c>
      <c r="U998">
        <v>190</v>
      </c>
      <c r="V998" t="s">
        <v>42</v>
      </c>
      <c r="W998" t="s">
        <v>1379</v>
      </c>
      <c r="X998" t="s">
        <v>1380</v>
      </c>
      <c r="Y998" t="s">
        <v>1381</v>
      </c>
      <c r="AF998" t="s">
        <v>13</v>
      </c>
      <c r="AG998" t="str">
        <f>HYPERLINK("https://doi.org/10.1515/9781474463423")</f>
        <v>https://doi.org/10.1515/9781474463423</v>
      </c>
      <c r="AH998" t="str">
        <f>HYPERLINK("http://www.degruyter.com/isbn/9781474463423")</f>
        <v>http://www.degruyter.com/isbn/9781474463423</v>
      </c>
      <c r="AI998" t="s">
        <v>14</v>
      </c>
      <c r="AL998" t="s">
        <v>47</v>
      </c>
      <c r="AM998">
        <v>1</v>
      </c>
      <c r="AN998" s="2">
        <v>9781474463409</v>
      </c>
    </row>
    <row r="999" spans="1:40" x14ac:dyDescent="0.3">
      <c r="A999" t="s">
        <v>5015</v>
      </c>
      <c r="B999" t="s">
        <v>1</v>
      </c>
      <c r="C999" t="s">
        <v>5016</v>
      </c>
      <c r="E999" t="s">
        <v>5017</v>
      </c>
      <c r="F999" t="s">
        <v>5</v>
      </c>
      <c r="G999" t="s">
        <v>6</v>
      </c>
      <c r="L999" t="s">
        <v>7</v>
      </c>
      <c r="M999">
        <v>2017</v>
      </c>
      <c r="N999" s="1">
        <v>43084</v>
      </c>
      <c r="O999" t="s">
        <v>5018</v>
      </c>
      <c r="P999">
        <v>1</v>
      </c>
      <c r="S999">
        <v>217.95</v>
      </c>
      <c r="T999">
        <v>250</v>
      </c>
      <c r="U999">
        <v>190</v>
      </c>
      <c r="V999" t="s">
        <v>9</v>
      </c>
      <c r="W999" t="s">
        <v>10</v>
      </c>
      <c r="X999" t="s">
        <v>11</v>
      </c>
      <c r="Y999" t="s">
        <v>52</v>
      </c>
      <c r="AF999" t="s">
        <v>13</v>
      </c>
      <c r="AG999" t="str">
        <f>HYPERLINK("https://doi.org/10.1515/9780748692613?locatt=mode:legacy")</f>
        <v>https://doi.org/10.1515/9780748692613?locatt=mode:legacy</v>
      </c>
      <c r="AH999" t="str">
        <f>HYPERLINK("http://www.degruyter.com/isbn/9780748692613")</f>
        <v>http://www.degruyter.com/isbn/9780748692613</v>
      </c>
      <c r="AI999" t="s">
        <v>222</v>
      </c>
      <c r="AL999" t="s">
        <v>15</v>
      </c>
      <c r="AM999">
        <v>1</v>
      </c>
      <c r="AN999" s="2">
        <v>9780748692606</v>
      </c>
    </row>
    <row r="1000" spans="1:40" x14ac:dyDescent="0.3">
      <c r="A1000" t="s">
        <v>5019</v>
      </c>
      <c r="B1000" t="s">
        <v>1</v>
      </c>
      <c r="C1000" t="s">
        <v>5020</v>
      </c>
      <c r="D1000" t="s">
        <v>5021</v>
      </c>
      <c r="E1000" t="s">
        <v>5022</v>
      </c>
      <c r="F1000" t="s">
        <v>5</v>
      </c>
      <c r="G1000" t="s">
        <v>6</v>
      </c>
      <c r="L1000" t="s">
        <v>7</v>
      </c>
      <c r="M1000">
        <v>2019</v>
      </c>
      <c r="N1000" s="1">
        <v>44656</v>
      </c>
      <c r="O1000" t="s">
        <v>5023</v>
      </c>
      <c r="P1000">
        <v>1</v>
      </c>
      <c r="S1000">
        <v>253.95</v>
      </c>
      <c r="T1000">
        <v>290</v>
      </c>
      <c r="U1000">
        <v>220</v>
      </c>
      <c r="V1000" t="s">
        <v>79</v>
      </c>
      <c r="W1000" t="s">
        <v>227</v>
      </c>
      <c r="X1000" t="s">
        <v>3926</v>
      </c>
      <c r="Y1000" t="s">
        <v>5024</v>
      </c>
      <c r="AF1000" t="s">
        <v>13</v>
      </c>
      <c r="AG1000" t="str">
        <f>HYPERLINK("https://doi.org/10.1515/9781474456180")</f>
        <v>https://doi.org/10.1515/9781474456180</v>
      </c>
      <c r="AH1000" t="str">
        <f>HYPERLINK("http://www.degruyter.com/isbn/9781474456180")</f>
        <v>http://www.degruyter.com/isbn/9781474456180</v>
      </c>
      <c r="AI1000" t="s">
        <v>280</v>
      </c>
      <c r="AL1000" t="s">
        <v>83</v>
      </c>
      <c r="AM1000">
        <v>1</v>
      </c>
      <c r="AN1000" s="2">
        <v>9781474456166</v>
      </c>
    </row>
    <row r="1001" spans="1:40" x14ac:dyDescent="0.3">
      <c r="A1001" t="s">
        <v>5025</v>
      </c>
      <c r="B1001" t="s">
        <v>1</v>
      </c>
      <c r="C1001" t="s">
        <v>5026</v>
      </c>
      <c r="D1001" t="s">
        <v>5027</v>
      </c>
      <c r="E1001" t="s">
        <v>5028</v>
      </c>
      <c r="F1001" t="s">
        <v>5</v>
      </c>
      <c r="G1001" t="s">
        <v>6</v>
      </c>
      <c r="L1001" t="s">
        <v>7</v>
      </c>
      <c r="M1001">
        <v>2013</v>
      </c>
      <c r="N1001" s="1">
        <v>41477</v>
      </c>
      <c r="O1001" t="s">
        <v>5029</v>
      </c>
      <c r="P1001">
        <v>1</v>
      </c>
      <c r="S1001">
        <v>217.95</v>
      </c>
      <c r="T1001">
        <v>250</v>
      </c>
      <c r="U1001">
        <v>190</v>
      </c>
      <c r="V1001" t="s">
        <v>42</v>
      </c>
      <c r="W1001" t="s">
        <v>43</v>
      </c>
      <c r="X1001" t="s">
        <v>44</v>
      </c>
      <c r="Y1001" t="s">
        <v>45</v>
      </c>
      <c r="AF1001" t="s">
        <v>13</v>
      </c>
      <c r="AG1001" t="str">
        <f>HYPERLINK("https://doi.org/10.1515/9780748676408?locatt=mode:legacy")</f>
        <v>https://doi.org/10.1515/9780748676408?locatt=mode:legacy</v>
      </c>
      <c r="AH1001" t="str">
        <f>HYPERLINK("http://www.degruyter.com/isbn/9780748676408")</f>
        <v>http://www.degruyter.com/isbn/9780748676408</v>
      </c>
      <c r="AI1001" t="s">
        <v>68</v>
      </c>
      <c r="AL1001" t="s">
        <v>47</v>
      </c>
      <c r="AM1001">
        <v>1</v>
      </c>
      <c r="AN1001" s="2">
        <v>9780748676392</v>
      </c>
    </row>
    <row r="1002" spans="1:40" x14ac:dyDescent="0.3">
      <c r="A1002" t="s">
        <v>5030</v>
      </c>
      <c r="B1002" t="s">
        <v>1</v>
      </c>
      <c r="C1002" t="s">
        <v>5031</v>
      </c>
      <c r="D1002" t="s">
        <v>5032</v>
      </c>
      <c r="E1002" t="s">
        <v>5033</v>
      </c>
      <c r="F1002" t="s">
        <v>5</v>
      </c>
      <c r="G1002" t="s">
        <v>6</v>
      </c>
      <c r="L1002" t="s">
        <v>7</v>
      </c>
      <c r="M1002">
        <v>2014</v>
      </c>
      <c r="N1002" s="1">
        <v>41925</v>
      </c>
      <c r="O1002" t="s">
        <v>5034</v>
      </c>
      <c r="P1002">
        <v>1</v>
      </c>
      <c r="S1002">
        <v>79.95</v>
      </c>
      <c r="T1002">
        <v>89.95</v>
      </c>
      <c r="U1002">
        <v>69.98</v>
      </c>
      <c r="V1002" t="s">
        <v>20</v>
      </c>
      <c r="W1002" t="s">
        <v>21</v>
      </c>
      <c r="X1002" t="s">
        <v>22</v>
      </c>
      <c r="Y1002" t="s">
        <v>489</v>
      </c>
      <c r="AF1002" t="s">
        <v>13</v>
      </c>
      <c r="AG1002" t="str">
        <f>HYPERLINK("https://doi.org/10.1515/9780748679126")</f>
        <v>https://doi.org/10.1515/9780748679126</v>
      </c>
      <c r="AH1002" t="str">
        <f>HYPERLINK("http://www.degruyter.com/isbn/9780748679126")</f>
        <v>http://www.degruyter.com/isbn/9780748679126</v>
      </c>
      <c r="AI1002" t="s">
        <v>34</v>
      </c>
      <c r="AL1002" t="s">
        <v>15</v>
      </c>
      <c r="AM1002">
        <v>1</v>
      </c>
      <c r="AN1002" s="2">
        <v>9780748679119</v>
      </c>
    </row>
    <row r="1003" spans="1:40" x14ac:dyDescent="0.3">
      <c r="A1003" t="s">
        <v>5035</v>
      </c>
      <c r="B1003" t="s">
        <v>1</v>
      </c>
      <c r="C1003" t="s">
        <v>5036</v>
      </c>
      <c r="D1003" t="s">
        <v>5037</v>
      </c>
      <c r="E1003" t="s">
        <v>5038</v>
      </c>
      <c r="F1003" t="s">
        <v>5</v>
      </c>
      <c r="G1003" t="s">
        <v>6</v>
      </c>
      <c r="L1003" t="s">
        <v>7</v>
      </c>
      <c r="M1003">
        <v>1999</v>
      </c>
      <c r="N1003" s="1">
        <v>44672</v>
      </c>
      <c r="O1003" t="s">
        <v>150</v>
      </c>
      <c r="P1003">
        <v>1</v>
      </c>
      <c r="S1003">
        <v>217.95</v>
      </c>
      <c r="T1003">
        <v>250</v>
      </c>
      <c r="U1003">
        <v>190</v>
      </c>
      <c r="V1003" t="s">
        <v>42</v>
      </c>
      <c r="W1003" t="s">
        <v>107</v>
      </c>
      <c r="X1003" t="s">
        <v>108</v>
      </c>
      <c r="Y1003" t="s">
        <v>109</v>
      </c>
      <c r="AF1003" t="s">
        <v>13</v>
      </c>
      <c r="AG1003" t="str">
        <f>HYPERLINK("https://doi.org/10.1515/9780748674374")</f>
        <v>https://doi.org/10.1515/9780748674374</v>
      </c>
      <c r="AH1003" t="str">
        <f>HYPERLINK("http://www.degruyter.com/isbn/9780748674374")</f>
        <v>http://www.degruyter.com/isbn/9780748674374</v>
      </c>
      <c r="AI1003" t="s">
        <v>24</v>
      </c>
      <c r="AL1003" t="s">
        <v>47</v>
      </c>
      <c r="AM1003">
        <v>1</v>
      </c>
      <c r="AN1003" s="2">
        <v>9780748608935</v>
      </c>
    </row>
    <row r="1004" spans="1:40" x14ac:dyDescent="0.3">
      <c r="A1004" t="s">
        <v>5039</v>
      </c>
      <c r="B1004" t="s">
        <v>1</v>
      </c>
      <c r="C1004" t="s">
        <v>5040</v>
      </c>
      <c r="D1004" t="s">
        <v>5041</v>
      </c>
      <c r="E1004" t="s">
        <v>5042</v>
      </c>
      <c r="F1004" t="s">
        <v>5</v>
      </c>
      <c r="G1004" t="s">
        <v>6</v>
      </c>
      <c r="L1004" t="s">
        <v>7</v>
      </c>
      <c r="M1004">
        <v>2018</v>
      </c>
      <c r="N1004" s="1">
        <v>44644</v>
      </c>
      <c r="O1004" t="s">
        <v>5043</v>
      </c>
      <c r="P1004">
        <v>1</v>
      </c>
      <c r="S1004">
        <v>217.95</v>
      </c>
      <c r="T1004">
        <v>250</v>
      </c>
      <c r="U1004">
        <v>190</v>
      </c>
      <c r="V1004" t="s">
        <v>20</v>
      </c>
      <c r="W1004" t="s">
        <v>21</v>
      </c>
      <c r="X1004" t="s">
        <v>4875</v>
      </c>
      <c r="Y1004" t="s">
        <v>5044</v>
      </c>
      <c r="AF1004" t="s">
        <v>13</v>
      </c>
      <c r="AG1004" t="str">
        <f>HYPERLINK("https://doi.org/10.1515/9781474403580?locatt=mode:legacy")</f>
        <v>https://doi.org/10.1515/9781474403580?locatt=mode:legacy</v>
      </c>
      <c r="AH1004" t="str">
        <f>HYPERLINK("http://www.degruyter.com/isbn/9781474403580")</f>
        <v>http://www.degruyter.com/isbn/9781474403580</v>
      </c>
      <c r="AI1004" t="s">
        <v>46</v>
      </c>
      <c r="AL1004" t="s">
        <v>15</v>
      </c>
      <c r="AM1004">
        <v>1</v>
      </c>
      <c r="AN1004" s="2">
        <v>9781474403573</v>
      </c>
    </row>
    <row r="1005" spans="1:40" x14ac:dyDescent="0.3">
      <c r="A1005" t="s">
        <v>5045</v>
      </c>
      <c r="B1005" t="s">
        <v>1</v>
      </c>
      <c r="C1005" t="s">
        <v>5046</v>
      </c>
      <c r="E1005" t="s">
        <v>5047</v>
      </c>
      <c r="F1005" t="s">
        <v>5</v>
      </c>
      <c r="G1005" t="s">
        <v>6</v>
      </c>
      <c r="K1005" t="s">
        <v>929</v>
      </c>
      <c r="L1005" t="s">
        <v>7</v>
      </c>
      <c r="M1005">
        <v>2016</v>
      </c>
      <c r="N1005" s="1">
        <v>42562</v>
      </c>
      <c r="O1005" t="s">
        <v>5048</v>
      </c>
      <c r="P1005">
        <v>1</v>
      </c>
      <c r="V1005" t="s">
        <v>329</v>
      </c>
      <c r="W1005" t="s">
        <v>330</v>
      </c>
      <c r="X1005" t="s">
        <v>331</v>
      </c>
      <c r="Y1005" t="s">
        <v>332</v>
      </c>
      <c r="AF1005" t="s">
        <v>13</v>
      </c>
      <c r="AG1005" t="str">
        <f>HYPERLINK("https://doi.org/10.1515/9781474411004?locatt=mode:legacy")</f>
        <v>https://doi.org/10.1515/9781474411004?locatt=mode:legacy</v>
      </c>
      <c r="AH1005" t="str">
        <f>HYPERLINK("http://www.degruyter.com/isbn/9781474411004")</f>
        <v>http://www.degruyter.com/isbn/9781474411004</v>
      </c>
      <c r="AI1005" t="s">
        <v>180</v>
      </c>
      <c r="AM1005">
        <v>1</v>
      </c>
      <c r="AN1005" s="2"/>
    </row>
    <row r="1006" spans="1:40" x14ac:dyDescent="0.3">
      <c r="A1006" t="s">
        <v>5049</v>
      </c>
      <c r="B1006" t="s">
        <v>1</v>
      </c>
      <c r="C1006" t="s">
        <v>5050</v>
      </c>
      <c r="D1006" t="s">
        <v>5051</v>
      </c>
      <c r="E1006" t="s">
        <v>5052</v>
      </c>
      <c r="F1006" t="s">
        <v>5</v>
      </c>
      <c r="G1006" t="s">
        <v>6</v>
      </c>
      <c r="L1006" t="s">
        <v>7</v>
      </c>
      <c r="M1006">
        <v>2015</v>
      </c>
      <c r="N1006" s="1">
        <v>42024</v>
      </c>
      <c r="O1006" t="s">
        <v>5053</v>
      </c>
      <c r="P1006">
        <v>1</v>
      </c>
      <c r="S1006">
        <v>243.95</v>
      </c>
      <c r="T1006">
        <v>280</v>
      </c>
      <c r="U1006">
        <v>210</v>
      </c>
      <c r="V1006" t="s">
        <v>20</v>
      </c>
      <c r="W1006" t="s">
        <v>21</v>
      </c>
      <c r="X1006" t="s">
        <v>458</v>
      </c>
      <c r="Y1006" t="s">
        <v>1816</v>
      </c>
      <c r="AF1006" t="s">
        <v>13</v>
      </c>
      <c r="AG1006" t="str">
        <f>HYPERLINK("https://doi.org/10.1515/9780748694877")</f>
        <v>https://doi.org/10.1515/9780748694877</v>
      </c>
      <c r="AH1006" t="str">
        <f>HYPERLINK("http://www.degruyter.com/isbn/9780748694877")</f>
        <v>http://www.degruyter.com/isbn/9780748694877</v>
      </c>
      <c r="AI1006" t="s">
        <v>5054</v>
      </c>
      <c r="AL1006" t="s">
        <v>15</v>
      </c>
      <c r="AM1006">
        <v>1</v>
      </c>
      <c r="AN1006" s="2">
        <v>9780748694860</v>
      </c>
    </row>
    <row r="1007" spans="1:40" x14ac:dyDescent="0.3">
      <c r="A1007" t="s">
        <v>5055</v>
      </c>
      <c r="B1007" t="s">
        <v>1</v>
      </c>
      <c r="C1007" t="s">
        <v>5056</v>
      </c>
      <c r="D1007" t="s">
        <v>5057</v>
      </c>
      <c r="E1007" t="s">
        <v>5058</v>
      </c>
      <c r="F1007" t="s">
        <v>5</v>
      </c>
      <c r="G1007" t="s">
        <v>6</v>
      </c>
      <c r="L1007" t="s">
        <v>7</v>
      </c>
      <c r="M1007">
        <v>2014</v>
      </c>
      <c r="N1007" s="1">
        <v>41737</v>
      </c>
      <c r="O1007" t="s">
        <v>5059</v>
      </c>
      <c r="P1007">
        <v>1</v>
      </c>
      <c r="S1007">
        <v>217.95</v>
      </c>
      <c r="T1007">
        <v>250</v>
      </c>
      <c r="U1007">
        <v>190</v>
      </c>
      <c r="V1007" t="s">
        <v>98</v>
      </c>
      <c r="W1007" t="s">
        <v>99</v>
      </c>
      <c r="X1007" t="s">
        <v>386</v>
      </c>
      <c r="Y1007" t="s">
        <v>387</v>
      </c>
      <c r="AF1007" t="s">
        <v>13</v>
      </c>
      <c r="AG1007" t="str">
        <f>HYPERLINK("https://doi.org/10.1515/9780748678341")</f>
        <v>https://doi.org/10.1515/9780748678341</v>
      </c>
      <c r="AH1007" t="str">
        <f>HYPERLINK("http://www.degruyter.com/isbn/9780748678341")</f>
        <v>http://www.degruyter.com/isbn/9780748678341</v>
      </c>
      <c r="AI1007" t="s">
        <v>34</v>
      </c>
      <c r="AL1007" t="s">
        <v>102</v>
      </c>
      <c r="AM1007">
        <v>1</v>
      </c>
      <c r="AN1007" s="2">
        <v>9780748637829</v>
      </c>
    </row>
    <row r="1008" spans="1:40" x14ac:dyDescent="0.3">
      <c r="A1008" t="s">
        <v>5060</v>
      </c>
      <c r="B1008" t="s">
        <v>1</v>
      </c>
      <c r="C1008" t="s">
        <v>5061</v>
      </c>
      <c r="D1008" t="s">
        <v>5062</v>
      </c>
      <c r="E1008" t="s">
        <v>5063</v>
      </c>
      <c r="F1008" t="s">
        <v>5</v>
      </c>
      <c r="G1008" t="s">
        <v>6</v>
      </c>
      <c r="L1008" t="s">
        <v>7</v>
      </c>
      <c r="M1008">
        <v>2021</v>
      </c>
      <c r="N1008" s="1">
        <v>44644</v>
      </c>
      <c r="O1008" t="s">
        <v>5064</v>
      </c>
      <c r="P1008">
        <v>1</v>
      </c>
      <c r="S1008">
        <v>217.95</v>
      </c>
      <c r="T1008">
        <v>250</v>
      </c>
      <c r="U1008">
        <v>190</v>
      </c>
      <c r="V1008" t="s">
        <v>42</v>
      </c>
      <c r="W1008" t="s">
        <v>107</v>
      </c>
      <c r="X1008" t="s">
        <v>108</v>
      </c>
      <c r="Y1008" t="s">
        <v>109</v>
      </c>
      <c r="AF1008" t="s">
        <v>13</v>
      </c>
      <c r="AG1008" t="str">
        <f>HYPERLINK("https://doi.org/10.1515/9781474481410")</f>
        <v>https://doi.org/10.1515/9781474481410</v>
      </c>
      <c r="AH1008" t="str">
        <f>HYPERLINK("http://www.degruyter.com/isbn/9781474481410")</f>
        <v>http://www.degruyter.com/isbn/9781474481410</v>
      </c>
      <c r="AI1008" t="s">
        <v>1561</v>
      </c>
      <c r="AL1008" t="s">
        <v>47</v>
      </c>
      <c r="AM1008">
        <v>1</v>
      </c>
      <c r="AN1008" s="2">
        <v>9781474481397</v>
      </c>
    </row>
    <row r="1009" spans="1:40" x14ac:dyDescent="0.3">
      <c r="A1009" t="s">
        <v>5065</v>
      </c>
      <c r="B1009" t="s">
        <v>1</v>
      </c>
      <c r="C1009" t="s">
        <v>5066</v>
      </c>
      <c r="E1009" t="s">
        <v>5067</v>
      </c>
      <c r="F1009" t="s">
        <v>5</v>
      </c>
      <c r="G1009" t="s">
        <v>6</v>
      </c>
      <c r="L1009" t="s">
        <v>7</v>
      </c>
      <c r="M1009">
        <v>2005</v>
      </c>
      <c r="N1009" s="1">
        <v>38476</v>
      </c>
      <c r="O1009" t="s">
        <v>5068</v>
      </c>
      <c r="P1009">
        <v>1</v>
      </c>
      <c r="S1009">
        <v>261.95</v>
      </c>
      <c r="T1009">
        <v>300</v>
      </c>
      <c r="U1009">
        <v>230</v>
      </c>
      <c r="V1009" t="s">
        <v>9</v>
      </c>
      <c r="W1009" t="s">
        <v>10</v>
      </c>
      <c r="X1009" t="s">
        <v>11</v>
      </c>
      <c r="Y1009" t="s">
        <v>12</v>
      </c>
      <c r="AF1009" t="s">
        <v>13</v>
      </c>
      <c r="AG1009" t="str">
        <f>HYPERLINK("https://doi.org/10.1515/9780748679645?locatt=mode:legacy")</f>
        <v>https://doi.org/10.1515/9780748679645?locatt=mode:legacy</v>
      </c>
      <c r="AH1009" t="str">
        <f>HYPERLINK("http://www.degruyter.com/isbn/9780748679645")</f>
        <v>http://www.degruyter.com/isbn/9780748679645</v>
      </c>
      <c r="AI1009" t="s">
        <v>68</v>
      </c>
      <c r="AL1009" t="s">
        <v>15</v>
      </c>
      <c r="AM1009">
        <v>1</v>
      </c>
      <c r="AN1009" s="2">
        <v>9780748619009</v>
      </c>
    </row>
    <row r="1010" spans="1:40" x14ac:dyDescent="0.3">
      <c r="A1010" t="s">
        <v>5069</v>
      </c>
      <c r="B1010" t="s">
        <v>1</v>
      </c>
      <c r="C1010" t="s">
        <v>5070</v>
      </c>
      <c r="E1010" t="s">
        <v>5071</v>
      </c>
      <c r="F1010" t="s">
        <v>5</v>
      </c>
      <c r="G1010" t="s">
        <v>6</v>
      </c>
      <c r="L1010" t="s">
        <v>7</v>
      </c>
      <c r="M1010">
        <v>2013</v>
      </c>
      <c r="N1010" s="1">
        <v>41338</v>
      </c>
      <c r="O1010" t="s">
        <v>5072</v>
      </c>
      <c r="P1010">
        <v>1</v>
      </c>
      <c r="S1010">
        <v>217.95</v>
      </c>
      <c r="T1010">
        <v>250</v>
      </c>
      <c r="U1010">
        <v>190</v>
      </c>
      <c r="V1010" t="s">
        <v>42</v>
      </c>
      <c r="W1010" t="s">
        <v>116</v>
      </c>
      <c r="X1010" t="s">
        <v>116</v>
      </c>
      <c r="Y1010" t="s">
        <v>117</v>
      </c>
      <c r="AF1010" t="s">
        <v>13</v>
      </c>
      <c r="AG1010" t="str">
        <f>HYPERLINK("https://doi.org/10.1515/9780748647323?locatt=mode:legacy")</f>
        <v>https://doi.org/10.1515/9780748647323?locatt=mode:legacy</v>
      </c>
      <c r="AH1010" t="str">
        <f>HYPERLINK("http://www.degruyter.com/isbn/9780748647323")</f>
        <v>http://www.degruyter.com/isbn/9780748647323</v>
      </c>
      <c r="AI1010" t="s">
        <v>68</v>
      </c>
      <c r="AL1010" t="s">
        <v>47</v>
      </c>
      <c r="AM1010">
        <v>1</v>
      </c>
      <c r="AN1010" s="2">
        <v>9780748647316</v>
      </c>
    </row>
    <row r="1011" spans="1:40" x14ac:dyDescent="0.3">
      <c r="A1011" t="s">
        <v>5073</v>
      </c>
      <c r="B1011" t="s">
        <v>1</v>
      </c>
      <c r="C1011" t="s">
        <v>5074</v>
      </c>
      <c r="E1011" t="s">
        <v>5075</v>
      </c>
      <c r="F1011" t="s">
        <v>5</v>
      </c>
      <c r="G1011" t="s">
        <v>6</v>
      </c>
      <c r="L1011" t="s">
        <v>7</v>
      </c>
      <c r="M1011">
        <v>2014</v>
      </c>
      <c r="N1011" s="1">
        <v>41715</v>
      </c>
      <c r="O1011" t="s">
        <v>1520</v>
      </c>
      <c r="P1011">
        <v>1</v>
      </c>
      <c r="S1011">
        <v>217.95</v>
      </c>
      <c r="T1011">
        <v>250</v>
      </c>
      <c r="U1011">
        <v>190</v>
      </c>
      <c r="V1011" t="s">
        <v>42</v>
      </c>
      <c r="W1011" t="s">
        <v>116</v>
      </c>
      <c r="X1011" t="s">
        <v>116</v>
      </c>
      <c r="Y1011" t="s">
        <v>117</v>
      </c>
      <c r="AF1011" t="s">
        <v>13</v>
      </c>
      <c r="AG1011" t="str">
        <f>HYPERLINK("https://doi.org/10.1515/9780748691975")</f>
        <v>https://doi.org/10.1515/9780748691975</v>
      </c>
      <c r="AH1011" t="str">
        <f>HYPERLINK("http://www.degruyter.com/isbn/9780748691975")</f>
        <v>http://www.degruyter.com/isbn/9780748691975</v>
      </c>
      <c r="AI1011" t="s">
        <v>34</v>
      </c>
      <c r="AL1011" t="s">
        <v>47</v>
      </c>
      <c r="AM1011">
        <v>1</v>
      </c>
      <c r="AN1011" s="2">
        <v>9780748639496</v>
      </c>
    </row>
    <row r="1012" spans="1:40" x14ac:dyDescent="0.3">
      <c r="A1012" t="s">
        <v>5076</v>
      </c>
      <c r="B1012" t="s">
        <v>1</v>
      </c>
      <c r="C1012" t="s">
        <v>5077</v>
      </c>
      <c r="D1012" t="s">
        <v>5078</v>
      </c>
      <c r="E1012" t="s">
        <v>5079</v>
      </c>
      <c r="F1012" t="s">
        <v>5</v>
      </c>
      <c r="G1012" t="s">
        <v>6</v>
      </c>
      <c r="L1012" t="s">
        <v>7</v>
      </c>
      <c r="M1012">
        <v>2008</v>
      </c>
      <c r="N1012" s="1">
        <v>39588</v>
      </c>
      <c r="O1012" t="s">
        <v>5080</v>
      </c>
      <c r="P1012">
        <v>1</v>
      </c>
      <c r="S1012">
        <v>217.95</v>
      </c>
      <c r="T1012">
        <v>250</v>
      </c>
      <c r="U1012">
        <v>190</v>
      </c>
      <c r="V1012" t="s">
        <v>58</v>
      </c>
      <c r="W1012" t="s">
        <v>59</v>
      </c>
      <c r="X1012" t="s">
        <v>60</v>
      </c>
      <c r="Y1012" t="s">
        <v>169</v>
      </c>
      <c r="AF1012" t="s">
        <v>13</v>
      </c>
      <c r="AG1012" t="str">
        <f>HYPERLINK("https://doi.org/10.1515/9780748630226?locatt=mode:legacy")</f>
        <v>https://doi.org/10.1515/9780748630226?locatt=mode:legacy</v>
      </c>
      <c r="AH1012" t="str">
        <f>HYPERLINK("http://www.degruyter.com/isbn/9780748630226")</f>
        <v>http://www.degruyter.com/isbn/9780748630226</v>
      </c>
      <c r="AI1012" t="s">
        <v>68</v>
      </c>
      <c r="AL1012" t="s">
        <v>62</v>
      </c>
      <c r="AM1012">
        <v>1</v>
      </c>
      <c r="AN1012" s="2">
        <v>9780748623860</v>
      </c>
    </row>
    <row r="1013" spans="1:40" x14ac:dyDescent="0.3">
      <c r="A1013" t="s">
        <v>5081</v>
      </c>
      <c r="B1013" t="s">
        <v>1</v>
      </c>
      <c r="C1013" t="s">
        <v>5082</v>
      </c>
      <c r="E1013" t="s">
        <v>5083</v>
      </c>
      <c r="F1013" t="s">
        <v>5</v>
      </c>
      <c r="G1013" t="s">
        <v>6</v>
      </c>
      <c r="L1013" t="s">
        <v>7</v>
      </c>
      <c r="M1013">
        <v>2001</v>
      </c>
      <c r="N1013" s="1">
        <v>37039</v>
      </c>
      <c r="O1013" t="s">
        <v>5084</v>
      </c>
      <c r="P1013">
        <v>1</v>
      </c>
      <c r="S1013">
        <v>279.95</v>
      </c>
      <c r="T1013">
        <v>320</v>
      </c>
      <c r="U1013">
        <v>240</v>
      </c>
      <c r="V1013" t="s">
        <v>79</v>
      </c>
      <c r="W1013" t="s">
        <v>209</v>
      </c>
      <c r="X1013" t="s">
        <v>209</v>
      </c>
      <c r="Y1013" t="s">
        <v>510</v>
      </c>
      <c r="AF1013" t="s">
        <v>13</v>
      </c>
      <c r="AG1013" t="str">
        <f>HYPERLINK("https://doi.org/10.1515/9781474470384")</f>
        <v>https://doi.org/10.1515/9781474470384</v>
      </c>
      <c r="AH1013" t="str">
        <f>HYPERLINK("http://www.degruyter.com/isbn/9781474470384")</f>
        <v>http://www.degruyter.com/isbn/9781474470384</v>
      </c>
      <c r="AI1013" t="s">
        <v>68</v>
      </c>
      <c r="AL1013" t="s">
        <v>83</v>
      </c>
      <c r="AM1013">
        <v>1</v>
      </c>
      <c r="AN1013" s="2">
        <v>9780748614394</v>
      </c>
    </row>
    <row r="1014" spans="1:40" x14ac:dyDescent="0.3">
      <c r="A1014" t="s">
        <v>5085</v>
      </c>
      <c r="B1014" t="s">
        <v>1</v>
      </c>
      <c r="C1014" t="s">
        <v>5086</v>
      </c>
      <c r="D1014" t="s">
        <v>5087</v>
      </c>
      <c r="E1014" t="s">
        <v>5088</v>
      </c>
      <c r="F1014" t="s">
        <v>5</v>
      </c>
      <c r="G1014" t="s">
        <v>6</v>
      </c>
      <c r="L1014" t="s">
        <v>7</v>
      </c>
      <c r="M1014">
        <v>2009</v>
      </c>
      <c r="N1014" s="1">
        <v>39964</v>
      </c>
      <c r="O1014" t="s">
        <v>5089</v>
      </c>
      <c r="P1014">
        <v>1</v>
      </c>
      <c r="S1014">
        <v>217.95</v>
      </c>
      <c r="T1014">
        <v>250</v>
      </c>
      <c r="U1014">
        <v>190</v>
      </c>
      <c r="V1014" t="s">
        <v>89</v>
      </c>
      <c r="W1014" t="s">
        <v>90</v>
      </c>
      <c r="X1014" t="s">
        <v>91</v>
      </c>
      <c r="Y1014" t="s">
        <v>1914</v>
      </c>
      <c r="AF1014" t="s">
        <v>13</v>
      </c>
      <c r="AG1014" t="str">
        <f>HYPERLINK("https://doi.org/10.1515/9780748630776")</f>
        <v>https://doi.org/10.1515/9780748630776</v>
      </c>
      <c r="AH1014" t="str">
        <f>HYPERLINK("http://www.degruyter.com/isbn/9780748630776")</f>
        <v>http://www.degruyter.com/isbn/9780748630776</v>
      </c>
      <c r="AI1014" t="s">
        <v>68</v>
      </c>
      <c r="AL1014" t="s">
        <v>83</v>
      </c>
      <c r="AM1014">
        <v>1</v>
      </c>
      <c r="AN1014" s="2">
        <v>9780748625123</v>
      </c>
    </row>
    <row r="1015" spans="1:40" x14ac:dyDescent="0.3">
      <c r="A1015" t="s">
        <v>5090</v>
      </c>
      <c r="B1015" t="s">
        <v>1</v>
      </c>
      <c r="C1015" t="s">
        <v>5091</v>
      </c>
      <c r="D1015" t="s">
        <v>5092</v>
      </c>
      <c r="E1015" t="s">
        <v>5093</v>
      </c>
      <c r="F1015" t="s">
        <v>5</v>
      </c>
      <c r="G1015" t="s">
        <v>6</v>
      </c>
      <c r="L1015" t="s">
        <v>7</v>
      </c>
      <c r="M1015">
        <v>2017</v>
      </c>
      <c r="N1015" s="1">
        <v>43086</v>
      </c>
      <c r="O1015" t="s">
        <v>5094</v>
      </c>
      <c r="P1015">
        <v>1</v>
      </c>
      <c r="S1015">
        <v>227.95</v>
      </c>
      <c r="T1015">
        <v>260</v>
      </c>
      <c r="U1015">
        <v>200</v>
      </c>
      <c r="V1015" t="s">
        <v>58</v>
      </c>
      <c r="W1015" t="s">
        <v>59</v>
      </c>
      <c r="X1015" t="s">
        <v>3771</v>
      </c>
      <c r="Y1015" t="s">
        <v>3772</v>
      </c>
      <c r="AF1015" t="s">
        <v>13</v>
      </c>
      <c r="AG1015" t="str">
        <f>HYPERLINK("https://doi.org/10.1515/9781474420556?locatt=mode:legacy")</f>
        <v>https://doi.org/10.1515/9781474420556?locatt=mode:legacy</v>
      </c>
      <c r="AH1015" t="str">
        <f>HYPERLINK("http://www.degruyter.com/isbn/9781474420556")</f>
        <v>http://www.degruyter.com/isbn/9781474420556</v>
      </c>
      <c r="AI1015" t="s">
        <v>222</v>
      </c>
      <c r="AL1015" t="s">
        <v>62</v>
      </c>
      <c r="AM1015">
        <v>1</v>
      </c>
      <c r="AN1015" s="2">
        <v>9781474420549</v>
      </c>
    </row>
    <row r="1016" spans="1:40" x14ac:dyDescent="0.3">
      <c r="A1016" t="s">
        <v>5095</v>
      </c>
      <c r="B1016" t="s">
        <v>1</v>
      </c>
      <c r="C1016" t="s">
        <v>5096</v>
      </c>
      <c r="E1016" t="s">
        <v>5097</v>
      </c>
      <c r="F1016" t="s">
        <v>5</v>
      </c>
      <c r="G1016" t="s">
        <v>6</v>
      </c>
      <c r="L1016" t="s">
        <v>7</v>
      </c>
      <c r="M1016">
        <v>1998</v>
      </c>
      <c r="N1016" s="1">
        <v>44592</v>
      </c>
      <c r="O1016" t="s">
        <v>5098</v>
      </c>
      <c r="P1016">
        <v>1</v>
      </c>
      <c r="S1016">
        <v>243.95</v>
      </c>
      <c r="T1016">
        <v>280</v>
      </c>
      <c r="U1016">
        <v>210</v>
      </c>
      <c r="V1016" t="s">
        <v>305</v>
      </c>
      <c r="W1016" t="s">
        <v>306</v>
      </c>
      <c r="X1016" t="s">
        <v>306</v>
      </c>
      <c r="Y1016" t="s">
        <v>5099</v>
      </c>
      <c r="AF1016" t="s">
        <v>13</v>
      </c>
      <c r="AG1016" t="str">
        <f>HYPERLINK("https://doi.org/10.1515/9781474464482")</f>
        <v>https://doi.org/10.1515/9781474464482</v>
      </c>
      <c r="AH1016" t="str">
        <f>HYPERLINK("http://www.degruyter.com/isbn/9781474464482")</f>
        <v>http://www.degruyter.com/isbn/9781474464482</v>
      </c>
      <c r="AI1016" t="s">
        <v>24</v>
      </c>
      <c r="AL1016" t="s">
        <v>308</v>
      </c>
      <c r="AM1016">
        <v>1</v>
      </c>
      <c r="AN1016" s="2">
        <v>9780748609031</v>
      </c>
    </row>
    <row r="1017" spans="1:40" x14ac:dyDescent="0.3">
      <c r="A1017" t="s">
        <v>5100</v>
      </c>
      <c r="B1017" t="s">
        <v>1</v>
      </c>
      <c r="C1017" t="s">
        <v>5101</v>
      </c>
      <c r="E1017" t="s">
        <v>5102</v>
      </c>
      <c r="F1017" t="s">
        <v>5</v>
      </c>
      <c r="G1017" t="s">
        <v>6</v>
      </c>
      <c r="L1017" t="s">
        <v>7</v>
      </c>
      <c r="M1017">
        <v>2019</v>
      </c>
      <c r="N1017" s="1">
        <v>44656</v>
      </c>
      <c r="O1017" t="s">
        <v>5103</v>
      </c>
      <c r="P1017">
        <v>1</v>
      </c>
      <c r="S1017">
        <v>227.95</v>
      </c>
      <c r="T1017">
        <v>260</v>
      </c>
      <c r="U1017">
        <v>200</v>
      </c>
      <c r="V1017" t="s">
        <v>42</v>
      </c>
      <c r="W1017" t="s">
        <v>290</v>
      </c>
      <c r="X1017" t="s">
        <v>290</v>
      </c>
      <c r="Y1017" t="s">
        <v>515</v>
      </c>
      <c r="AF1017" t="s">
        <v>13</v>
      </c>
      <c r="AG1017" t="str">
        <f>HYPERLINK("https://doi.org/10.1515/9781474436212")</f>
        <v>https://doi.org/10.1515/9781474436212</v>
      </c>
      <c r="AH1017" t="str">
        <f>HYPERLINK("http://www.degruyter.com/isbn/9781474436212")</f>
        <v>http://www.degruyter.com/isbn/9781474436212</v>
      </c>
      <c r="AI1017" t="s">
        <v>280</v>
      </c>
      <c r="AL1017" t="s">
        <v>47</v>
      </c>
      <c r="AM1017">
        <v>1</v>
      </c>
      <c r="AN1017" s="2">
        <v>9781474436199</v>
      </c>
    </row>
    <row r="1018" spans="1:40" x14ac:dyDescent="0.3">
      <c r="A1018" t="s">
        <v>5104</v>
      </c>
      <c r="B1018" t="s">
        <v>1</v>
      </c>
      <c r="C1018" t="s">
        <v>5105</v>
      </c>
      <c r="D1018" t="s">
        <v>5106</v>
      </c>
      <c r="E1018" t="s">
        <v>5107</v>
      </c>
      <c r="F1018" t="s">
        <v>5</v>
      </c>
      <c r="G1018" t="s">
        <v>6</v>
      </c>
      <c r="L1018" t="s">
        <v>7</v>
      </c>
      <c r="M1018">
        <v>2003</v>
      </c>
      <c r="N1018" s="1">
        <v>44607</v>
      </c>
      <c r="O1018" t="s">
        <v>5108</v>
      </c>
      <c r="P1018">
        <v>1</v>
      </c>
      <c r="S1018">
        <v>217.95</v>
      </c>
      <c r="T1018">
        <v>250</v>
      </c>
      <c r="U1018">
        <v>190</v>
      </c>
      <c r="V1018" t="s">
        <v>58</v>
      </c>
      <c r="W1018" t="s">
        <v>59</v>
      </c>
      <c r="X1018" t="s">
        <v>60</v>
      </c>
      <c r="Y1018" t="s">
        <v>169</v>
      </c>
      <c r="AF1018" t="s">
        <v>13</v>
      </c>
      <c r="AG1018" t="str">
        <f>HYPERLINK("https://doi.org/10.1515/9781474464260")</f>
        <v>https://doi.org/10.1515/9781474464260</v>
      </c>
      <c r="AH1018" t="str">
        <f>HYPERLINK("http://www.degruyter.com/isbn/9781474464260")</f>
        <v>http://www.degruyter.com/isbn/9781474464260</v>
      </c>
      <c r="AI1018" t="s">
        <v>68</v>
      </c>
      <c r="AL1018" t="s">
        <v>62</v>
      </c>
      <c r="AM1018">
        <v>1</v>
      </c>
      <c r="AN1018" s="2">
        <v>9780748615612</v>
      </c>
    </row>
    <row r="1019" spans="1:40" x14ac:dyDescent="0.3">
      <c r="A1019" t="s">
        <v>5109</v>
      </c>
      <c r="B1019" t="s">
        <v>1</v>
      </c>
      <c r="C1019" t="s">
        <v>5110</v>
      </c>
      <c r="D1019" t="s">
        <v>5111</v>
      </c>
      <c r="E1019" t="s">
        <v>5112</v>
      </c>
      <c r="F1019" t="s">
        <v>5</v>
      </c>
      <c r="G1019" t="s">
        <v>6</v>
      </c>
      <c r="L1019" t="s">
        <v>7</v>
      </c>
      <c r="M1019">
        <v>2014</v>
      </c>
      <c r="N1019" s="1">
        <v>41653</v>
      </c>
      <c r="O1019" t="s">
        <v>739</v>
      </c>
      <c r="P1019">
        <v>1</v>
      </c>
      <c r="S1019">
        <v>217.95</v>
      </c>
      <c r="T1019">
        <v>250</v>
      </c>
      <c r="U1019">
        <v>190</v>
      </c>
      <c r="V1019" t="s">
        <v>20</v>
      </c>
      <c r="W1019" t="s">
        <v>21</v>
      </c>
      <c r="X1019" t="s">
        <v>22</v>
      </c>
      <c r="Y1019" t="s">
        <v>23</v>
      </c>
      <c r="AF1019" t="s">
        <v>13</v>
      </c>
      <c r="AG1019" t="str">
        <f>HYPERLINK("https://doi.org/10.1515/9780748685851")</f>
        <v>https://doi.org/10.1515/9780748685851</v>
      </c>
      <c r="AH1019" t="str">
        <f>HYPERLINK("http://www.degruyter.com/isbn/9780748685851")</f>
        <v>http://www.degruyter.com/isbn/9780748685851</v>
      </c>
      <c r="AI1019" t="s">
        <v>34</v>
      </c>
      <c r="AJ1019" t="s">
        <v>35</v>
      </c>
      <c r="AL1019" t="s">
        <v>1346</v>
      </c>
      <c r="AM1019">
        <v>1</v>
      </c>
      <c r="AN1019" s="2">
        <v>9780748685837</v>
      </c>
    </row>
    <row r="1020" spans="1:40" x14ac:dyDescent="0.3">
      <c r="A1020" t="s">
        <v>5113</v>
      </c>
      <c r="B1020" t="s">
        <v>1</v>
      </c>
      <c r="C1020" t="s">
        <v>5114</v>
      </c>
      <c r="E1020" t="s">
        <v>5115</v>
      </c>
      <c r="F1020" t="s">
        <v>5</v>
      </c>
      <c r="G1020" t="s">
        <v>6</v>
      </c>
      <c r="L1020" t="s">
        <v>7</v>
      </c>
      <c r="M1020">
        <v>1994</v>
      </c>
      <c r="N1020" s="1">
        <v>44607</v>
      </c>
      <c r="O1020" t="s">
        <v>5116</v>
      </c>
      <c r="P1020">
        <v>1</v>
      </c>
      <c r="S1020">
        <v>217.95</v>
      </c>
      <c r="T1020">
        <v>250</v>
      </c>
      <c r="U1020">
        <v>190</v>
      </c>
      <c r="V1020" t="s">
        <v>79</v>
      </c>
      <c r="W1020" t="s">
        <v>209</v>
      </c>
      <c r="X1020" t="s">
        <v>209</v>
      </c>
      <c r="Y1020" t="s">
        <v>510</v>
      </c>
      <c r="AF1020" t="s">
        <v>13</v>
      </c>
      <c r="AG1020" t="str">
        <f>HYPERLINK("https://doi.org/10.1515/9781474470773")</f>
        <v>https://doi.org/10.1515/9781474470773</v>
      </c>
      <c r="AH1020" t="str">
        <f>HYPERLINK("http://www.degruyter.com/isbn/9781474470773")</f>
        <v>http://www.degruyter.com/isbn/9781474470773</v>
      </c>
      <c r="AI1020" t="s">
        <v>24</v>
      </c>
      <c r="AL1020" t="s">
        <v>83</v>
      </c>
      <c r="AM1020">
        <v>1</v>
      </c>
      <c r="AN1020" s="2">
        <v>9780748604968</v>
      </c>
    </row>
    <row r="1021" spans="1:40" x14ac:dyDescent="0.3">
      <c r="A1021" t="s">
        <v>5117</v>
      </c>
      <c r="B1021" t="s">
        <v>1</v>
      </c>
      <c r="C1021" t="s">
        <v>5118</v>
      </c>
      <c r="E1021" t="s">
        <v>5119</v>
      </c>
      <c r="F1021" t="s">
        <v>5</v>
      </c>
      <c r="G1021" t="s">
        <v>6</v>
      </c>
      <c r="L1021" t="s">
        <v>7</v>
      </c>
      <c r="M1021">
        <v>2013</v>
      </c>
      <c r="N1021" s="1">
        <v>41598</v>
      </c>
      <c r="O1021" t="s">
        <v>5120</v>
      </c>
      <c r="P1021">
        <v>1</v>
      </c>
      <c r="S1021">
        <v>209.95</v>
      </c>
      <c r="T1021">
        <v>240</v>
      </c>
      <c r="U1021">
        <v>180</v>
      </c>
      <c r="V1021" t="s">
        <v>20</v>
      </c>
      <c r="W1021" t="s">
        <v>21</v>
      </c>
      <c r="X1021" t="s">
        <v>575</v>
      </c>
      <c r="Y1021" t="s">
        <v>576</v>
      </c>
      <c r="AF1021" t="s">
        <v>13</v>
      </c>
      <c r="AG1021" t="str">
        <f>HYPERLINK("https://doi.org/10.1515/9780748648948")</f>
        <v>https://doi.org/10.1515/9780748648948</v>
      </c>
      <c r="AH1021" t="str">
        <f>HYPERLINK("http://www.degruyter.com/isbn/9780748648948")</f>
        <v>http://www.degruyter.com/isbn/9780748648948</v>
      </c>
      <c r="AI1021" t="s">
        <v>68</v>
      </c>
      <c r="AL1021" t="s">
        <v>15</v>
      </c>
      <c r="AM1021">
        <v>1</v>
      </c>
      <c r="AN1021" s="2">
        <v>9780748648931</v>
      </c>
    </row>
    <row r="1022" spans="1:40" x14ac:dyDescent="0.3">
      <c r="A1022" t="s">
        <v>5121</v>
      </c>
      <c r="B1022" t="s">
        <v>1</v>
      </c>
      <c r="C1022" t="s">
        <v>5122</v>
      </c>
      <c r="D1022" t="s">
        <v>27</v>
      </c>
      <c r="E1022" t="s">
        <v>5123</v>
      </c>
      <c r="F1022" t="s">
        <v>5</v>
      </c>
      <c r="G1022" t="s">
        <v>6</v>
      </c>
      <c r="L1022" t="s">
        <v>7</v>
      </c>
      <c r="M1022">
        <v>2019</v>
      </c>
      <c r="N1022" s="1">
        <v>44656</v>
      </c>
      <c r="O1022" t="s">
        <v>988</v>
      </c>
      <c r="P1022">
        <v>1</v>
      </c>
      <c r="S1022">
        <v>253.95</v>
      </c>
      <c r="T1022">
        <v>290</v>
      </c>
      <c r="U1022">
        <v>220</v>
      </c>
      <c r="V1022" t="s">
        <v>58</v>
      </c>
      <c r="W1022" t="s">
        <v>59</v>
      </c>
      <c r="X1022" t="s">
        <v>60</v>
      </c>
      <c r="Y1022" t="s">
        <v>1669</v>
      </c>
      <c r="AF1022" t="s">
        <v>13</v>
      </c>
      <c r="AG1022" t="str">
        <f>HYPERLINK("https://doi.org/10.1515/9781474413428")</f>
        <v>https://doi.org/10.1515/9781474413428</v>
      </c>
      <c r="AH1022" t="str">
        <f>HYPERLINK("http://www.degruyter.com/isbn/9781474413428")</f>
        <v>http://www.degruyter.com/isbn/9781474413428</v>
      </c>
      <c r="AI1022" t="s">
        <v>280</v>
      </c>
      <c r="AL1022" t="s">
        <v>62</v>
      </c>
      <c r="AM1022">
        <v>1</v>
      </c>
      <c r="AN1022" s="2">
        <v>9781474413404</v>
      </c>
    </row>
    <row r="1023" spans="1:40" x14ac:dyDescent="0.3">
      <c r="A1023" t="s">
        <v>5124</v>
      </c>
      <c r="B1023" t="s">
        <v>1</v>
      </c>
      <c r="C1023" t="s">
        <v>5125</v>
      </c>
      <c r="D1023" t="s">
        <v>5126</v>
      </c>
      <c r="E1023" t="s">
        <v>5127</v>
      </c>
      <c r="F1023" t="s">
        <v>5</v>
      </c>
      <c r="G1023" t="s">
        <v>6</v>
      </c>
      <c r="L1023" t="s">
        <v>7</v>
      </c>
      <c r="M1023">
        <v>2015</v>
      </c>
      <c r="N1023" s="1">
        <v>42157</v>
      </c>
      <c r="O1023" t="s">
        <v>5128</v>
      </c>
      <c r="P1023">
        <v>1</v>
      </c>
      <c r="S1023">
        <v>217.95</v>
      </c>
      <c r="T1023">
        <v>250</v>
      </c>
      <c r="U1023">
        <v>190</v>
      </c>
      <c r="V1023" t="s">
        <v>42</v>
      </c>
      <c r="W1023" t="s">
        <v>116</v>
      </c>
      <c r="X1023" t="s">
        <v>116</v>
      </c>
      <c r="Y1023" t="s">
        <v>117</v>
      </c>
      <c r="AF1023" t="s">
        <v>13</v>
      </c>
      <c r="AG1023" t="str">
        <f>HYPERLINK("https://doi.org/10.1515/9780748694273?locatt=mode:legacy")</f>
        <v>https://doi.org/10.1515/9780748694273?locatt=mode:legacy</v>
      </c>
      <c r="AH1023" t="str">
        <f>HYPERLINK("http://www.degruyter.com/isbn/9780748694273")</f>
        <v>http://www.degruyter.com/isbn/9780748694273</v>
      </c>
      <c r="AI1023" t="s">
        <v>34</v>
      </c>
      <c r="AL1023" t="s">
        <v>47</v>
      </c>
      <c r="AM1023">
        <v>1</v>
      </c>
      <c r="AN1023" s="2">
        <v>9780748694266</v>
      </c>
    </row>
    <row r="1024" spans="1:40" x14ac:dyDescent="0.3">
      <c r="A1024" t="s">
        <v>5129</v>
      </c>
      <c r="B1024" t="s">
        <v>1</v>
      </c>
      <c r="C1024" t="s">
        <v>5130</v>
      </c>
      <c r="D1024" t="s">
        <v>5131</v>
      </c>
      <c r="E1024" t="s">
        <v>5132</v>
      </c>
      <c r="F1024" t="s">
        <v>5</v>
      </c>
      <c r="G1024" t="s">
        <v>6</v>
      </c>
      <c r="L1024" t="s">
        <v>7</v>
      </c>
      <c r="M1024">
        <v>2018</v>
      </c>
      <c r="N1024" s="1">
        <v>44656</v>
      </c>
      <c r="O1024" t="s">
        <v>5133</v>
      </c>
      <c r="P1024">
        <v>1</v>
      </c>
      <c r="S1024">
        <v>227.95</v>
      </c>
      <c r="T1024">
        <v>260</v>
      </c>
      <c r="U1024">
        <v>200</v>
      </c>
      <c r="V1024" t="s">
        <v>9</v>
      </c>
      <c r="W1024" t="s">
        <v>10</v>
      </c>
      <c r="X1024" t="s">
        <v>11</v>
      </c>
      <c r="Y1024" t="s">
        <v>52</v>
      </c>
      <c r="AF1024" t="s">
        <v>13</v>
      </c>
      <c r="AG1024" t="str">
        <f>HYPERLINK("https://doi.org/10.1515/9781474429030")</f>
        <v>https://doi.org/10.1515/9781474429030</v>
      </c>
      <c r="AH1024" t="str">
        <f>HYPERLINK("http://www.degruyter.com/isbn/9781474429030")</f>
        <v>http://www.degruyter.com/isbn/9781474429030</v>
      </c>
      <c r="AI1024" t="s">
        <v>46</v>
      </c>
      <c r="AL1024" t="s">
        <v>15</v>
      </c>
      <c r="AM1024">
        <v>1</v>
      </c>
      <c r="AN1024" s="2">
        <v>9781474429016</v>
      </c>
    </row>
    <row r="1025" spans="1:40" x14ac:dyDescent="0.3">
      <c r="A1025" t="s">
        <v>5134</v>
      </c>
      <c r="B1025" t="s">
        <v>1</v>
      </c>
      <c r="C1025" t="s">
        <v>5135</v>
      </c>
      <c r="D1025" t="s">
        <v>5136</v>
      </c>
      <c r="E1025" t="s">
        <v>5137</v>
      </c>
      <c r="F1025" t="s">
        <v>5</v>
      </c>
      <c r="G1025" t="s">
        <v>6</v>
      </c>
      <c r="L1025" t="s">
        <v>7</v>
      </c>
      <c r="M1025">
        <v>1999</v>
      </c>
      <c r="N1025" s="1">
        <v>44607</v>
      </c>
      <c r="O1025" t="s">
        <v>5138</v>
      </c>
      <c r="P1025">
        <v>1</v>
      </c>
      <c r="S1025">
        <v>217.95</v>
      </c>
      <c r="T1025">
        <v>250</v>
      </c>
      <c r="U1025">
        <v>190</v>
      </c>
      <c r="V1025" t="s">
        <v>9</v>
      </c>
      <c r="W1025" t="s">
        <v>10</v>
      </c>
      <c r="X1025" t="s">
        <v>11</v>
      </c>
      <c r="Y1025" t="s">
        <v>12</v>
      </c>
      <c r="AF1025" t="s">
        <v>13</v>
      </c>
      <c r="AG1025" t="str">
        <f>HYPERLINK("https://doi.org/10.1515/9781474471527")</f>
        <v>https://doi.org/10.1515/9781474471527</v>
      </c>
      <c r="AH1025" t="str">
        <f>HYPERLINK("http://www.degruyter.com/isbn/9781474471527")</f>
        <v>http://www.degruyter.com/isbn/9781474471527</v>
      </c>
      <c r="AI1025" t="s">
        <v>5139</v>
      </c>
      <c r="AL1025" t="s">
        <v>15</v>
      </c>
      <c r="AM1025">
        <v>1</v>
      </c>
      <c r="AN1025" s="2">
        <v>9780748610990</v>
      </c>
    </row>
    <row r="1026" spans="1:40" x14ac:dyDescent="0.3">
      <c r="A1026" t="s">
        <v>5140</v>
      </c>
      <c r="B1026" t="s">
        <v>1</v>
      </c>
      <c r="C1026" t="s">
        <v>5141</v>
      </c>
      <c r="D1026" t="s">
        <v>5142</v>
      </c>
      <c r="E1026" t="s">
        <v>5143</v>
      </c>
      <c r="F1026" t="s">
        <v>5</v>
      </c>
      <c r="G1026" t="s">
        <v>6</v>
      </c>
      <c r="L1026" t="s">
        <v>7</v>
      </c>
      <c r="M1026">
        <v>2016</v>
      </c>
      <c r="N1026" s="1">
        <v>42640</v>
      </c>
      <c r="O1026" t="s">
        <v>5144</v>
      </c>
      <c r="P1026">
        <v>1</v>
      </c>
      <c r="S1026">
        <v>217.95</v>
      </c>
      <c r="T1026">
        <v>250</v>
      </c>
      <c r="U1026">
        <v>190</v>
      </c>
      <c r="V1026" t="s">
        <v>42</v>
      </c>
      <c r="W1026" t="s">
        <v>43</v>
      </c>
      <c r="X1026" t="s">
        <v>44</v>
      </c>
      <c r="Y1026" t="s">
        <v>45</v>
      </c>
      <c r="AF1026" t="s">
        <v>13</v>
      </c>
      <c r="AG1026" t="str">
        <f>HYPERLINK("https://doi.org/10.1515/9780748694921")</f>
        <v>https://doi.org/10.1515/9780748694921</v>
      </c>
      <c r="AH1026" t="str">
        <f>HYPERLINK("http://www.degruyter.com/isbn/9780748694921")</f>
        <v>http://www.degruyter.com/isbn/9780748694921</v>
      </c>
      <c r="AI1026" t="s">
        <v>180</v>
      </c>
      <c r="AJ1026" t="s">
        <v>35</v>
      </c>
      <c r="AL1026" t="s">
        <v>520</v>
      </c>
      <c r="AM1026">
        <v>1</v>
      </c>
      <c r="AN1026" s="2">
        <v>9780748694907</v>
      </c>
    </row>
    <row r="1027" spans="1:40" x14ac:dyDescent="0.3">
      <c r="A1027" t="s">
        <v>5145</v>
      </c>
      <c r="B1027" t="s">
        <v>1</v>
      </c>
      <c r="C1027" t="s">
        <v>5146</v>
      </c>
      <c r="D1027" t="s">
        <v>5147</v>
      </c>
      <c r="E1027" t="s">
        <v>5148</v>
      </c>
      <c r="F1027" t="s">
        <v>5</v>
      </c>
      <c r="G1027" t="s">
        <v>6</v>
      </c>
      <c r="K1027" t="s">
        <v>929</v>
      </c>
      <c r="L1027" t="s">
        <v>7</v>
      </c>
      <c r="M1027">
        <v>2021</v>
      </c>
      <c r="N1027" s="1">
        <v>44242</v>
      </c>
      <c r="O1027" t="s">
        <v>1170</v>
      </c>
      <c r="P1027">
        <v>1</v>
      </c>
      <c r="V1027" t="s">
        <v>58</v>
      </c>
      <c r="W1027" t="s">
        <v>59</v>
      </c>
      <c r="X1027" t="s">
        <v>60</v>
      </c>
      <c r="Y1027" t="s">
        <v>5149</v>
      </c>
      <c r="AF1027" t="s">
        <v>13</v>
      </c>
      <c r="AG1027" t="str">
        <f>HYPERLINK("https://doi.org/10.1515/9781474438230")</f>
        <v>https://doi.org/10.1515/9781474438230</v>
      </c>
      <c r="AH1027" t="str">
        <f>HYPERLINK("http://www.degruyter.com/isbn/9781474438230")</f>
        <v>http://www.degruyter.com/isbn/9781474438230</v>
      </c>
      <c r="AI1027" t="s">
        <v>5150</v>
      </c>
      <c r="AM1027">
        <v>1</v>
      </c>
      <c r="AN1027" s="2"/>
    </row>
    <row r="1028" spans="1:40" x14ac:dyDescent="0.3">
      <c r="A1028" t="s">
        <v>5151</v>
      </c>
      <c r="B1028" t="s">
        <v>1</v>
      </c>
      <c r="C1028" t="s">
        <v>5152</v>
      </c>
      <c r="E1028" t="s">
        <v>5153</v>
      </c>
      <c r="F1028" t="s">
        <v>5</v>
      </c>
      <c r="G1028" t="s">
        <v>6</v>
      </c>
      <c r="L1028" t="s">
        <v>7</v>
      </c>
      <c r="M1028">
        <v>2010</v>
      </c>
      <c r="N1028" s="1">
        <v>44634</v>
      </c>
      <c r="O1028" t="s">
        <v>5154</v>
      </c>
      <c r="P1028">
        <v>1</v>
      </c>
      <c r="S1028">
        <v>217.95</v>
      </c>
      <c r="T1028">
        <v>250</v>
      </c>
      <c r="U1028">
        <v>190</v>
      </c>
      <c r="V1028" t="s">
        <v>329</v>
      </c>
      <c r="W1028" t="s">
        <v>330</v>
      </c>
      <c r="X1028" t="s">
        <v>331</v>
      </c>
      <c r="Y1028" t="s">
        <v>332</v>
      </c>
      <c r="AF1028" t="s">
        <v>13</v>
      </c>
      <c r="AG1028" t="str">
        <f>HYPERLINK("https://doi.org/10.1515/9780748627141")</f>
        <v>https://doi.org/10.1515/9780748627141</v>
      </c>
      <c r="AH1028" t="str">
        <f>HYPERLINK("http://www.degruyter.com/isbn/9780748627141")</f>
        <v>http://www.degruyter.com/isbn/9780748627141</v>
      </c>
      <c r="AI1028" t="s">
        <v>68</v>
      </c>
      <c r="AL1028" t="s">
        <v>333</v>
      </c>
      <c r="AM1028">
        <v>1</v>
      </c>
      <c r="AN1028" s="2">
        <v>9780748616305</v>
      </c>
    </row>
    <row r="1029" spans="1:40" x14ac:dyDescent="0.3">
      <c r="A1029" t="s">
        <v>5155</v>
      </c>
      <c r="B1029" t="s">
        <v>1</v>
      </c>
      <c r="C1029" t="s">
        <v>5156</v>
      </c>
      <c r="E1029" t="s">
        <v>5157</v>
      </c>
      <c r="F1029" t="s">
        <v>5</v>
      </c>
      <c r="G1029" t="s">
        <v>6</v>
      </c>
      <c r="L1029" t="s">
        <v>7</v>
      </c>
      <c r="M1029">
        <v>2008</v>
      </c>
      <c r="N1029" s="1">
        <v>39470</v>
      </c>
      <c r="O1029" t="s">
        <v>5158</v>
      </c>
      <c r="P1029">
        <v>1</v>
      </c>
      <c r="S1029">
        <v>253.95</v>
      </c>
      <c r="T1029">
        <v>290</v>
      </c>
      <c r="U1029">
        <v>220</v>
      </c>
      <c r="V1029" t="s">
        <v>79</v>
      </c>
      <c r="W1029" t="s">
        <v>227</v>
      </c>
      <c r="X1029" t="s">
        <v>234</v>
      </c>
      <c r="Y1029" t="s">
        <v>5159</v>
      </c>
      <c r="AF1029" t="s">
        <v>13</v>
      </c>
      <c r="AG1029" t="str">
        <f>HYPERLINK("https://www.degruyter.com/isbn/9780748630912")</f>
        <v>https://www.degruyter.com/isbn/9780748630912</v>
      </c>
      <c r="AH1029" t="str">
        <f>HYPERLINK("http://www.degruyter.com/isbn/9780748630912")</f>
        <v>http://www.degruyter.com/isbn/9780748630912</v>
      </c>
      <c r="AI1029" t="s">
        <v>68</v>
      </c>
      <c r="AL1029" t="s">
        <v>83</v>
      </c>
      <c r="AM1029">
        <v>1</v>
      </c>
      <c r="AN1029" s="2">
        <v>9780748625352</v>
      </c>
    </row>
    <row r="1030" spans="1:40" x14ac:dyDescent="0.3">
      <c r="A1030" t="s">
        <v>5160</v>
      </c>
      <c r="B1030" t="s">
        <v>1</v>
      </c>
      <c r="C1030" t="s">
        <v>5161</v>
      </c>
      <c r="E1030" t="s">
        <v>5162</v>
      </c>
      <c r="F1030" t="s">
        <v>5</v>
      </c>
      <c r="G1030" t="s">
        <v>6</v>
      </c>
      <c r="K1030" t="s">
        <v>929</v>
      </c>
      <c r="L1030" t="s">
        <v>7</v>
      </c>
      <c r="M1030">
        <v>2018</v>
      </c>
      <c r="N1030" s="1">
        <v>43418</v>
      </c>
      <c r="O1030" t="s">
        <v>5163</v>
      </c>
      <c r="P1030">
        <v>1</v>
      </c>
      <c r="V1030" t="s">
        <v>58</v>
      </c>
      <c r="W1030" t="s">
        <v>59</v>
      </c>
      <c r="X1030" t="s">
        <v>931</v>
      </c>
      <c r="Y1030" t="s">
        <v>932</v>
      </c>
      <c r="AF1030" t="s">
        <v>13</v>
      </c>
      <c r="AG1030" t="str">
        <f>HYPERLINK("https://doi.org/10.1515/9781474437493")</f>
        <v>https://doi.org/10.1515/9781474437493</v>
      </c>
      <c r="AH1030" t="str">
        <f>HYPERLINK("http://www.degruyter.com/isbn/9781474437493")</f>
        <v>http://www.degruyter.com/isbn/9781474437493</v>
      </c>
      <c r="AI1030" t="s">
        <v>46</v>
      </c>
      <c r="AM1030">
        <v>1</v>
      </c>
      <c r="AN1030" s="2"/>
    </row>
    <row r="1031" spans="1:40" x14ac:dyDescent="0.3">
      <c r="A1031" t="s">
        <v>5164</v>
      </c>
      <c r="B1031" t="s">
        <v>1</v>
      </c>
      <c r="C1031" t="s">
        <v>5165</v>
      </c>
      <c r="E1031" t="s">
        <v>5166</v>
      </c>
      <c r="F1031" t="s">
        <v>5</v>
      </c>
      <c r="G1031" t="s">
        <v>6</v>
      </c>
      <c r="L1031" t="s">
        <v>7</v>
      </c>
      <c r="M1031">
        <v>2006</v>
      </c>
      <c r="N1031" s="1">
        <v>38789</v>
      </c>
      <c r="O1031" t="s">
        <v>1945</v>
      </c>
      <c r="P1031">
        <v>1</v>
      </c>
      <c r="S1031">
        <v>295.95</v>
      </c>
      <c r="T1031">
        <v>340</v>
      </c>
      <c r="U1031">
        <v>260</v>
      </c>
      <c r="V1031" t="s">
        <v>58</v>
      </c>
      <c r="W1031" t="s">
        <v>59</v>
      </c>
      <c r="X1031" t="s">
        <v>60</v>
      </c>
      <c r="Y1031" t="s">
        <v>169</v>
      </c>
      <c r="AF1031" t="s">
        <v>13</v>
      </c>
      <c r="AG1031" t="str">
        <f>HYPERLINK("https://doi.org/10.1515/9780748626595?locatt=mode:legacy")</f>
        <v>https://doi.org/10.1515/9780748626595?locatt=mode:legacy</v>
      </c>
      <c r="AH1031" t="str">
        <f>HYPERLINK("http://www.degruyter.com/isbn/9780748626595")</f>
        <v>http://www.degruyter.com/isbn/9780748626595</v>
      </c>
      <c r="AI1031" t="s">
        <v>68</v>
      </c>
      <c r="AL1031" t="s">
        <v>62</v>
      </c>
      <c r="AM1031">
        <v>1</v>
      </c>
      <c r="AN1031" s="2">
        <v>9780748622900</v>
      </c>
    </row>
    <row r="1032" spans="1:40" x14ac:dyDescent="0.3">
      <c r="A1032" t="s">
        <v>5167</v>
      </c>
      <c r="B1032" t="s">
        <v>1</v>
      </c>
      <c r="C1032" t="s">
        <v>5168</v>
      </c>
      <c r="D1032" t="s">
        <v>5169</v>
      </c>
      <c r="E1032" t="s">
        <v>5170</v>
      </c>
      <c r="F1032" t="s">
        <v>5</v>
      </c>
      <c r="G1032" t="s">
        <v>6</v>
      </c>
      <c r="L1032" t="s">
        <v>7</v>
      </c>
      <c r="M1032">
        <v>2007</v>
      </c>
      <c r="N1032" s="1">
        <v>39276</v>
      </c>
      <c r="O1032" t="s">
        <v>5171</v>
      </c>
      <c r="P1032">
        <v>1</v>
      </c>
      <c r="S1032">
        <v>339.95</v>
      </c>
      <c r="T1032">
        <v>390</v>
      </c>
      <c r="U1032">
        <v>300</v>
      </c>
      <c r="V1032" t="s">
        <v>98</v>
      </c>
      <c r="W1032" t="s">
        <v>99</v>
      </c>
      <c r="X1032" t="s">
        <v>386</v>
      </c>
      <c r="Y1032" t="s">
        <v>387</v>
      </c>
      <c r="AF1032" t="s">
        <v>13</v>
      </c>
      <c r="AG1032" t="str">
        <f>HYPERLINK("https://doi.org/10.1515/9781474472265")</f>
        <v>https://doi.org/10.1515/9781474472265</v>
      </c>
      <c r="AH1032" t="str">
        <f>HYPERLINK("http://www.degruyter.com/isbn/9781474472265")</f>
        <v>http://www.degruyter.com/isbn/9781474472265</v>
      </c>
      <c r="AI1032" t="s">
        <v>68</v>
      </c>
      <c r="AL1032" t="s">
        <v>102</v>
      </c>
      <c r="AM1032">
        <v>1</v>
      </c>
      <c r="AN1032" s="2">
        <v>9780748627950</v>
      </c>
    </row>
    <row r="1033" spans="1:40" x14ac:dyDescent="0.3">
      <c r="A1033" t="s">
        <v>5172</v>
      </c>
      <c r="B1033" t="s">
        <v>1</v>
      </c>
      <c r="C1033" t="s">
        <v>5173</v>
      </c>
      <c r="D1033" t="s">
        <v>5174</v>
      </c>
      <c r="E1033" t="s">
        <v>5175</v>
      </c>
      <c r="F1033" t="s">
        <v>5</v>
      </c>
      <c r="G1033" t="s">
        <v>6</v>
      </c>
      <c r="L1033" t="s">
        <v>7</v>
      </c>
      <c r="M1033">
        <v>2020</v>
      </c>
      <c r="N1033" s="1">
        <v>44644</v>
      </c>
      <c r="O1033" t="s">
        <v>5176</v>
      </c>
      <c r="P1033">
        <v>1</v>
      </c>
      <c r="S1033">
        <v>243.95</v>
      </c>
      <c r="T1033">
        <v>280</v>
      </c>
      <c r="U1033">
        <v>210</v>
      </c>
      <c r="V1033" t="s">
        <v>98</v>
      </c>
      <c r="W1033" t="s">
        <v>366</v>
      </c>
      <c r="X1033" t="s">
        <v>367</v>
      </c>
      <c r="Y1033" t="s">
        <v>368</v>
      </c>
      <c r="AF1033" t="s">
        <v>13</v>
      </c>
      <c r="AG1033" t="str">
        <f>HYPERLINK("https://doi.org/10.1515/9781474449960")</f>
        <v>https://doi.org/10.1515/9781474449960</v>
      </c>
      <c r="AH1033" t="str">
        <f>HYPERLINK("http://www.degruyter.com/isbn/9781474449960")</f>
        <v>http://www.degruyter.com/isbn/9781474449960</v>
      </c>
      <c r="AI1033" t="s">
        <v>14</v>
      </c>
      <c r="AL1033" t="s">
        <v>102</v>
      </c>
      <c r="AM1033">
        <v>1</v>
      </c>
      <c r="AN1033" s="2">
        <v>9781474449946</v>
      </c>
    </row>
    <row r="1034" spans="1:40" x14ac:dyDescent="0.3">
      <c r="A1034" t="s">
        <v>5177</v>
      </c>
      <c r="B1034" t="s">
        <v>1</v>
      </c>
      <c r="C1034" t="s">
        <v>5178</v>
      </c>
      <c r="D1034" t="s">
        <v>5179</v>
      </c>
      <c r="E1034" t="s">
        <v>5180</v>
      </c>
      <c r="F1034" t="s">
        <v>5</v>
      </c>
      <c r="G1034" t="s">
        <v>6</v>
      </c>
      <c r="L1034" t="s">
        <v>7</v>
      </c>
      <c r="M1034">
        <v>2009</v>
      </c>
      <c r="N1034" s="1">
        <v>40119</v>
      </c>
      <c r="O1034" t="s">
        <v>5181</v>
      </c>
      <c r="P1034">
        <v>1</v>
      </c>
      <c r="S1034">
        <v>217.95</v>
      </c>
      <c r="T1034">
        <v>250</v>
      </c>
      <c r="U1034">
        <v>190</v>
      </c>
      <c r="V1034" t="s">
        <v>79</v>
      </c>
      <c r="W1034" t="s">
        <v>123</v>
      </c>
      <c r="X1034" t="s">
        <v>123</v>
      </c>
      <c r="Y1034" t="s">
        <v>124</v>
      </c>
      <c r="AF1034" t="s">
        <v>13</v>
      </c>
      <c r="AG1034" t="str">
        <f>HYPERLINK("https://doi.org/10.1515/9780748642137?locatt=mode:legacy")</f>
        <v>https://doi.org/10.1515/9780748642137?locatt=mode:legacy</v>
      </c>
      <c r="AH1034" t="str">
        <f>HYPERLINK("http://www.degruyter.com/isbn/9780748642137")</f>
        <v>http://www.degruyter.com/isbn/9780748642137</v>
      </c>
      <c r="AI1034" t="s">
        <v>68</v>
      </c>
      <c r="AL1034" t="s">
        <v>83</v>
      </c>
      <c r="AM1034">
        <v>1</v>
      </c>
      <c r="AN1034" s="2">
        <v>9780748639144</v>
      </c>
    </row>
    <row r="1035" spans="1:40" x14ac:dyDescent="0.3">
      <c r="A1035" t="s">
        <v>5182</v>
      </c>
      <c r="B1035" t="s">
        <v>1</v>
      </c>
      <c r="C1035" t="s">
        <v>5183</v>
      </c>
      <c r="D1035" t="s">
        <v>5184</v>
      </c>
      <c r="E1035" t="s">
        <v>5185</v>
      </c>
      <c r="F1035" t="s">
        <v>5</v>
      </c>
      <c r="G1035" t="s">
        <v>6</v>
      </c>
      <c r="L1035" t="s">
        <v>7</v>
      </c>
      <c r="M1035">
        <v>2013</v>
      </c>
      <c r="N1035" s="1">
        <v>41424</v>
      </c>
      <c r="O1035" t="s">
        <v>5186</v>
      </c>
      <c r="P1035">
        <v>1</v>
      </c>
      <c r="S1035">
        <v>217.95</v>
      </c>
      <c r="T1035">
        <v>250</v>
      </c>
      <c r="U1035">
        <v>190</v>
      </c>
      <c r="V1035" t="s">
        <v>42</v>
      </c>
      <c r="W1035" t="s">
        <v>43</v>
      </c>
      <c r="X1035" t="s">
        <v>44</v>
      </c>
      <c r="Y1035" t="s">
        <v>45</v>
      </c>
      <c r="AF1035" t="s">
        <v>13</v>
      </c>
      <c r="AG1035" t="str">
        <f>HYPERLINK("https://doi.org/10.1515/9780748656356")</f>
        <v>https://doi.org/10.1515/9780748656356</v>
      </c>
      <c r="AH1035" t="str">
        <f>HYPERLINK("http://www.degruyter.com/isbn/9780748656356")</f>
        <v>http://www.degruyter.com/isbn/9780748656356</v>
      </c>
      <c r="AI1035" t="s">
        <v>68</v>
      </c>
      <c r="AL1035" t="s">
        <v>47</v>
      </c>
      <c r="AM1035">
        <v>1</v>
      </c>
      <c r="AN1035" s="2">
        <v>9780748656349</v>
      </c>
    </row>
    <row r="1036" spans="1:40" x14ac:dyDescent="0.3">
      <c r="A1036" t="s">
        <v>5187</v>
      </c>
      <c r="B1036" t="s">
        <v>1</v>
      </c>
      <c r="C1036" t="s">
        <v>5188</v>
      </c>
      <c r="D1036" t="s">
        <v>5189</v>
      </c>
      <c r="E1036" t="s">
        <v>5190</v>
      </c>
      <c r="F1036" t="s">
        <v>5</v>
      </c>
      <c r="G1036" t="s">
        <v>6</v>
      </c>
      <c r="L1036" t="s">
        <v>7</v>
      </c>
      <c r="M1036">
        <v>2010</v>
      </c>
      <c r="N1036" s="1">
        <v>40375</v>
      </c>
      <c r="O1036" t="s">
        <v>5191</v>
      </c>
      <c r="P1036">
        <v>1</v>
      </c>
      <c r="S1036">
        <v>227.95</v>
      </c>
      <c r="T1036">
        <v>260</v>
      </c>
      <c r="U1036">
        <v>200</v>
      </c>
      <c r="V1036" t="s">
        <v>42</v>
      </c>
      <c r="W1036" t="s">
        <v>43</v>
      </c>
      <c r="X1036" t="s">
        <v>178</v>
      </c>
      <c r="Y1036" t="s">
        <v>1745</v>
      </c>
      <c r="AF1036" t="s">
        <v>13</v>
      </c>
      <c r="AG1036" t="str">
        <f>HYPERLINK("https://doi.org/10.1515/9780748642656")</f>
        <v>https://doi.org/10.1515/9780748642656</v>
      </c>
      <c r="AH1036" t="str">
        <f>HYPERLINK("http://www.degruyter.com/isbn/9780748642656")</f>
        <v>http://www.degruyter.com/isbn/9780748642656</v>
      </c>
      <c r="AI1036" t="s">
        <v>68</v>
      </c>
      <c r="AL1036" t="s">
        <v>47</v>
      </c>
      <c r="AM1036">
        <v>1</v>
      </c>
      <c r="AN1036" s="2">
        <v>9780748639502</v>
      </c>
    </row>
    <row r="1037" spans="1:40" x14ac:dyDescent="0.3">
      <c r="A1037" t="s">
        <v>5192</v>
      </c>
      <c r="B1037" t="s">
        <v>1</v>
      </c>
      <c r="C1037" t="s">
        <v>5193</v>
      </c>
      <c r="E1037" t="s">
        <v>5194</v>
      </c>
      <c r="F1037" t="s">
        <v>5</v>
      </c>
      <c r="G1037" t="s">
        <v>6</v>
      </c>
      <c r="L1037" t="s">
        <v>7</v>
      </c>
      <c r="M1037">
        <v>2008</v>
      </c>
      <c r="N1037" s="1">
        <v>39569</v>
      </c>
      <c r="O1037" t="s">
        <v>5195</v>
      </c>
      <c r="P1037">
        <v>1</v>
      </c>
      <c r="S1037">
        <v>209.95</v>
      </c>
      <c r="T1037">
        <v>240</v>
      </c>
      <c r="U1037">
        <v>180</v>
      </c>
      <c r="V1037" t="s">
        <v>305</v>
      </c>
      <c r="W1037" t="s">
        <v>2566</v>
      </c>
      <c r="X1037" t="s">
        <v>2567</v>
      </c>
      <c r="Y1037" t="s">
        <v>2833</v>
      </c>
      <c r="AF1037" t="s">
        <v>13</v>
      </c>
      <c r="AG1037" t="str">
        <f>HYPERLINK("https://doi.org/10.1515/9780748631827?locatt=mode:legacy")</f>
        <v>https://doi.org/10.1515/9780748631827?locatt=mode:legacy</v>
      </c>
      <c r="AH1037" t="str">
        <f>HYPERLINK("http://www.degruyter.com/isbn/9780748631827")</f>
        <v>http://www.degruyter.com/isbn/9780748631827</v>
      </c>
      <c r="AI1037" t="s">
        <v>68</v>
      </c>
      <c r="AL1037" t="s">
        <v>308</v>
      </c>
      <c r="AM1037">
        <v>1</v>
      </c>
      <c r="AN1037" s="2">
        <v>9780748627998</v>
      </c>
    </row>
    <row r="1038" spans="1:40" x14ac:dyDescent="0.3">
      <c r="A1038" t="s">
        <v>5196</v>
      </c>
      <c r="B1038" t="s">
        <v>1</v>
      </c>
      <c r="C1038" t="s">
        <v>5197</v>
      </c>
      <c r="D1038" t="s">
        <v>5198</v>
      </c>
      <c r="E1038" t="s">
        <v>5199</v>
      </c>
      <c r="F1038" t="s">
        <v>5</v>
      </c>
      <c r="G1038" t="s">
        <v>6</v>
      </c>
      <c r="L1038" t="s">
        <v>7</v>
      </c>
      <c r="M1038">
        <v>2016</v>
      </c>
      <c r="N1038" s="1">
        <v>42538</v>
      </c>
      <c r="O1038" t="s">
        <v>5200</v>
      </c>
      <c r="P1038">
        <v>1</v>
      </c>
      <c r="S1038">
        <v>217.95</v>
      </c>
      <c r="T1038">
        <v>250</v>
      </c>
      <c r="U1038">
        <v>190</v>
      </c>
      <c r="V1038" t="s">
        <v>9</v>
      </c>
      <c r="W1038" t="s">
        <v>10</v>
      </c>
      <c r="X1038" t="s">
        <v>11</v>
      </c>
      <c r="Y1038" t="s">
        <v>52</v>
      </c>
      <c r="AF1038" t="s">
        <v>13</v>
      </c>
      <c r="AG1038" t="str">
        <f>HYPERLINK("https://doi.org/10.1515/9780748699209")</f>
        <v>https://doi.org/10.1515/9780748699209</v>
      </c>
      <c r="AH1038" t="str">
        <f>HYPERLINK("http://www.degruyter.com/isbn/9780748699209")</f>
        <v>http://www.degruyter.com/isbn/9780748699209</v>
      </c>
      <c r="AI1038" t="s">
        <v>180</v>
      </c>
      <c r="AJ1038" t="s">
        <v>35</v>
      </c>
      <c r="AL1038" t="s">
        <v>53</v>
      </c>
      <c r="AM1038">
        <v>1</v>
      </c>
      <c r="AN1038" s="2">
        <v>9780748699193</v>
      </c>
    </row>
    <row r="1039" spans="1:40" x14ac:dyDescent="0.3">
      <c r="A1039" t="s">
        <v>5201</v>
      </c>
      <c r="B1039" t="s">
        <v>1</v>
      </c>
      <c r="C1039" t="s">
        <v>5202</v>
      </c>
      <c r="D1039" t="s">
        <v>5203</v>
      </c>
      <c r="E1039" t="s">
        <v>5204</v>
      </c>
      <c r="F1039" t="s">
        <v>5</v>
      </c>
      <c r="G1039" t="s">
        <v>6</v>
      </c>
      <c r="L1039" t="s">
        <v>7</v>
      </c>
      <c r="M1039">
        <v>1994</v>
      </c>
      <c r="N1039" s="1">
        <v>44719</v>
      </c>
      <c r="O1039" t="s">
        <v>5205</v>
      </c>
      <c r="P1039">
        <v>1</v>
      </c>
      <c r="S1039">
        <v>217.95</v>
      </c>
      <c r="T1039">
        <v>250</v>
      </c>
      <c r="U1039">
        <v>190</v>
      </c>
      <c r="V1039" t="s">
        <v>42</v>
      </c>
      <c r="W1039" t="s">
        <v>107</v>
      </c>
      <c r="X1039" t="s">
        <v>108</v>
      </c>
      <c r="Y1039" t="s">
        <v>109</v>
      </c>
      <c r="AF1039" t="s">
        <v>13</v>
      </c>
      <c r="AG1039" t="str">
        <f>HYPERLINK("https://www.degruyter.com/isbn/9781474465816")</f>
        <v>https://www.degruyter.com/isbn/9781474465816</v>
      </c>
      <c r="AH1039" t="str">
        <f>HYPERLINK("http://www.degruyter.com/isbn/9781474465816")</f>
        <v>http://www.degruyter.com/isbn/9781474465816</v>
      </c>
      <c r="AI1039" t="s">
        <v>24</v>
      </c>
      <c r="AL1039" t="s">
        <v>47</v>
      </c>
      <c r="AM1039">
        <v>1</v>
      </c>
      <c r="AN1039" s="2">
        <v>9781853310447</v>
      </c>
    </row>
    <row r="1040" spans="1:40" x14ac:dyDescent="0.3">
      <c r="A1040" t="s">
        <v>5206</v>
      </c>
      <c r="B1040" t="s">
        <v>1</v>
      </c>
      <c r="C1040" t="s">
        <v>5207</v>
      </c>
      <c r="D1040" t="s">
        <v>5208</v>
      </c>
      <c r="E1040" t="s">
        <v>5209</v>
      </c>
      <c r="F1040" t="s">
        <v>5</v>
      </c>
      <c r="G1040" t="s">
        <v>6</v>
      </c>
      <c r="L1040" t="s">
        <v>7</v>
      </c>
      <c r="M1040">
        <v>2018</v>
      </c>
      <c r="N1040" s="1">
        <v>44656</v>
      </c>
      <c r="O1040" t="s">
        <v>5210</v>
      </c>
      <c r="P1040">
        <v>1</v>
      </c>
      <c r="S1040">
        <v>227.95</v>
      </c>
      <c r="T1040">
        <v>260</v>
      </c>
      <c r="U1040">
        <v>200</v>
      </c>
      <c r="V1040" t="s">
        <v>42</v>
      </c>
      <c r="W1040" t="s">
        <v>116</v>
      </c>
      <c r="X1040" t="s">
        <v>116</v>
      </c>
      <c r="Y1040" t="s">
        <v>117</v>
      </c>
      <c r="AF1040" t="s">
        <v>13</v>
      </c>
      <c r="AG1040" t="str">
        <f>HYPERLINK("https://doi.org/10.1515/9781474420969?locatt=mode:legacy")</f>
        <v>https://doi.org/10.1515/9781474420969?locatt=mode:legacy</v>
      </c>
      <c r="AH1040" t="str">
        <f>HYPERLINK("http://www.degruyter.com/isbn/9781474420969")</f>
        <v>http://www.degruyter.com/isbn/9781474420969</v>
      </c>
      <c r="AI1040" t="s">
        <v>46</v>
      </c>
      <c r="AL1040" t="s">
        <v>47</v>
      </c>
      <c r="AM1040">
        <v>1</v>
      </c>
      <c r="AN1040" s="2">
        <v>9781474420952</v>
      </c>
    </row>
    <row r="1041" spans="1:40" x14ac:dyDescent="0.3">
      <c r="A1041" t="s">
        <v>5211</v>
      </c>
      <c r="B1041" t="s">
        <v>1</v>
      </c>
      <c r="C1041" t="s">
        <v>5212</v>
      </c>
      <c r="E1041" t="s">
        <v>5213</v>
      </c>
      <c r="F1041" t="s">
        <v>5</v>
      </c>
      <c r="G1041" t="s">
        <v>6</v>
      </c>
      <c r="L1041" t="s">
        <v>7</v>
      </c>
      <c r="M1041">
        <v>2000</v>
      </c>
      <c r="N1041" s="1">
        <v>44607</v>
      </c>
      <c r="O1041" t="s">
        <v>5214</v>
      </c>
      <c r="P1041">
        <v>1</v>
      </c>
      <c r="S1041">
        <v>217.95</v>
      </c>
      <c r="T1041">
        <v>250</v>
      </c>
      <c r="U1041">
        <v>190</v>
      </c>
      <c r="V1041" t="s">
        <v>58</v>
      </c>
      <c r="W1041" t="s">
        <v>59</v>
      </c>
      <c r="X1041" t="s">
        <v>60</v>
      </c>
      <c r="Y1041" t="s">
        <v>169</v>
      </c>
      <c r="AF1041" t="s">
        <v>13</v>
      </c>
      <c r="AG1041" t="str">
        <f>HYPERLINK("https://doi.org/10.1515/9781474464291")</f>
        <v>https://doi.org/10.1515/9781474464291</v>
      </c>
      <c r="AH1041" t="str">
        <f>HYPERLINK("http://www.degruyter.com/isbn/9781474464291")</f>
        <v>http://www.degruyter.com/isbn/9781474464291</v>
      </c>
      <c r="AI1041" t="s">
        <v>68</v>
      </c>
      <c r="AL1041" t="s">
        <v>62</v>
      </c>
      <c r="AM1041">
        <v>1</v>
      </c>
      <c r="AN1041" s="2">
        <v>9780748609093</v>
      </c>
    </row>
    <row r="1042" spans="1:40" x14ac:dyDescent="0.3">
      <c r="A1042" t="s">
        <v>5215</v>
      </c>
      <c r="B1042" t="s">
        <v>1</v>
      </c>
      <c r="C1042" t="s">
        <v>5216</v>
      </c>
      <c r="E1042" t="s">
        <v>5217</v>
      </c>
      <c r="F1042" t="s">
        <v>5</v>
      </c>
      <c r="G1042" t="s">
        <v>6</v>
      </c>
      <c r="L1042" t="s">
        <v>7</v>
      </c>
      <c r="M1042">
        <v>2017</v>
      </c>
      <c r="N1042" s="1">
        <v>42816</v>
      </c>
      <c r="O1042" t="s">
        <v>5218</v>
      </c>
      <c r="P1042">
        <v>1</v>
      </c>
      <c r="S1042">
        <v>217.95</v>
      </c>
      <c r="T1042">
        <v>250</v>
      </c>
      <c r="U1042">
        <v>190</v>
      </c>
      <c r="V1042" t="s">
        <v>847</v>
      </c>
      <c r="W1042" t="s">
        <v>5219</v>
      </c>
      <c r="X1042" t="s">
        <v>5220</v>
      </c>
      <c r="Y1042" t="s">
        <v>5221</v>
      </c>
      <c r="AF1042" t="s">
        <v>13</v>
      </c>
      <c r="AG1042" t="str">
        <f>HYPERLINK("https://doi.org/10.1515/9781474401258?locatt=mode:legacy")</f>
        <v>https://doi.org/10.1515/9781474401258?locatt=mode:legacy</v>
      </c>
      <c r="AH1042" t="str">
        <f>HYPERLINK("http://www.degruyter.com/isbn/9781474401258")</f>
        <v>http://www.degruyter.com/isbn/9781474401258</v>
      </c>
      <c r="AI1042" t="s">
        <v>222</v>
      </c>
      <c r="AL1042" t="s">
        <v>1070</v>
      </c>
      <c r="AM1042">
        <v>1</v>
      </c>
      <c r="AN1042" s="2">
        <v>9781474401241</v>
      </c>
    </row>
    <row r="1043" spans="1:40" x14ac:dyDescent="0.3">
      <c r="A1043" t="s">
        <v>5222</v>
      </c>
      <c r="B1043" t="s">
        <v>1</v>
      </c>
      <c r="C1043" t="s">
        <v>5223</v>
      </c>
      <c r="D1043" t="s">
        <v>1240</v>
      </c>
      <c r="E1043" t="s">
        <v>5224</v>
      </c>
      <c r="F1043" t="s">
        <v>5</v>
      </c>
      <c r="G1043" t="s">
        <v>6</v>
      </c>
      <c r="L1043" t="s">
        <v>7</v>
      </c>
      <c r="M1043">
        <v>2005</v>
      </c>
      <c r="N1043" s="1">
        <v>38548</v>
      </c>
      <c r="O1043" t="s">
        <v>5225</v>
      </c>
      <c r="P1043">
        <v>1</v>
      </c>
      <c r="S1043">
        <v>305.95</v>
      </c>
      <c r="T1043">
        <v>350</v>
      </c>
      <c r="U1043">
        <v>270</v>
      </c>
      <c r="V1043" t="s">
        <v>20</v>
      </c>
      <c r="W1043" t="s">
        <v>21</v>
      </c>
      <c r="X1043" t="s">
        <v>3445</v>
      </c>
      <c r="Y1043" t="s">
        <v>3932</v>
      </c>
      <c r="AF1043" t="s">
        <v>13</v>
      </c>
      <c r="AG1043" t="str">
        <f>HYPERLINK("https://doi.org/10.1515/9781474471114")</f>
        <v>https://doi.org/10.1515/9781474471114</v>
      </c>
      <c r="AH1043" t="str">
        <f>HYPERLINK("http://www.degruyter.com/isbn/9781474471114")</f>
        <v>http://www.degruyter.com/isbn/9781474471114</v>
      </c>
      <c r="AI1043" t="s">
        <v>68</v>
      </c>
      <c r="AL1043" t="s">
        <v>15</v>
      </c>
      <c r="AM1043">
        <v>1</v>
      </c>
      <c r="AN1043" s="2">
        <v>9780748617951</v>
      </c>
    </row>
    <row r="1044" spans="1:40" x14ac:dyDescent="0.3">
      <c r="A1044" t="s">
        <v>5226</v>
      </c>
      <c r="B1044" t="s">
        <v>1</v>
      </c>
      <c r="C1044" t="s">
        <v>5227</v>
      </c>
      <c r="E1044" t="s">
        <v>5228</v>
      </c>
      <c r="F1044" t="s">
        <v>5</v>
      </c>
      <c r="G1044" t="s">
        <v>6</v>
      </c>
      <c r="L1044" t="s">
        <v>7</v>
      </c>
      <c r="M1044">
        <v>2013</v>
      </c>
      <c r="N1044" s="1">
        <v>41561</v>
      </c>
      <c r="O1044" t="s">
        <v>5229</v>
      </c>
      <c r="P1044">
        <v>1</v>
      </c>
      <c r="S1044">
        <v>217.95</v>
      </c>
      <c r="T1044">
        <v>250</v>
      </c>
      <c r="U1044">
        <v>190</v>
      </c>
      <c r="V1044" t="s">
        <v>42</v>
      </c>
      <c r="W1044" t="s">
        <v>116</v>
      </c>
      <c r="X1044" t="s">
        <v>116</v>
      </c>
      <c r="Y1044" t="s">
        <v>117</v>
      </c>
      <c r="AF1044" t="s">
        <v>13</v>
      </c>
      <c r="AG1044" t="str">
        <f>HYPERLINK("https://doi.org/10.1515/9780748669318")</f>
        <v>https://doi.org/10.1515/9780748669318</v>
      </c>
      <c r="AH1044" t="str">
        <f>HYPERLINK("http://www.degruyter.com/isbn/9780748669318")</f>
        <v>http://www.degruyter.com/isbn/9780748669318</v>
      </c>
      <c r="AI1044" t="s">
        <v>68</v>
      </c>
      <c r="AL1044" t="s">
        <v>47</v>
      </c>
      <c r="AM1044">
        <v>1</v>
      </c>
      <c r="AN1044" s="2">
        <v>9780748669301</v>
      </c>
    </row>
    <row r="1045" spans="1:40" x14ac:dyDescent="0.3">
      <c r="A1045" t="s">
        <v>5230</v>
      </c>
      <c r="B1045" t="s">
        <v>1</v>
      </c>
      <c r="C1045" t="s">
        <v>5231</v>
      </c>
      <c r="D1045" t="s">
        <v>5232</v>
      </c>
      <c r="E1045" t="s">
        <v>5233</v>
      </c>
      <c r="F1045" t="s">
        <v>5</v>
      </c>
      <c r="G1045" t="s">
        <v>6</v>
      </c>
      <c r="L1045" t="s">
        <v>7</v>
      </c>
      <c r="M1045">
        <v>2021</v>
      </c>
      <c r="N1045" s="1">
        <v>44644</v>
      </c>
      <c r="O1045" t="s">
        <v>5234</v>
      </c>
      <c r="P1045">
        <v>1</v>
      </c>
      <c r="S1045">
        <v>217.95</v>
      </c>
      <c r="T1045">
        <v>250</v>
      </c>
      <c r="U1045">
        <v>190</v>
      </c>
      <c r="V1045" t="s">
        <v>20</v>
      </c>
      <c r="W1045" t="s">
        <v>21</v>
      </c>
      <c r="X1045" t="s">
        <v>458</v>
      </c>
      <c r="Y1045" t="s">
        <v>5235</v>
      </c>
      <c r="AF1045" t="s">
        <v>13</v>
      </c>
      <c r="AG1045" t="str">
        <f>HYPERLINK("https://doi.org/10.1515/9781474490276")</f>
        <v>https://doi.org/10.1515/9781474490276</v>
      </c>
      <c r="AH1045" t="str">
        <f>HYPERLINK("http://www.degruyter.com/isbn/9781474490276")</f>
        <v>http://www.degruyter.com/isbn/9781474490276</v>
      </c>
      <c r="AI1045" t="s">
        <v>559</v>
      </c>
      <c r="AJ1045" t="s">
        <v>35</v>
      </c>
      <c r="AL1045" t="s">
        <v>1346</v>
      </c>
      <c r="AM1045">
        <v>1</v>
      </c>
      <c r="AN1045" s="2">
        <v>9781474490245</v>
      </c>
    </row>
    <row r="1046" spans="1:40" x14ac:dyDescent="0.3">
      <c r="A1046" t="s">
        <v>5236</v>
      </c>
      <c r="B1046" t="s">
        <v>1</v>
      </c>
      <c r="C1046" t="s">
        <v>5237</v>
      </c>
      <c r="D1046" t="s">
        <v>1672</v>
      </c>
      <c r="E1046" t="s">
        <v>5238</v>
      </c>
      <c r="F1046" t="s">
        <v>5</v>
      </c>
      <c r="G1046" t="s">
        <v>6</v>
      </c>
      <c r="L1046" t="s">
        <v>7</v>
      </c>
      <c r="M1046">
        <v>2003</v>
      </c>
      <c r="N1046" s="1">
        <v>44607</v>
      </c>
      <c r="O1046" t="s">
        <v>5239</v>
      </c>
      <c r="P1046">
        <v>1</v>
      </c>
      <c r="S1046">
        <v>217.95</v>
      </c>
      <c r="T1046">
        <v>250</v>
      </c>
      <c r="U1046">
        <v>190</v>
      </c>
      <c r="V1046" t="s">
        <v>20</v>
      </c>
      <c r="W1046" t="s">
        <v>21</v>
      </c>
      <c r="X1046" t="s">
        <v>22</v>
      </c>
      <c r="Y1046" t="s">
        <v>23</v>
      </c>
      <c r="AF1046" t="s">
        <v>13</v>
      </c>
      <c r="AG1046" t="str">
        <f>HYPERLINK("https://doi.org/10.1515/9781474471374")</f>
        <v>https://doi.org/10.1515/9781474471374</v>
      </c>
      <c r="AH1046" t="str">
        <f>HYPERLINK("http://www.degruyter.com/isbn/9781474471374")</f>
        <v>http://www.degruyter.com/isbn/9781474471374</v>
      </c>
      <c r="AI1046" t="s">
        <v>68</v>
      </c>
      <c r="AL1046" t="s">
        <v>15</v>
      </c>
      <c r="AM1046">
        <v>1</v>
      </c>
      <c r="AN1046" s="2">
        <v>9780748617821</v>
      </c>
    </row>
    <row r="1047" spans="1:40" x14ac:dyDescent="0.3">
      <c r="A1047" t="s">
        <v>5240</v>
      </c>
      <c r="B1047" t="s">
        <v>1</v>
      </c>
      <c r="C1047" t="s">
        <v>5241</v>
      </c>
      <c r="E1047" t="s">
        <v>5242</v>
      </c>
      <c r="F1047" t="s">
        <v>5</v>
      </c>
      <c r="G1047" t="s">
        <v>6</v>
      </c>
      <c r="L1047" t="s">
        <v>7</v>
      </c>
      <c r="M1047">
        <v>2010</v>
      </c>
      <c r="N1047" s="1">
        <v>40209</v>
      </c>
      <c r="O1047" t="s">
        <v>5243</v>
      </c>
      <c r="P1047">
        <v>1</v>
      </c>
      <c r="S1047">
        <v>279.95</v>
      </c>
      <c r="T1047">
        <v>320</v>
      </c>
      <c r="U1047">
        <v>240</v>
      </c>
      <c r="V1047" t="s">
        <v>98</v>
      </c>
      <c r="W1047" t="s">
        <v>99</v>
      </c>
      <c r="X1047" t="s">
        <v>100</v>
      </c>
      <c r="Y1047" t="s">
        <v>937</v>
      </c>
      <c r="AF1047" t="s">
        <v>13</v>
      </c>
      <c r="AG1047" t="str">
        <f>HYPERLINK("https://doi.org/10.1515/9780748635788")</f>
        <v>https://doi.org/10.1515/9780748635788</v>
      </c>
      <c r="AH1047" t="str">
        <f>HYPERLINK("http://www.degruyter.com/isbn/9780748635788")</f>
        <v>http://www.degruyter.com/isbn/9780748635788</v>
      </c>
      <c r="AI1047" t="s">
        <v>68</v>
      </c>
      <c r="AL1047" t="s">
        <v>102</v>
      </c>
      <c r="AM1047">
        <v>1</v>
      </c>
      <c r="AN1047" s="2">
        <v>9780748635764</v>
      </c>
    </row>
    <row r="1048" spans="1:40" x14ac:dyDescent="0.3">
      <c r="A1048" t="s">
        <v>5244</v>
      </c>
      <c r="B1048" t="s">
        <v>1</v>
      </c>
      <c r="C1048" t="s">
        <v>5245</v>
      </c>
      <c r="E1048" t="s">
        <v>5246</v>
      </c>
      <c r="F1048" t="s">
        <v>5</v>
      </c>
      <c r="G1048" t="s">
        <v>6</v>
      </c>
      <c r="L1048" t="s">
        <v>7</v>
      </c>
      <c r="M1048">
        <v>2013</v>
      </c>
      <c r="N1048" s="1">
        <v>41571</v>
      </c>
      <c r="O1048" t="s">
        <v>5247</v>
      </c>
      <c r="P1048">
        <v>1</v>
      </c>
      <c r="S1048">
        <v>217.95</v>
      </c>
      <c r="T1048">
        <v>250</v>
      </c>
      <c r="U1048">
        <v>190</v>
      </c>
      <c r="V1048" t="s">
        <v>98</v>
      </c>
      <c r="W1048" t="s">
        <v>2283</v>
      </c>
      <c r="X1048" t="s">
        <v>2694</v>
      </c>
      <c r="Y1048" t="s">
        <v>5248</v>
      </c>
      <c r="AF1048" t="s">
        <v>13</v>
      </c>
      <c r="AG1048" t="str">
        <f>HYPERLINK("https://doi.org/10.1515/9780748691012?locatt=mode:legacy")</f>
        <v>https://doi.org/10.1515/9780748691012?locatt=mode:legacy</v>
      </c>
      <c r="AH1048" t="str">
        <f>HYPERLINK("http://www.degruyter.com/isbn/9780748691012")</f>
        <v>http://www.degruyter.com/isbn/9780748691012</v>
      </c>
      <c r="AI1048" t="s">
        <v>68</v>
      </c>
      <c r="AL1048" t="s">
        <v>102</v>
      </c>
      <c r="AM1048">
        <v>1</v>
      </c>
      <c r="AN1048" s="2">
        <v>9780748640737</v>
      </c>
    </row>
    <row r="1049" spans="1:40" x14ac:dyDescent="0.3">
      <c r="A1049" t="s">
        <v>5249</v>
      </c>
      <c r="B1049" t="s">
        <v>1</v>
      </c>
      <c r="C1049" t="s">
        <v>5250</v>
      </c>
      <c r="D1049" t="s">
        <v>1146</v>
      </c>
      <c r="E1049" t="s">
        <v>5251</v>
      </c>
      <c r="F1049" t="s">
        <v>5</v>
      </c>
      <c r="G1049" t="s">
        <v>6</v>
      </c>
      <c r="L1049" t="s">
        <v>7</v>
      </c>
      <c r="M1049">
        <v>2003</v>
      </c>
      <c r="N1049" s="1">
        <v>44719</v>
      </c>
      <c r="O1049" t="s">
        <v>2791</v>
      </c>
      <c r="P1049">
        <v>1</v>
      </c>
      <c r="S1049">
        <v>217.95</v>
      </c>
      <c r="T1049">
        <v>250</v>
      </c>
      <c r="U1049">
        <v>190</v>
      </c>
      <c r="V1049" t="s">
        <v>79</v>
      </c>
      <c r="W1049" t="s">
        <v>209</v>
      </c>
      <c r="X1049" t="s">
        <v>209</v>
      </c>
      <c r="Y1049" t="s">
        <v>1951</v>
      </c>
      <c r="AF1049" t="s">
        <v>13</v>
      </c>
      <c r="AG1049" t="str">
        <f>HYPERLINK("https://doi.org/10.1515/9781474470469")</f>
        <v>https://doi.org/10.1515/9781474470469</v>
      </c>
      <c r="AH1049" t="str">
        <f>HYPERLINK("http://www.degruyter.com/isbn/9781474470469")</f>
        <v>http://www.degruyter.com/isbn/9781474470469</v>
      </c>
      <c r="AI1049" t="s">
        <v>68</v>
      </c>
      <c r="AL1049" t="s">
        <v>83</v>
      </c>
      <c r="AM1049">
        <v>1</v>
      </c>
      <c r="AN1049" s="2">
        <v>9780748617418</v>
      </c>
    </row>
    <row r="1050" spans="1:40" x14ac:dyDescent="0.3">
      <c r="A1050" t="s">
        <v>5252</v>
      </c>
      <c r="B1050" t="s">
        <v>1</v>
      </c>
      <c r="C1050" t="s">
        <v>5253</v>
      </c>
      <c r="E1050" t="s">
        <v>5254</v>
      </c>
      <c r="F1050" t="s">
        <v>5</v>
      </c>
      <c r="G1050" t="s">
        <v>6</v>
      </c>
      <c r="L1050" t="s">
        <v>7</v>
      </c>
      <c r="M1050">
        <v>1999</v>
      </c>
      <c r="N1050" s="1">
        <v>44683</v>
      </c>
      <c r="O1050" t="s">
        <v>5255</v>
      </c>
      <c r="P1050">
        <v>1</v>
      </c>
      <c r="S1050">
        <v>217.95</v>
      </c>
      <c r="T1050">
        <v>250</v>
      </c>
      <c r="U1050">
        <v>190</v>
      </c>
      <c r="V1050" t="s">
        <v>89</v>
      </c>
      <c r="W1050" t="s">
        <v>137</v>
      </c>
      <c r="X1050" t="s">
        <v>138</v>
      </c>
      <c r="Y1050" t="s">
        <v>139</v>
      </c>
      <c r="AF1050" t="s">
        <v>13</v>
      </c>
      <c r="AG1050" t="str">
        <f>HYPERLINK("https://doi.org/10.1515/9781474465748")</f>
        <v>https://doi.org/10.1515/9781474465748</v>
      </c>
      <c r="AH1050" t="str">
        <f>HYPERLINK("http://www.degruyter.com/isbn/9781474465748")</f>
        <v>http://www.degruyter.com/isbn/9781474465748</v>
      </c>
      <c r="AI1050" t="s">
        <v>24</v>
      </c>
      <c r="AL1050" t="s">
        <v>83</v>
      </c>
      <c r="AM1050">
        <v>1</v>
      </c>
      <c r="AN1050" s="2">
        <v>9780748609390</v>
      </c>
    </row>
    <row r="1051" spans="1:40" x14ac:dyDescent="0.3">
      <c r="A1051" t="s">
        <v>5256</v>
      </c>
      <c r="B1051" t="s">
        <v>1</v>
      </c>
      <c r="C1051" t="s">
        <v>5257</v>
      </c>
      <c r="D1051" t="s">
        <v>5258</v>
      </c>
      <c r="E1051" t="s">
        <v>5259</v>
      </c>
      <c r="F1051" t="s">
        <v>5</v>
      </c>
      <c r="G1051" t="s">
        <v>6</v>
      </c>
      <c r="L1051" t="s">
        <v>7</v>
      </c>
      <c r="M1051">
        <v>2017</v>
      </c>
      <c r="N1051" s="1">
        <v>43055</v>
      </c>
      <c r="O1051" t="s">
        <v>5260</v>
      </c>
      <c r="P1051">
        <v>1</v>
      </c>
      <c r="S1051">
        <v>279.95</v>
      </c>
      <c r="T1051">
        <v>320</v>
      </c>
      <c r="U1051">
        <v>240</v>
      </c>
      <c r="V1051" t="s">
        <v>847</v>
      </c>
      <c r="W1051" t="s">
        <v>848</v>
      </c>
      <c r="X1051" t="s">
        <v>20</v>
      </c>
      <c r="Y1051" t="s">
        <v>3205</v>
      </c>
      <c r="AF1051" t="s">
        <v>13</v>
      </c>
      <c r="AG1051" t="str">
        <f>HYPERLINK("https://doi.org/10.1515/9781474409827")</f>
        <v>https://doi.org/10.1515/9781474409827</v>
      </c>
      <c r="AH1051" t="str">
        <f>HYPERLINK("http://www.degruyter.com/isbn/9781474409827")</f>
        <v>http://www.degruyter.com/isbn/9781474409827</v>
      </c>
      <c r="AI1051" t="s">
        <v>222</v>
      </c>
      <c r="AL1051" t="s">
        <v>1070</v>
      </c>
      <c r="AM1051">
        <v>1</v>
      </c>
      <c r="AN1051" s="2">
        <v>9781474409810</v>
      </c>
    </row>
    <row r="1052" spans="1:40" x14ac:dyDescent="0.3">
      <c r="A1052" t="s">
        <v>5261</v>
      </c>
      <c r="B1052" t="s">
        <v>1</v>
      </c>
      <c r="C1052" t="s">
        <v>5262</v>
      </c>
      <c r="D1052" t="s">
        <v>5263</v>
      </c>
      <c r="E1052" t="s">
        <v>5264</v>
      </c>
      <c r="F1052" t="s">
        <v>5</v>
      </c>
      <c r="G1052" t="s">
        <v>6</v>
      </c>
      <c r="L1052" t="s">
        <v>7</v>
      </c>
      <c r="M1052">
        <v>2010</v>
      </c>
      <c r="N1052" s="1">
        <v>40289</v>
      </c>
      <c r="O1052" t="s">
        <v>424</v>
      </c>
      <c r="P1052">
        <v>1</v>
      </c>
      <c r="S1052">
        <v>253.95</v>
      </c>
      <c r="T1052">
        <v>290</v>
      </c>
      <c r="U1052">
        <v>220</v>
      </c>
      <c r="V1052" t="s">
        <v>89</v>
      </c>
      <c r="W1052" t="s">
        <v>90</v>
      </c>
      <c r="X1052" t="s">
        <v>91</v>
      </c>
      <c r="Y1052" t="s">
        <v>1914</v>
      </c>
      <c r="AF1052" t="s">
        <v>13</v>
      </c>
      <c r="AG1052" t="str">
        <f>HYPERLINK("https://doi.org/10.1515/9780748642199")</f>
        <v>https://doi.org/10.1515/9780748642199</v>
      </c>
      <c r="AH1052" t="str">
        <f>HYPERLINK("http://www.degruyter.com/isbn/9780748642199")</f>
        <v>http://www.degruyter.com/isbn/9780748642199</v>
      </c>
      <c r="AI1052" t="s">
        <v>68</v>
      </c>
      <c r="AL1052" t="s">
        <v>83</v>
      </c>
      <c r="AM1052">
        <v>1</v>
      </c>
      <c r="AN1052" s="2">
        <v>9780748637386</v>
      </c>
    </row>
    <row r="1053" spans="1:40" x14ac:dyDescent="0.3">
      <c r="A1053" t="s">
        <v>5265</v>
      </c>
      <c r="B1053" t="s">
        <v>1</v>
      </c>
      <c r="C1053" t="s">
        <v>5266</v>
      </c>
      <c r="E1053" t="s">
        <v>5267</v>
      </c>
      <c r="F1053" t="s">
        <v>5</v>
      </c>
      <c r="G1053" t="s">
        <v>6</v>
      </c>
      <c r="L1053" t="s">
        <v>7</v>
      </c>
      <c r="M1053">
        <v>1998</v>
      </c>
      <c r="N1053" s="1">
        <v>44607</v>
      </c>
      <c r="O1053" t="s">
        <v>5268</v>
      </c>
      <c r="P1053">
        <v>1</v>
      </c>
      <c r="S1053">
        <v>217.95</v>
      </c>
      <c r="T1053">
        <v>250</v>
      </c>
      <c r="U1053">
        <v>190</v>
      </c>
      <c r="V1053" t="s">
        <v>847</v>
      </c>
      <c r="W1053" t="s">
        <v>848</v>
      </c>
      <c r="X1053" t="s">
        <v>20</v>
      </c>
      <c r="Y1053" t="s">
        <v>3205</v>
      </c>
      <c r="AF1053" t="s">
        <v>13</v>
      </c>
      <c r="AG1053" t="str">
        <f>HYPERLINK("https://doi.org/10.1515/9781474468602")</f>
        <v>https://doi.org/10.1515/9781474468602</v>
      </c>
      <c r="AH1053" t="str">
        <f>HYPERLINK("http://www.degruyter.com/isbn/9781474468602")</f>
        <v>http://www.degruyter.com/isbn/9781474468602</v>
      </c>
      <c r="AI1053" t="s">
        <v>24</v>
      </c>
      <c r="AL1053" t="s">
        <v>1070</v>
      </c>
      <c r="AM1053">
        <v>1</v>
      </c>
      <c r="AN1053" s="2">
        <v>9780748610778</v>
      </c>
    </row>
    <row r="1054" spans="1:40" x14ac:dyDescent="0.3">
      <c r="A1054" t="s">
        <v>5269</v>
      </c>
      <c r="B1054" t="s">
        <v>1</v>
      </c>
      <c r="C1054" t="s">
        <v>5270</v>
      </c>
      <c r="E1054" t="s">
        <v>5271</v>
      </c>
      <c r="F1054" t="s">
        <v>5</v>
      </c>
      <c r="G1054" t="s">
        <v>6</v>
      </c>
      <c r="L1054" t="s">
        <v>7</v>
      </c>
      <c r="M1054">
        <v>2021</v>
      </c>
      <c r="N1054" s="1">
        <v>44644</v>
      </c>
      <c r="O1054" t="s">
        <v>5272</v>
      </c>
      <c r="P1054">
        <v>1</v>
      </c>
      <c r="S1054">
        <v>227.95</v>
      </c>
      <c r="T1054">
        <v>260</v>
      </c>
      <c r="U1054">
        <v>200</v>
      </c>
      <c r="V1054" t="s">
        <v>98</v>
      </c>
      <c r="W1054" t="s">
        <v>99</v>
      </c>
      <c r="X1054" t="s">
        <v>2492</v>
      </c>
      <c r="Y1054" t="s">
        <v>2493</v>
      </c>
      <c r="AF1054" t="s">
        <v>13</v>
      </c>
      <c r="AG1054" t="str">
        <f>HYPERLINK("https://doi.org/10.1515/9781474467575")</f>
        <v>https://doi.org/10.1515/9781474467575</v>
      </c>
      <c r="AH1054" t="str">
        <f>HYPERLINK("http://www.degruyter.com/isbn/9781474467575")</f>
        <v>http://www.degruyter.com/isbn/9781474467575</v>
      </c>
      <c r="AI1054" t="s">
        <v>565</v>
      </c>
      <c r="AJ1054" t="s">
        <v>35</v>
      </c>
      <c r="AL1054" t="s">
        <v>2514</v>
      </c>
      <c r="AM1054">
        <v>1</v>
      </c>
      <c r="AN1054" s="2">
        <v>9781474467551</v>
      </c>
    </row>
    <row r="1055" spans="1:40" x14ac:dyDescent="0.3">
      <c r="A1055" t="s">
        <v>5273</v>
      </c>
      <c r="B1055" t="s">
        <v>1</v>
      </c>
      <c r="C1055" t="s">
        <v>5274</v>
      </c>
      <c r="D1055" t="s">
        <v>5275</v>
      </c>
      <c r="E1055" t="s">
        <v>5276</v>
      </c>
      <c r="F1055" t="s">
        <v>5</v>
      </c>
      <c r="G1055" t="s">
        <v>6</v>
      </c>
      <c r="L1055" t="s">
        <v>7</v>
      </c>
      <c r="M1055">
        <v>2008</v>
      </c>
      <c r="N1055" s="1">
        <v>39729</v>
      </c>
      <c r="O1055" t="s">
        <v>2048</v>
      </c>
      <c r="P1055">
        <v>1</v>
      </c>
      <c r="S1055">
        <v>295.95</v>
      </c>
      <c r="T1055">
        <v>340</v>
      </c>
      <c r="U1055">
        <v>260</v>
      </c>
      <c r="V1055" t="s">
        <v>98</v>
      </c>
      <c r="W1055" t="s">
        <v>256</v>
      </c>
      <c r="X1055" t="s">
        <v>4297</v>
      </c>
      <c r="Y1055" t="s">
        <v>4298</v>
      </c>
      <c r="AF1055" t="s">
        <v>13</v>
      </c>
      <c r="AG1055" t="str">
        <f>HYPERLINK("https://doi.org/10.1515/9780748635597")</f>
        <v>https://doi.org/10.1515/9780748635597</v>
      </c>
      <c r="AH1055" t="str">
        <f>HYPERLINK("http://www.degruyter.com/isbn/9780748635597")</f>
        <v>http://www.degruyter.com/isbn/9780748635597</v>
      </c>
      <c r="AI1055" t="s">
        <v>68</v>
      </c>
      <c r="AL1055" t="s">
        <v>102</v>
      </c>
      <c r="AM1055">
        <v>1</v>
      </c>
      <c r="AN1055" s="2">
        <v>9780748635573</v>
      </c>
    </row>
    <row r="1056" spans="1:40" x14ac:dyDescent="0.3">
      <c r="A1056" t="s">
        <v>5277</v>
      </c>
      <c r="B1056" t="s">
        <v>1</v>
      </c>
      <c r="C1056" t="s">
        <v>5278</v>
      </c>
      <c r="D1056" t="s">
        <v>5279</v>
      </c>
      <c r="E1056" t="s">
        <v>5280</v>
      </c>
      <c r="F1056" t="s">
        <v>5</v>
      </c>
      <c r="G1056" t="s">
        <v>6</v>
      </c>
      <c r="L1056" t="s">
        <v>7</v>
      </c>
      <c r="M1056">
        <v>2000</v>
      </c>
      <c r="N1056" s="1">
        <v>44607</v>
      </c>
      <c r="O1056" t="s">
        <v>5281</v>
      </c>
      <c r="P1056">
        <v>1</v>
      </c>
      <c r="S1056">
        <v>217.95</v>
      </c>
      <c r="T1056">
        <v>250</v>
      </c>
      <c r="U1056">
        <v>190</v>
      </c>
      <c r="V1056" t="s">
        <v>79</v>
      </c>
      <c r="W1056" t="s">
        <v>80</v>
      </c>
      <c r="X1056" t="s">
        <v>80</v>
      </c>
      <c r="Y1056" t="s">
        <v>81</v>
      </c>
      <c r="AF1056" t="s">
        <v>13</v>
      </c>
      <c r="AG1056" t="str">
        <f>HYPERLINK("https://doi.org/10.1515/9781474465397")</f>
        <v>https://doi.org/10.1515/9781474465397</v>
      </c>
      <c r="AH1056" t="str">
        <f>HYPERLINK("http://www.degruyter.com/isbn/9781474465397")</f>
        <v>http://www.degruyter.com/isbn/9781474465397</v>
      </c>
      <c r="AI1056" t="s">
        <v>68</v>
      </c>
      <c r="AL1056" t="s">
        <v>83</v>
      </c>
      <c r="AM1056">
        <v>1</v>
      </c>
      <c r="AN1056" s="2">
        <v>9780748611911</v>
      </c>
    </row>
    <row r="1057" spans="1:40" x14ac:dyDescent="0.3">
      <c r="A1057" t="s">
        <v>5282</v>
      </c>
      <c r="B1057" t="s">
        <v>1</v>
      </c>
      <c r="C1057" t="s">
        <v>5283</v>
      </c>
      <c r="E1057" t="s">
        <v>5284</v>
      </c>
      <c r="F1057" t="s">
        <v>5</v>
      </c>
      <c r="G1057" t="s">
        <v>6</v>
      </c>
      <c r="L1057" t="s">
        <v>7</v>
      </c>
      <c r="M1057">
        <v>1997</v>
      </c>
      <c r="N1057" s="1">
        <v>44634</v>
      </c>
      <c r="O1057" t="s">
        <v>5285</v>
      </c>
      <c r="P1057">
        <v>1</v>
      </c>
      <c r="S1057">
        <v>217.95</v>
      </c>
      <c r="T1057">
        <v>250</v>
      </c>
      <c r="U1057">
        <v>190</v>
      </c>
      <c r="V1057" t="s">
        <v>42</v>
      </c>
      <c r="W1057" t="s">
        <v>107</v>
      </c>
      <c r="X1057" t="s">
        <v>108</v>
      </c>
      <c r="Y1057" t="s">
        <v>109</v>
      </c>
      <c r="AF1057" t="s">
        <v>13</v>
      </c>
      <c r="AG1057" t="str">
        <f>HYPERLINK("https://doi.org/10.1515/9780748672660")</f>
        <v>https://doi.org/10.1515/9780748672660</v>
      </c>
      <c r="AH1057" t="str">
        <f>HYPERLINK("http://www.degruyter.com/isbn/9780748672660")</f>
        <v>http://www.degruyter.com/isbn/9780748672660</v>
      </c>
      <c r="AI1057" t="s">
        <v>24</v>
      </c>
      <c r="AL1057" t="s">
        <v>47</v>
      </c>
      <c r="AM1057">
        <v>1</v>
      </c>
      <c r="AN1057" s="2">
        <v>9780748609161</v>
      </c>
    </row>
    <row r="1058" spans="1:40" x14ac:dyDescent="0.3">
      <c r="A1058" t="s">
        <v>5286</v>
      </c>
      <c r="B1058" t="s">
        <v>1</v>
      </c>
      <c r="C1058" t="s">
        <v>5287</v>
      </c>
      <c r="E1058" t="s">
        <v>5288</v>
      </c>
      <c r="F1058" t="s">
        <v>5</v>
      </c>
      <c r="G1058" t="s">
        <v>6</v>
      </c>
      <c r="L1058" t="s">
        <v>7</v>
      </c>
      <c r="M1058">
        <v>2010</v>
      </c>
      <c r="N1058" s="1">
        <v>40359</v>
      </c>
      <c r="O1058" t="s">
        <v>5289</v>
      </c>
      <c r="P1058">
        <v>1</v>
      </c>
      <c r="S1058">
        <v>243.95</v>
      </c>
      <c r="T1058">
        <v>280</v>
      </c>
      <c r="U1058">
        <v>210</v>
      </c>
      <c r="V1058" t="s">
        <v>98</v>
      </c>
      <c r="W1058" t="s">
        <v>99</v>
      </c>
      <c r="X1058" t="s">
        <v>386</v>
      </c>
      <c r="Y1058" t="s">
        <v>387</v>
      </c>
      <c r="AF1058" t="s">
        <v>13</v>
      </c>
      <c r="AG1058" t="str">
        <f>HYPERLINK("https://doi.org/10.1515/9780748637102")</f>
        <v>https://doi.org/10.1515/9780748637102</v>
      </c>
      <c r="AH1058" t="str">
        <f>HYPERLINK("http://www.degruyter.com/isbn/9780748637102")</f>
        <v>http://www.degruyter.com/isbn/9780748637102</v>
      </c>
      <c r="AI1058" t="s">
        <v>68</v>
      </c>
      <c r="AL1058" t="s">
        <v>102</v>
      </c>
      <c r="AM1058">
        <v>1</v>
      </c>
      <c r="AN1058" s="2">
        <v>9780748637089</v>
      </c>
    </row>
    <row r="1059" spans="1:40" x14ac:dyDescent="0.3">
      <c r="A1059" t="s">
        <v>5290</v>
      </c>
      <c r="B1059" t="s">
        <v>1</v>
      </c>
      <c r="C1059" t="s">
        <v>5291</v>
      </c>
      <c r="D1059" t="s">
        <v>5292</v>
      </c>
      <c r="E1059" t="s">
        <v>5293</v>
      </c>
      <c r="F1059" t="s">
        <v>5</v>
      </c>
      <c r="G1059" t="s">
        <v>6</v>
      </c>
      <c r="L1059" t="s">
        <v>7</v>
      </c>
      <c r="M1059">
        <v>2018</v>
      </c>
      <c r="N1059" s="1">
        <v>44644</v>
      </c>
      <c r="O1059" t="s">
        <v>5294</v>
      </c>
      <c r="P1059">
        <v>1</v>
      </c>
      <c r="S1059">
        <v>227.95</v>
      </c>
      <c r="T1059">
        <v>260</v>
      </c>
      <c r="U1059">
        <v>200</v>
      </c>
      <c r="V1059" t="s">
        <v>42</v>
      </c>
      <c r="W1059" t="s">
        <v>290</v>
      </c>
      <c r="X1059" t="s">
        <v>290</v>
      </c>
      <c r="Y1059" t="s">
        <v>515</v>
      </c>
      <c r="AF1059" t="s">
        <v>13</v>
      </c>
      <c r="AG1059" t="str">
        <f>HYPERLINK("https://doi.org/10.1515/9781474418195?locatt=mode:legacy")</f>
        <v>https://doi.org/10.1515/9781474418195?locatt=mode:legacy</v>
      </c>
      <c r="AH1059" t="str">
        <f>HYPERLINK("http://www.degruyter.com/isbn/9781474418195")</f>
        <v>http://www.degruyter.com/isbn/9781474418195</v>
      </c>
      <c r="AI1059" t="s">
        <v>46</v>
      </c>
      <c r="AL1059" t="s">
        <v>47</v>
      </c>
      <c r="AM1059">
        <v>1</v>
      </c>
      <c r="AN1059" s="2">
        <v>9781474418188</v>
      </c>
    </row>
    <row r="1060" spans="1:40" x14ac:dyDescent="0.3">
      <c r="A1060" t="s">
        <v>5295</v>
      </c>
      <c r="B1060" t="s">
        <v>1</v>
      </c>
      <c r="C1060" t="s">
        <v>5296</v>
      </c>
      <c r="D1060" t="s">
        <v>5297</v>
      </c>
      <c r="E1060" t="s">
        <v>5298</v>
      </c>
      <c r="F1060" t="s">
        <v>5</v>
      </c>
      <c r="G1060" t="s">
        <v>6</v>
      </c>
      <c r="L1060" t="s">
        <v>7</v>
      </c>
      <c r="M1060">
        <v>2013</v>
      </c>
      <c r="N1060" s="1">
        <v>41311</v>
      </c>
      <c r="O1060" t="s">
        <v>5299</v>
      </c>
      <c r="P1060">
        <v>1</v>
      </c>
      <c r="S1060">
        <v>217.95</v>
      </c>
      <c r="T1060">
        <v>250</v>
      </c>
      <c r="U1060">
        <v>190</v>
      </c>
      <c r="V1060" t="s">
        <v>42</v>
      </c>
      <c r="W1060" t="s">
        <v>116</v>
      </c>
      <c r="X1060" t="s">
        <v>116</v>
      </c>
      <c r="Y1060" t="s">
        <v>117</v>
      </c>
      <c r="AF1060" t="s">
        <v>13</v>
      </c>
      <c r="AG1060" t="str">
        <f>HYPERLINK("https://doi.org/10.1515/9780748646418")</f>
        <v>https://doi.org/10.1515/9780748646418</v>
      </c>
      <c r="AH1060" t="str">
        <f>HYPERLINK("http://www.degruyter.com/isbn/9780748646418")</f>
        <v>http://www.degruyter.com/isbn/9780748646418</v>
      </c>
      <c r="AI1060" t="s">
        <v>3007</v>
      </c>
      <c r="AL1060" t="s">
        <v>47</v>
      </c>
      <c r="AM1060">
        <v>1</v>
      </c>
      <c r="AN1060" s="2">
        <v>9780748646401</v>
      </c>
    </row>
    <row r="1061" spans="1:40" x14ac:dyDescent="0.3">
      <c r="A1061" t="s">
        <v>5300</v>
      </c>
      <c r="B1061" t="s">
        <v>1</v>
      </c>
      <c r="C1061" t="s">
        <v>5301</v>
      </c>
      <c r="E1061" t="s">
        <v>5302</v>
      </c>
      <c r="F1061" t="s">
        <v>5</v>
      </c>
      <c r="G1061" t="s">
        <v>6</v>
      </c>
      <c r="L1061" t="s">
        <v>7</v>
      </c>
      <c r="M1061">
        <v>2017</v>
      </c>
      <c r="N1061" s="1">
        <v>42919</v>
      </c>
      <c r="O1061" t="s">
        <v>5303</v>
      </c>
      <c r="P1061">
        <v>1</v>
      </c>
      <c r="S1061">
        <v>227.95</v>
      </c>
      <c r="T1061">
        <v>260</v>
      </c>
      <c r="U1061">
        <v>200</v>
      </c>
      <c r="V1061" t="s">
        <v>58</v>
      </c>
      <c r="W1061" t="s">
        <v>1135</v>
      </c>
      <c r="X1061" t="s">
        <v>1136</v>
      </c>
      <c r="Y1061" t="s">
        <v>5304</v>
      </c>
      <c r="AF1061" t="s">
        <v>13</v>
      </c>
      <c r="AG1061" t="str">
        <f>HYPERLINK("https://doi.org/10.1515/9780748675340")</f>
        <v>https://doi.org/10.1515/9780748675340</v>
      </c>
      <c r="AH1061" t="str">
        <f>HYPERLINK("http://www.degruyter.com/isbn/9780748675340")</f>
        <v>http://www.degruyter.com/isbn/9780748675340</v>
      </c>
      <c r="AI1061" t="s">
        <v>222</v>
      </c>
      <c r="AL1061" t="s">
        <v>62</v>
      </c>
      <c r="AM1061">
        <v>1</v>
      </c>
      <c r="AN1061" s="2">
        <v>9780748675326</v>
      </c>
    </row>
    <row r="1062" spans="1:40" x14ac:dyDescent="0.3">
      <c r="A1062" t="s">
        <v>5305</v>
      </c>
      <c r="B1062" t="s">
        <v>1</v>
      </c>
      <c r="C1062" t="s">
        <v>5306</v>
      </c>
      <c r="D1062" t="s">
        <v>5307</v>
      </c>
      <c r="E1062" t="s">
        <v>5308</v>
      </c>
      <c r="F1062" t="s">
        <v>5</v>
      </c>
      <c r="G1062" t="s">
        <v>6</v>
      </c>
      <c r="L1062" t="s">
        <v>7</v>
      </c>
      <c r="M1062">
        <v>2000</v>
      </c>
      <c r="N1062" s="1">
        <v>36770</v>
      </c>
      <c r="O1062" t="s">
        <v>5309</v>
      </c>
      <c r="P1062">
        <v>1</v>
      </c>
      <c r="S1062">
        <v>295.95</v>
      </c>
      <c r="T1062">
        <v>340</v>
      </c>
      <c r="U1062">
        <v>260</v>
      </c>
      <c r="V1062" t="s">
        <v>329</v>
      </c>
      <c r="W1062" t="s">
        <v>330</v>
      </c>
      <c r="X1062" t="s">
        <v>331</v>
      </c>
      <c r="Y1062" t="s">
        <v>1035</v>
      </c>
      <c r="AF1062" t="s">
        <v>13</v>
      </c>
      <c r="AG1062" t="str">
        <f>HYPERLINK("https://doi.org/10.1515/9781474469975")</f>
        <v>https://doi.org/10.1515/9781474469975</v>
      </c>
      <c r="AH1062" t="str">
        <f>HYPERLINK("http://www.degruyter.com/isbn/9781474469975")</f>
        <v>http://www.degruyter.com/isbn/9781474469975</v>
      </c>
      <c r="AI1062" t="s">
        <v>68</v>
      </c>
      <c r="AL1062" t="s">
        <v>333</v>
      </c>
      <c r="AM1062">
        <v>1</v>
      </c>
      <c r="AN1062" s="2">
        <v>9780748612390</v>
      </c>
    </row>
    <row r="1063" spans="1:40" x14ac:dyDescent="0.3">
      <c r="A1063" t="s">
        <v>5310</v>
      </c>
      <c r="B1063" t="s">
        <v>1</v>
      </c>
      <c r="C1063" t="s">
        <v>5311</v>
      </c>
      <c r="E1063" t="s">
        <v>5312</v>
      </c>
      <c r="F1063" t="s">
        <v>5</v>
      </c>
      <c r="G1063" t="s">
        <v>6</v>
      </c>
      <c r="L1063" t="s">
        <v>7</v>
      </c>
      <c r="M1063">
        <v>2019</v>
      </c>
      <c r="N1063" s="1">
        <v>44656</v>
      </c>
      <c r="O1063" t="s">
        <v>5313</v>
      </c>
      <c r="P1063">
        <v>1</v>
      </c>
      <c r="S1063">
        <v>227.95</v>
      </c>
      <c r="T1063">
        <v>260</v>
      </c>
      <c r="U1063">
        <v>200</v>
      </c>
      <c r="V1063" t="s">
        <v>42</v>
      </c>
      <c r="W1063" t="s">
        <v>107</v>
      </c>
      <c r="X1063" t="s">
        <v>108</v>
      </c>
      <c r="Y1063" t="s">
        <v>109</v>
      </c>
      <c r="AF1063" t="s">
        <v>13</v>
      </c>
      <c r="AG1063" t="str">
        <f>HYPERLINK("https://doi.org/10.1515/9781474454131?locatt=mode:legacy")</f>
        <v>https://doi.org/10.1515/9781474454131?locatt=mode:legacy</v>
      </c>
      <c r="AH1063" t="str">
        <f>HYPERLINK("http://www.degruyter.com/isbn/9781474454131")</f>
        <v>http://www.degruyter.com/isbn/9781474454131</v>
      </c>
      <c r="AI1063" t="s">
        <v>280</v>
      </c>
      <c r="AL1063" t="s">
        <v>47</v>
      </c>
      <c r="AM1063">
        <v>1</v>
      </c>
      <c r="AN1063" s="2">
        <v>9781474454117</v>
      </c>
    </row>
    <row r="1064" spans="1:40" x14ac:dyDescent="0.3">
      <c r="A1064" t="s">
        <v>5314</v>
      </c>
      <c r="B1064" t="s">
        <v>1</v>
      </c>
      <c r="C1064" t="s">
        <v>5315</v>
      </c>
      <c r="D1064" t="s">
        <v>5316</v>
      </c>
      <c r="E1064" t="s">
        <v>5317</v>
      </c>
      <c r="F1064" t="s">
        <v>5</v>
      </c>
      <c r="G1064" t="s">
        <v>6</v>
      </c>
      <c r="L1064" t="s">
        <v>7</v>
      </c>
      <c r="M1064">
        <v>2010</v>
      </c>
      <c r="N1064" s="1">
        <v>40214</v>
      </c>
      <c r="O1064" t="s">
        <v>122</v>
      </c>
      <c r="P1064">
        <v>1</v>
      </c>
      <c r="S1064">
        <v>253.95</v>
      </c>
      <c r="T1064">
        <v>290</v>
      </c>
      <c r="U1064">
        <v>220</v>
      </c>
      <c r="V1064" t="s">
        <v>79</v>
      </c>
      <c r="W1064" t="s">
        <v>209</v>
      </c>
      <c r="X1064" t="s">
        <v>209</v>
      </c>
      <c r="Y1064" t="s">
        <v>1951</v>
      </c>
      <c r="AF1064" t="s">
        <v>13</v>
      </c>
      <c r="AG1064" t="str">
        <f>HYPERLINK("https://doi.org/10.1515/9780748641659")</f>
        <v>https://doi.org/10.1515/9780748641659</v>
      </c>
      <c r="AH1064" t="str">
        <f>HYPERLINK("http://www.degruyter.com/isbn/9780748641659")</f>
        <v>http://www.degruyter.com/isbn/9780748641659</v>
      </c>
      <c r="AI1064" t="s">
        <v>68</v>
      </c>
      <c r="AL1064" t="s">
        <v>83</v>
      </c>
      <c r="AM1064">
        <v>1</v>
      </c>
      <c r="AN1064" s="2">
        <v>9780748639823</v>
      </c>
    </row>
    <row r="1065" spans="1:40" x14ac:dyDescent="0.3">
      <c r="A1065" t="s">
        <v>5318</v>
      </c>
      <c r="B1065" t="s">
        <v>1</v>
      </c>
      <c r="C1065" t="s">
        <v>5319</v>
      </c>
      <c r="D1065" t="s">
        <v>5320</v>
      </c>
      <c r="E1065" t="s">
        <v>5321</v>
      </c>
      <c r="F1065" t="s">
        <v>5</v>
      </c>
      <c r="G1065" t="s">
        <v>6</v>
      </c>
      <c r="L1065" t="s">
        <v>7</v>
      </c>
      <c r="M1065">
        <v>2017</v>
      </c>
      <c r="N1065" s="1">
        <v>42926</v>
      </c>
      <c r="O1065" t="s">
        <v>4861</v>
      </c>
      <c r="P1065">
        <v>1</v>
      </c>
      <c r="S1065">
        <v>227.95</v>
      </c>
      <c r="T1065">
        <v>260</v>
      </c>
      <c r="U1065">
        <v>200</v>
      </c>
      <c r="V1065" t="s">
        <v>305</v>
      </c>
      <c r="W1065" t="s">
        <v>2566</v>
      </c>
      <c r="X1065" t="s">
        <v>2567</v>
      </c>
      <c r="Y1065" t="s">
        <v>4151</v>
      </c>
      <c r="AF1065" t="s">
        <v>13</v>
      </c>
      <c r="AG1065" t="str">
        <f>HYPERLINK("https://doi.org/10.1515/9781474405652?locatt=mode:legacy")</f>
        <v>https://doi.org/10.1515/9781474405652?locatt=mode:legacy</v>
      </c>
      <c r="AH1065" t="str">
        <f>HYPERLINK("http://www.degruyter.com/isbn/9781474405652")</f>
        <v>http://www.degruyter.com/isbn/9781474405652</v>
      </c>
      <c r="AI1065" t="s">
        <v>222</v>
      </c>
      <c r="AL1065" t="s">
        <v>308</v>
      </c>
      <c r="AM1065">
        <v>1</v>
      </c>
      <c r="AN1065" s="2">
        <v>9781474405638</v>
      </c>
    </row>
    <row r="1066" spans="1:40" x14ac:dyDescent="0.3">
      <c r="A1066" t="s">
        <v>5322</v>
      </c>
      <c r="B1066" t="s">
        <v>1</v>
      </c>
      <c r="C1066" t="s">
        <v>5323</v>
      </c>
      <c r="E1066" t="s">
        <v>5324</v>
      </c>
      <c r="F1066" t="s">
        <v>5</v>
      </c>
      <c r="G1066" t="s">
        <v>6</v>
      </c>
      <c r="L1066" t="s">
        <v>7</v>
      </c>
      <c r="M1066">
        <v>2005</v>
      </c>
      <c r="N1066" s="1">
        <v>38369</v>
      </c>
      <c r="O1066" t="s">
        <v>1503</v>
      </c>
      <c r="P1066">
        <v>1</v>
      </c>
      <c r="S1066">
        <v>253.95</v>
      </c>
      <c r="T1066">
        <v>290</v>
      </c>
      <c r="U1066">
        <v>220</v>
      </c>
      <c r="V1066" t="s">
        <v>79</v>
      </c>
      <c r="W1066" t="s">
        <v>783</v>
      </c>
      <c r="X1066" t="s">
        <v>783</v>
      </c>
      <c r="Y1066" t="s">
        <v>784</v>
      </c>
      <c r="AF1066" t="s">
        <v>13</v>
      </c>
      <c r="AG1066" t="str">
        <f>HYPERLINK("https://doi.org/10.1515/9781474469296")</f>
        <v>https://doi.org/10.1515/9781474469296</v>
      </c>
      <c r="AH1066" t="str">
        <f>HYPERLINK("http://www.degruyter.com/isbn/9781474469296")</f>
        <v>http://www.degruyter.com/isbn/9781474469296</v>
      </c>
      <c r="AI1066" t="s">
        <v>68</v>
      </c>
      <c r="AL1066" t="s">
        <v>83</v>
      </c>
      <c r="AM1066">
        <v>1</v>
      </c>
      <c r="AN1066" s="2">
        <v>9780748618415</v>
      </c>
    </row>
    <row r="1067" spans="1:40" x14ac:dyDescent="0.3">
      <c r="A1067" t="s">
        <v>5325</v>
      </c>
      <c r="B1067" t="s">
        <v>1</v>
      </c>
      <c r="C1067" t="s">
        <v>5326</v>
      </c>
      <c r="E1067" t="s">
        <v>5327</v>
      </c>
      <c r="F1067" t="s">
        <v>5</v>
      </c>
      <c r="G1067" t="s">
        <v>6</v>
      </c>
      <c r="L1067" t="s">
        <v>7</v>
      </c>
      <c r="M1067">
        <v>2019</v>
      </c>
      <c r="N1067" s="1">
        <v>44644</v>
      </c>
      <c r="O1067" t="s">
        <v>1730</v>
      </c>
      <c r="P1067">
        <v>1</v>
      </c>
      <c r="S1067">
        <v>217.95</v>
      </c>
      <c r="T1067">
        <v>250</v>
      </c>
      <c r="U1067">
        <v>190</v>
      </c>
      <c r="V1067" t="s">
        <v>89</v>
      </c>
      <c r="W1067" t="s">
        <v>90</v>
      </c>
      <c r="X1067" t="s">
        <v>4409</v>
      </c>
      <c r="Y1067" t="s">
        <v>5328</v>
      </c>
      <c r="AF1067" t="s">
        <v>13</v>
      </c>
      <c r="AG1067" t="str">
        <f>HYPERLINK("https://doi.org/10.1515/9781474447348")</f>
        <v>https://doi.org/10.1515/9781474447348</v>
      </c>
      <c r="AH1067" t="str">
        <f>HYPERLINK("http://www.degruyter.com/isbn/9781474447348")</f>
        <v>http://www.degruyter.com/isbn/9781474447348</v>
      </c>
      <c r="AI1067" t="s">
        <v>280</v>
      </c>
      <c r="AL1067" t="s">
        <v>83</v>
      </c>
      <c r="AM1067">
        <v>1</v>
      </c>
      <c r="AN1067" s="2">
        <v>9781474447324</v>
      </c>
    </row>
    <row r="1068" spans="1:40" x14ac:dyDescent="0.3">
      <c r="A1068" t="s">
        <v>5329</v>
      </c>
      <c r="B1068" t="s">
        <v>1</v>
      </c>
      <c r="C1068" t="s">
        <v>5330</v>
      </c>
      <c r="D1068" t="s">
        <v>1146</v>
      </c>
      <c r="E1068" t="s">
        <v>5331</v>
      </c>
      <c r="F1068" t="s">
        <v>5</v>
      </c>
      <c r="G1068" t="s">
        <v>6</v>
      </c>
      <c r="L1068" t="s">
        <v>7</v>
      </c>
      <c r="M1068">
        <v>2016</v>
      </c>
      <c r="N1068" s="1">
        <v>42557</v>
      </c>
      <c r="O1068" t="s">
        <v>5332</v>
      </c>
      <c r="P1068">
        <v>1</v>
      </c>
      <c r="S1068">
        <v>487.95</v>
      </c>
      <c r="T1068">
        <v>560</v>
      </c>
      <c r="U1068">
        <v>430</v>
      </c>
      <c r="V1068" t="s">
        <v>268</v>
      </c>
      <c r="W1068" t="s">
        <v>269</v>
      </c>
      <c r="X1068" t="s">
        <v>269</v>
      </c>
      <c r="Y1068" t="s">
        <v>2882</v>
      </c>
      <c r="AF1068" t="s">
        <v>13</v>
      </c>
      <c r="AG1068" t="str">
        <f>HYPERLINK("https://doi.org/10.1515/9780748696802")</f>
        <v>https://doi.org/10.1515/9780748696802</v>
      </c>
      <c r="AH1068" t="str">
        <f>HYPERLINK("http://www.degruyter.com/isbn/9780748696802")</f>
        <v>http://www.degruyter.com/isbn/9780748696802</v>
      </c>
      <c r="AI1068" t="s">
        <v>5333</v>
      </c>
      <c r="AL1068" t="s">
        <v>272</v>
      </c>
      <c r="AM1068">
        <v>1</v>
      </c>
      <c r="AN1068" s="2">
        <v>9780748696789</v>
      </c>
    </row>
    <row r="1069" spans="1:40" x14ac:dyDescent="0.3">
      <c r="A1069" t="s">
        <v>5334</v>
      </c>
      <c r="B1069" t="s">
        <v>1</v>
      </c>
      <c r="C1069" t="s">
        <v>5335</v>
      </c>
      <c r="D1069" t="s">
        <v>5336</v>
      </c>
      <c r="E1069" t="s">
        <v>5337</v>
      </c>
      <c r="F1069" t="s">
        <v>5</v>
      </c>
      <c r="G1069" t="s">
        <v>6</v>
      </c>
      <c r="L1069" t="s">
        <v>7</v>
      </c>
      <c r="M1069">
        <v>2012</v>
      </c>
      <c r="N1069" s="1">
        <v>41060</v>
      </c>
      <c r="O1069" t="s">
        <v>5338</v>
      </c>
      <c r="P1069">
        <v>1</v>
      </c>
      <c r="S1069">
        <v>217.95</v>
      </c>
      <c r="T1069">
        <v>250</v>
      </c>
      <c r="U1069">
        <v>190</v>
      </c>
      <c r="V1069" t="s">
        <v>79</v>
      </c>
      <c r="W1069" t="s">
        <v>123</v>
      </c>
      <c r="X1069" t="s">
        <v>123</v>
      </c>
      <c r="Y1069" t="s">
        <v>124</v>
      </c>
      <c r="AF1069" t="s">
        <v>13</v>
      </c>
      <c r="AG1069" t="str">
        <f>HYPERLINK("https://doi.org/10.1515/9780748646654")</f>
        <v>https://doi.org/10.1515/9780748646654</v>
      </c>
      <c r="AH1069" t="str">
        <f>HYPERLINK("http://www.degruyter.com/isbn/9780748646654")</f>
        <v>http://www.degruyter.com/isbn/9780748646654</v>
      </c>
      <c r="AI1069" t="s">
        <v>68</v>
      </c>
      <c r="AJ1069" t="s">
        <v>35</v>
      </c>
      <c r="AL1069" t="s">
        <v>718</v>
      </c>
      <c r="AM1069">
        <v>1</v>
      </c>
      <c r="AN1069" s="2">
        <v>9780748646647</v>
      </c>
    </row>
    <row r="1070" spans="1:40" x14ac:dyDescent="0.3">
      <c r="A1070" t="s">
        <v>5339</v>
      </c>
      <c r="B1070" t="s">
        <v>1</v>
      </c>
      <c r="C1070" t="s">
        <v>5340</v>
      </c>
      <c r="D1070" t="s">
        <v>5341</v>
      </c>
      <c r="E1070" t="s">
        <v>5342</v>
      </c>
      <c r="F1070" t="s">
        <v>5</v>
      </c>
      <c r="G1070" t="s">
        <v>6</v>
      </c>
      <c r="L1070" t="s">
        <v>7</v>
      </c>
      <c r="M1070">
        <v>2015</v>
      </c>
      <c r="N1070" s="1">
        <v>42162</v>
      </c>
      <c r="O1070" t="s">
        <v>5343</v>
      </c>
      <c r="P1070">
        <v>1</v>
      </c>
      <c r="S1070">
        <v>217.95</v>
      </c>
      <c r="T1070">
        <v>250</v>
      </c>
      <c r="U1070">
        <v>190</v>
      </c>
      <c r="V1070" t="s">
        <v>42</v>
      </c>
      <c r="W1070" t="s">
        <v>116</v>
      </c>
      <c r="X1070" t="s">
        <v>116</v>
      </c>
      <c r="Y1070" t="s">
        <v>117</v>
      </c>
      <c r="AF1070" t="s">
        <v>13</v>
      </c>
      <c r="AG1070" t="str">
        <f>HYPERLINK("https://doi.org/10.1515/9780748685325?locatt=mode:legacy")</f>
        <v>https://doi.org/10.1515/9780748685325?locatt=mode:legacy</v>
      </c>
      <c r="AH1070" t="str">
        <f>HYPERLINK("http://www.degruyter.com/isbn/9780748685325")</f>
        <v>http://www.degruyter.com/isbn/9780748685325</v>
      </c>
      <c r="AI1070" t="s">
        <v>34</v>
      </c>
      <c r="AL1070" t="s">
        <v>47</v>
      </c>
      <c r="AM1070">
        <v>1</v>
      </c>
      <c r="AN1070" s="2">
        <v>9780748685318</v>
      </c>
    </row>
    <row r="1071" spans="1:40" x14ac:dyDescent="0.3">
      <c r="A1071" t="s">
        <v>5344</v>
      </c>
      <c r="B1071" t="s">
        <v>1</v>
      </c>
      <c r="C1071" t="s">
        <v>5345</v>
      </c>
      <c r="D1071" t="s">
        <v>5346</v>
      </c>
      <c r="E1071" t="s">
        <v>5347</v>
      </c>
      <c r="F1071" t="s">
        <v>5</v>
      </c>
      <c r="G1071" t="s">
        <v>6</v>
      </c>
      <c r="L1071" t="s">
        <v>7</v>
      </c>
      <c r="M1071">
        <v>1998</v>
      </c>
      <c r="N1071" s="1">
        <v>44599</v>
      </c>
      <c r="O1071" t="s">
        <v>4372</v>
      </c>
      <c r="P1071">
        <v>1</v>
      </c>
      <c r="S1071">
        <v>295.95</v>
      </c>
      <c r="T1071">
        <v>340</v>
      </c>
      <c r="U1071">
        <v>260</v>
      </c>
      <c r="V1071" t="s">
        <v>79</v>
      </c>
      <c r="W1071" t="s">
        <v>209</v>
      </c>
      <c r="X1071" t="s">
        <v>209</v>
      </c>
      <c r="Y1071" t="s">
        <v>510</v>
      </c>
      <c r="AF1071" t="s">
        <v>13</v>
      </c>
      <c r="AG1071" t="str">
        <f>HYPERLINK("https://doi.org/10.1515/9780585086729")</f>
        <v>https://doi.org/10.1515/9780585086729</v>
      </c>
      <c r="AH1071" t="str">
        <f>HYPERLINK("http://www.degruyter.com/isbn/9780585086729")</f>
        <v>http://www.degruyter.com/isbn/9780585086729</v>
      </c>
      <c r="AI1071" t="s">
        <v>24</v>
      </c>
      <c r="AL1071" t="s">
        <v>83</v>
      </c>
      <c r="AM1071">
        <v>1</v>
      </c>
      <c r="AN1071" s="2">
        <v>9780748610297</v>
      </c>
    </row>
    <row r="1072" spans="1:40" x14ac:dyDescent="0.3">
      <c r="A1072" t="s">
        <v>5348</v>
      </c>
      <c r="B1072" t="s">
        <v>1</v>
      </c>
      <c r="C1072" t="s">
        <v>5349</v>
      </c>
      <c r="E1072" t="s">
        <v>5350</v>
      </c>
      <c r="F1072" t="s">
        <v>5</v>
      </c>
      <c r="G1072" t="s">
        <v>6</v>
      </c>
      <c r="L1072" t="s">
        <v>7</v>
      </c>
      <c r="M1072">
        <v>2014</v>
      </c>
      <c r="N1072" s="1">
        <v>41779</v>
      </c>
      <c r="O1072" t="s">
        <v>5351</v>
      </c>
      <c r="P1072">
        <v>1</v>
      </c>
      <c r="S1072">
        <v>227.95</v>
      </c>
      <c r="T1072">
        <v>260</v>
      </c>
      <c r="U1072">
        <v>200</v>
      </c>
      <c r="V1072" t="s">
        <v>98</v>
      </c>
      <c r="W1072" t="s">
        <v>366</v>
      </c>
      <c r="X1072" t="s">
        <v>367</v>
      </c>
      <c r="Y1072" t="s">
        <v>368</v>
      </c>
      <c r="AF1072" t="s">
        <v>13</v>
      </c>
      <c r="AG1072" t="str">
        <f>HYPERLINK("https://doi.org/10.1515/9780748645299")</f>
        <v>https://doi.org/10.1515/9780748645299</v>
      </c>
      <c r="AH1072" t="str">
        <f>HYPERLINK("http://www.degruyter.com/isbn/9780748645299")</f>
        <v>http://www.degruyter.com/isbn/9780748645299</v>
      </c>
      <c r="AI1072" t="s">
        <v>34</v>
      </c>
      <c r="AL1072" t="s">
        <v>102</v>
      </c>
      <c r="AM1072">
        <v>1</v>
      </c>
      <c r="AN1072" s="2">
        <v>9780748645282</v>
      </c>
    </row>
    <row r="1073" spans="1:40" x14ac:dyDescent="0.3">
      <c r="A1073" t="s">
        <v>5352</v>
      </c>
      <c r="B1073" t="s">
        <v>1</v>
      </c>
      <c r="C1073" t="s">
        <v>5353</v>
      </c>
      <c r="D1073" t="s">
        <v>5354</v>
      </c>
      <c r="E1073" t="s">
        <v>5355</v>
      </c>
      <c r="F1073" t="s">
        <v>5</v>
      </c>
      <c r="G1073" t="s">
        <v>6</v>
      </c>
      <c r="L1073" t="s">
        <v>7</v>
      </c>
      <c r="M1073">
        <v>2013</v>
      </c>
      <c r="N1073" s="1">
        <v>41564</v>
      </c>
      <c r="O1073" t="s">
        <v>5356</v>
      </c>
      <c r="P1073">
        <v>1</v>
      </c>
      <c r="S1073">
        <v>217.95</v>
      </c>
      <c r="T1073">
        <v>250</v>
      </c>
      <c r="U1073">
        <v>190</v>
      </c>
      <c r="V1073" t="s">
        <v>98</v>
      </c>
      <c r="W1073" t="s">
        <v>99</v>
      </c>
      <c r="X1073" t="s">
        <v>386</v>
      </c>
      <c r="Y1073" t="s">
        <v>387</v>
      </c>
      <c r="AF1073" t="s">
        <v>13</v>
      </c>
      <c r="AG1073" t="str">
        <f>HYPERLINK("https://doi.org/10.1515/9780748677993")</f>
        <v>https://doi.org/10.1515/9780748677993</v>
      </c>
      <c r="AH1073" t="str">
        <f>HYPERLINK("http://www.degruyter.com/isbn/9780748677993")</f>
        <v>http://www.degruyter.com/isbn/9780748677993</v>
      </c>
      <c r="AI1073" t="s">
        <v>68</v>
      </c>
      <c r="AL1073" t="s">
        <v>102</v>
      </c>
      <c r="AM1073">
        <v>1</v>
      </c>
      <c r="AN1073" s="2">
        <v>9780748642250</v>
      </c>
    </row>
    <row r="1074" spans="1:40" x14ac:dyDescent="0.3">
      <c r="A1074" t="s">
        <v>5357</v>
      </c>
      <c r="B1074" t="s">
        <v>1</v>
      </c>
      <c r="C1074" t="s">
        <v>5358</v>
      </c>
      <c r="D1074" t="s">
        <v>5359</v>
      </c>
      <c r="E1074" t="s">
        <v>5360</v>
      </c>
      <c r="F1074" t="s">
        <v>5</v>
      </c>
      <c r="G1074" t="s">
        <v>6</v>
      </c>
      <c r="L1074" t="s">
        <v>7</v>
      </c>
      <c r="M1074">
        <v>2021</v>
      </c>
      <c r="N1074" s="1">
        <v>44644</v>
      </c>
      <c r="O1074" t="s">
        <v>5361</v>
      </c>
      <c r="P1074">
        <v>1</v>
      </c>
      <c r="S1074">
        <v>227.95</v>
      </c>
      <c r="T1074">
        <v>260</v>
      </c>
      <c r="U1074">
        <v>200</v>
      </c>
      <c r="V1074" t="s">
        <v>9</v>
      </c>
      <c r="W1074" t="s">
        <v>10</v>
      </c>
      <c r="X1074" t="s">
        <v>11</v>
      </c>
      <c r="Y1074" t="s">
        <v>52</v>
      </c>
      <c r="AF1074" t="s">
        <v>13</v>
      </c>
      <c r="AG1074" t="str">
        <f>HYPERLINK("https://doi.org/10.1515/9781474419208")</f>
        <v>https://doi.org/10.1515/9781474419208</v>
      </c>
      <c r="AH1074" t="str">
        <f>HYPERLINK("http://www.degruyter.com/isbn/9781474419208")</f>
        <v>http://www.degruyter.com/isbn/9781474419208</v>
      </c>
      <c r="AI1074" t="s">
        <v>216</v>
      </c>
      <c r="AL1074" t="s">
        <v>15</v>
      </c>
      <c r="AM1074">
        <v>1</v>
      </c>
      <c r="AN1074" s="2">
        <v>9781474419192</v>
      </c>
    </row>
    <row r="1075" spans="1:40" x14ac:dyDescent="0.3">
      <c r="A1075" t="s">
        <v>5362</v>
      </c>
      <c r="B1075" t="s">
        <v>1</v>
      </c>
      <c r="C1075" t="s">
        <v>5363</v>
      </c>
      <c r="D1075" t="s">
        <v>5364</v>
      </c>
      <c r="E1075" t="s">
        <v>5365</v>
      </c>
      <c r="F1075" t="s">
        <v>5</v>
      </c>
      <c r="G1075" t="s">
        <v>6</v>
      </c>
      <c r="L1075" t="s">
        <v>7</v>
      </c>
      <c r="M1075">
        <v>2007</v>
      </c>
      <c r="N1075" s="1">
        <v>39213</v>
      </c>
      <c r="O1075" t="s">
        <v>5366</v>
      </c>
      <c r="P1075">
        <v>1</v>
      </c>
      <c r="S1075">
        <v>227.95</v>
      </c>
      <c r="T1075">
        <v>260</v>
      </c>
      <c r="U1075">
        <v>200</v>
      </c>
      <c r="V1075" t="s">
        <v>79</v>
      </c>
      <c r="W1075" t="s">
        <v>209</v>
      </c>
      <c r="X1075" t="s">
        <v>209</v>
      </c>
      <c r="Y1075" t="s">
        <v>510</v>
      </c>
      <c r="AF1075" t="s">
        <v>13</v>
      </c>
      <c r="AG1075" t="str">
        <f>HYPERLINK("https://doi.org/10.1515/9780748637768?locatt=mode:legacy")</f>
        <v>https://doi.org/10.1515/9780748637768?locatt=mode:legacy</v>
      </c>
      <c r="AH1075" t="str">
        <f>HYPERLINK("http://www.degruyter.com/isbn/9780748637768")</f>
        <v>http://www.degruyter.com/isbn/9780748637768</v>
      </c>
      <c r="AI1075" t="s">
        <v>68</v>
      </c>
      <c r="AL1075" t="s">
        <v>83</v>
      </c>
      <c r="AM1075">
        <v>1</v>
      </c>
      <c r="AN1075" s="2">
        <v>9780748623679</v>
      </c>
    </row>
    <row r="1076" spans="1:40" x14ac:dyDescent="0.3">
      <c r="A1076" t="s">
        <v>5367</v>
      </c>
      <c r="B1076" t="s">
        <v>1</v>
      </c>
      <c r="C1076" t="s">
        <v>5368</v>
      </c>
      <c r="D1076" t="s">
        <v>5369</v>
      </c>
      <c r="E1076" t="s">
        <v>5370</v>
      </c>
      <c r="F1076" t="s">
        <v>5</v>
      </c>
      <c r="G1076" t="s">
        <v>6</v>
      </c>
      <c r="K1076" t="s">
        <v>923</v>
      </c>
      <c r="L1076" t="s">
        <v>7</v>
      </c>
      <c r="M1076">
        <v>2017</v>
      </c>
      <c r="N1076" s="1">
        <v>42912</v>
      </c>
      <c r="O1076" t="s">
        <v>5371</v>
      </c>
      <c r="P1076">
        <v>1</v>
      </c>
      <c r="V1076" t="s">
        <v>58</v>
      </c>
      <c r="W1076" t="s">
        <v>59</v>
      </c>
      <c r="X1076" t="s">
        <v>60</v>
      </c>
      <c r="Y1076" t="s">
        <v>3787</v>
      </c>
      <c r="AF1076" t="s">
        <v>13</v>
      </c>
      <c r="AG1076" t="str">
        <f>HYPERLINK("https://doi.org/10.1515/9781474422567?locatt=mode:legacy")</f>
        <v>https://doi.org/10.1515/9781474422567?locatt=mode:legacy</v>
      </c>
      <c r="AH1076" t="str">
        <f>HYPERLINK("http://www.degruyter.com/isbn/9781474422567")</f>
        <v>http://www.degruyter.com/isbn/9781474422567</v>
      </c>
      <c r="AI1076" t="s">
        <v>222</v>
      </c>
      <c r="AM1076">
        <v>1</v>
      </c>
      <c r="AN1076" s="2"/>
    </row>
    <row r="1077" spans="1:40" x14ac:dyDescent="0.3">
      <c r="A1077" t="s">
        <v>5372</v>
      </c>
      <c r="B1077" t="s">
        <v>1</v>
      </c>
      <c r="C1077" t="s">
        <v>5373</v>
      </c>
      <c r="D1077" t="s">
        <v>5374</v>
      </c>
      <c r="E1077" t="s">
        <v>5375</v>
      </c>
      <c r="F1077" t="s">
        <v>5</v>
      </c>
      <c r="G1077" t="s">
        <v>6</v>
      </c>
      <c r="L1077" t="s">
        <v>7</v>
      </c>
      <c r="M1077">
        <v>2021</v>
      </c>
      <c r="N1077" s="1">
        <v>44656</v>
      </c>
      <c r="O1077" t="s">
        <v>5376</v>
      </c>
      <c r="P1077">
        <v>1</v>
      </c>
      <c r="S1077">
        <v>217.95</v>
      </c>
      <c r="T1077">
        <v>250</v>
      </c>
      <c r="U1077">
        <v>190</v>
      </c>
      <c r="V1077" t="s">
        <v>79</v>
      </c>
      <c r="W1077" t="s">
        <v>123</v>
      </c>
      <c r="X1077" t="s">
        <v>123</v>
      </c>
      <c r="Y1077" t="s">
        <v>124</v>
      </c>
      <c r="AF1077" t="s">
        <v>13</v>
      </c>
      <c r="AG1077" t="str">
        <f>HYPERLINK("https://doi.org/10.1515/9781474478465")</f>
        <v>https://doi.org/10.1515/9781474478465</v>
      </c>
      <c r="AH1077" t="str">
        <f>HYPERLINK("http://www.degruyter.com/isbn/9781474478465")</f>
        <v>http://www.degruyter.com/isbn/9781474478465</v>
      </c>
      <c r="AI1077" t="s">
        <v>4630</v>
      </c>
      <c r="AL1077" t="s">
        <v>83</v>
      </c>
      <c r="AM1077">
        <v>1</v>
      </c>
      <c r="AN1077" s="2">
        <v>9781474478434</v>
      </c>
    </row>
    <row r="1078" spans="1:40" x14ac:dyDescent="0.3">
      <c r="A1078" t="s">
        <v>5377</v>
      </c>
      <c r="B1078" t="s">
        <v>1</v>
      </c>
      <c r="C1078" t="s">
        <v>5378</v>
      </c>
      <c r="D1078" t="s">
        <v>5379</v>
      </c>
      <c r="E1078" t="s">
        <v>5380</v>
      </c>
      <c r="F1078" t="s">
        <v>5</v>
      </c>
      <c r="G1078" t="s">
        <v>6</v>
      </c>
      <c r="K1078" t="s">
        <v>929</v>
      </c>
      <c r="L1078" t="s">
        <v>7</v>
      </c>
      <c r="M1078">
        <v>2013</v>
      </c>
      <c r="N1078" s="1">
        <v>41619</v>
      </c>
      <c r="O1078" t="s">
        <v>5381</v>
      </c>
      <c r="P1078">
        <v>1</v>
      </c>
      <c r="V1078" t="s">
        <v>42</v>
      </c>
      <c r="W1078" t="s">
        <v>107</v>
      </c>
      <c r="X1078" t="s">
        <v>108</v>
      </c>
      <c r="Y1078" t="s">
        <v>109</v>
      </c>
      <c r="AF1078" t="s">
        <v>13</v>
      </c>
      <c r="AG1078" t="str">
        <f>HYPERLINK("https://doi.org/10.1515/9780748690817?locatt=mode:legacy")</f>
        <v>https://doi.org/10.1515/9780748690817?locatt=mode:legacy</v>
      </c>
      <c r="AH1078" t="str">
        <f>HYPERLINK("http://www.degruyter.com/isbn/9780748690817")</f>
        <v>http://www.degruyter.com/isbn/9780748690817</v>
      </c>
      <c r="AI1078" t="s">
        <v>68</v>
      </c>
      <c r="AM1078">
        <v>1</v>
      </c>
      <c r="AN1078" s="2"/>
    </row>
    <row r="1079" spans="1:40" x14ac:dyDescent="0.3">
      <c r="A1079" t="s">
        <v>5382</v>
      </c>
      <c r="B1079" t="s">
        <v>1</v>
      </c>
      <c r="C1079" t="s">
        <v>5383</v>
      </c>
      <c r="E1079" t="s">
        <v>5384</v>
      </c>
      <c r="F1079" t="s">
        <v>5</v>
      </c>
      <c r="G1079" t="s">
        <v>6</v>
      </c>
      <c r="L1079" t="s">
        <v>7</v>
      </c>
      <c r="M1079">
        <v>2004</v>
      </c>
      <c r="N1079" s="1">
        <v>38135</v>
      </c>
      <c r="O1079" t="s">
        <v>5385</v>
      </c>
      <c r="P1079">
        <v>1</v>
      </c>
      <c r="S1079">
        <v>261.95</v>
      </c>
      <c r="T1079">
        <v>300</v>
      </c>
      <c r="U1079">
        <v>230</v>
      </c>
      <c r="V1079" t="s">
        <v>58</v>
      </c>
      <c r="W1079" t="s">
        <v>59</v>
      </c>
      <c r="X1079" t="s">
        <v>60</v>
      </c>
      <c r="Y1079" t="s">
        <v>61</v>
      </c>
      <c r="AF1079" t="s">
        <v>13</v>
      </c>
      <c r="AG1079" t="str">
        <f>HYPERLINK("https://doi.org/10.1515/9781474469067")</f>
        <v>https://doi.org/10.1515/9781474469067</v>
      </c>
      <c r="AH1079" t="str">
        <f>HYPERLINK("http://www.degruyter.com/isbn/9781474469067")</f>
        <v>http://www.degruyter.com/isbn/9781474469067</v>
      </c>
      <c r="AI1079" t="s">
        <v>68</v>
      </c>
      <c r="AL1079" t="s">
        <v>62</v>
      </c>
      <c r="AM1079">
        <v>1</v>
      </c>
      <c r="AN1079" s="2">
        <v>9780748619986</v>
      </c>
    </row>
    <row r="1080" spans="1:40" x14ac:dyDescent="0.3">
      <c r="A1080" t="s">
        <v>5386</v>
      </c>
      <c r="B1080" t="s">
        <v>1</v>
      </c>
      <c r="C1080" t="s">
        <v>5387</v>
      </c>
      <c r="D1080" t="s">
        <v>5388</v>
      </c>
      <c r="E1080" t="s">
        <v>5389</v>
      </c>
      <c r="F1080" t="s">
        <v>5</v>
      </c>
      <c r="G1080" t="s">
        <v>6</v>
      </c>
      <c r="L1080" t="s">
        <v>7</v>
      </c>
      <c r="M1080">
        <v>2017</v>
      </c>
      <c r="N1080" s="1">
        <v>42934</v>
      </c>
      <c r="O1080" t="s">
        <v>5390</v>
      </c>
      <c r="P1080">
        <v>1</v>
      </c>
      <c r="S1080">
        <v>253.95</v>
      </c>
      <c r="T1080">
        <v>290</v>
      </c>
      <c r="U1080">
        <v>220</v>
      </c>
      <c r="V1080" t="s">
        <v>268</v>
      </c>
      <c r="W1080" t="s">
        <v>269</v>
      </c>
      <c r="X1080" t="s">
        <v>269</v>
      </c>
      <c r="Y1080" t="s">
        <v>360</v>
      </c>
      <c r="AF1080" t="s">
        <v>13</v>
      </c>
      <c r="AG1080" t="str">
        <f>HYPERLINK("https://doi.org/10.1515/9781474411936?locatt=mode:legacy")</f>
        <v>https://doi.org/10.1515/9781474411936?locatt=mode:legacy</v>
      </c>
      <c r="AH1080" t="str">
        <f>HYPERLINK("http://www.degruyter.com/isbn/9781474411936")</f>
        <v>http://www.degruyter.com/isbn/9781474411936</v>
      </c>
      <c r="AI1080" t="s">
        <v>5391</v>
      </c>
      <c r="AL1080" t="s">
        <v>272</v>
      </c>
      <c r="AM1080">
        <v>1</v>
      </c>
      <c r="AN1080" s="2">
        <v>9781474411929</v>
      </c>
    </row>
    <row r="1081" spans="1:40" x14ac:dyDescent="0.3">
      <c r="A1081" t="s">
        <v>5392</v>
      </c>
      <c r="B1081" t="s">
        <v>1</v>
      </c>
      <c r="C1081" t="s">
        <v>5393</v>
      </c>
      <c r="E1081" t="s">
        <v>5394</v>
      </c>
      <c r="F1081" t="s">
        <v>5</v>
      </c>
      <c r="G1081" t="s">
        <v>6</v>
      </c>
      <c r="L1081" t="s">
        <v>7</v>
      </c>
      <c r="M1081">
        <v>2013</v>
      </c>
      <c r="N1081" s="1">
        <v>41407</v>
      </c>
      <c r="O1081" t="s">
        <v>5395</v>
      </c>
      <c r="P1081">
        <v>1</v>
      </c>
      <c r="S1081">
        <v>227.95</v>
      </c>
      <c r="T1081">
        <v>260</v>
      </c>
      <c r="U1081">
        <v>200</v>
      </c>
      <c r="V1081" t="s">
        <v>79</v>
      </c>
      <c r="W1081" t="s">
        <v>209</v>
      </c>
      <c r="X1081" t="s">
        <v>209</v>
      </c>
      <c r="Y1081" t="s">
        <v>510</v>
      </c>
      <c r="AF1081" t="s">
        <v>13</v>
      </c>
      <c r="AG1081" t="str">
        <f>HYPERLINK("https://doi.org/10.1515/9780748678952")</f>
        <v>https://doi.org/10.1515/9780748678952</v>
      </c>
      <c r="AH1081" t="str">
        <f>HYPERLINK("http://www.degruyter.com/isbn/9780748678952")</f>
        <v>http://www.degruyter.com/isbn/9780748678952</v>
      </c>
      <c r="AI1081" t="s">
        <v>68</v>
      </c>
      <c r="AL1081" t="s">
        <v>83</v>
      </c>
      <c r="AM1081">
        <v>1</v>
      </c>
      <c r="AN1081" s="2">
        <v>9780748678945</v>
      </c>
    </row>
    <row r="1082" spans="1:40" x14ac:dyDescent="0.3">
      <c r="A1082" t="s">
        <v>5396</v>
      </c>
      <c r="B1082" t="s">
        <v>1</v>
      </c>
      <c r="C1082" t="s">
        <v>5397</v>
      </c>
      <c r="E1082" t="s">
        <v>5398</v>
      </c>
      <c r="F1082" t="s">
        <v>5</v>
      </c>
      <c r="G1082" t="s">
        <v>6</v>
      </c>
      <c r="L1082" t="s">
        <v>7</v>
      </c>
      <c r="M1082">
        <v>2021</v>
      </c>
      <c r="N1082" s="1">
        <v>44656</v>
      </c>
      <c r="O1082" t="s">
        <v>5399</v>
      </c>
      <c r="P1082">
        <v>1</v>
      </c>
      <c r="S1082">
        <v>217.95</v>
      </c>
      <c r="T1082">
        <v>250</v>
      </c>
      <c r="U1082">
        <v>190</v>
      </c>
      <c r="V1082" t="s">
        <v>42</v>
      </c>
      <c r="W1082" t="s">
        <v>107</v>
      </c>
      <c r="X1082" t="s">
        <v>108</v>
      </c>
      <c r="Y1082" t="s">
        <v>109</v>
      </c>
      <c r="AF1082" t="s">
        <v>13</v>
      </c>
      <c r="AG1082" t="str">
        <f>HYPERLINK("https://doi.org/10.1515/9781474429924")</f>
        <v>https://doi.org/10.1515/9781474429924</v>
      </c>
      <c r="AH1082" t="str">
        <f>HYPERLINK("http://www.degruyter.com/isbn/9781474429924")</f>
        <v>http://www.degruyter.com/isbn/9781474429924</v>
      </c>
      <c r="AI1082" t="s">
        <v>110</v>
      </c>
      <c r="AL1082" t="s">
        <v>47</v>
      </c>
      <c r="AM1082">
        <v>1</v>
      </c>
      <c r="AN1082" s="2">
        <v>9781474429900</v>
      </c>
    </row>
    <row r="1083" spans="1:40" x14ac:dyDescent="0.3">
      <c r="A1083" t="s">
        <v>5400</v>
      </c>
      <c r="B1083" t="s">
        <v>1</v>
      </c>
      <c r="C1083" t="s">
        <v>5401</v>
      </c>
      <c r="D1083" t="s">
        <v>5402</v>
      </c>
      <c r="E1083" t="s">
        <v>5403</v>
      </c>
      <c r="F1083" t="s">
        <v>5</v>
      </c>
      <c r="G1083" t="s">
        <v>6</v>
      </c>
      <c r="L1083" t="s">
        <v>7</v>
      </c>
      <c r="M1083">
        <v>1998</v>
      </c>
      <c r="N1083" s="1">
        <v>44607</v>
      </c>
      <c r="O1083" t="s">
        <v>5404</v>
      </c>
      <c r="P1083">
        <v>1</v>
      </c>
      <c r="S1083">
        <v>217.95</v>
      </c>
      <c r="T1083">
        <v>250</v>
      </c>
      <c r="U1083">
        <v>190</v>
      </c>
      <c r="V1083" t="s">
        <v>79</v>
      </c>
      <c r="W1083" t="s">
        <v>209</v>
      </c>
      <c r="X1083" t="s">
        <v>209</v>
      </c>
      <c r="Y1083" t="s">
        <v>699</v>
      </c>
      <c r="AF1083" t="s">
        <v>13</v>
      </c>
      <c r="AG1083" t="str">
        <f>HYPERLINK("https://doi.org/10.1515/9781474469715")</f>
        <v>https://doi.org/10.1515/9781474469715</v>
      </c>
      <c r="AH1083" t="str">
        <f>HYPERLINK("http://www.degruyter.com/isbn/9781474469715")</f>
        <v>http://www.degruyter.com/isbn/9781474469715</v>
      </c>
      <c r="AI1083" t="s">
        <v>24</v>
      </c>
      <c r="AL1083" t="s">
        <v>83</v>
      </c>
      <c r="AM1083">
        <v>1</v>
      </c>
      <c r="AN1083" s="2">
        <v>9780748610532</v>
      </c>
    </row>
    <row r="1084" spans="1:40" x14ac:dyDescent="0.3">
      <c r="A1084" t="s">
        <v>5405</v>
      </c>
      <c r="B1084" t="s">
        <v>1</v>
      </c>
      <c r="C1084" t="s">
        <v>5406</v>
      </c>
      <c r="E1084" t="s">
        <v>5407</v>
      </c>
      <c r="F1084" t="s">
        <v>5</v>
      </c>
      <c r="G1084" t="s">
        <v>6</v>
      </c>
      <c r="L1084" t="s">
        <v>7</v>
      </c>
      <c r="M1084">
        <v>2015</v>
      </c>
      <c r="N1084" s="1">
        <v>42234</v>
      </c>
      <c r="O1084" t="s">
        <v>5408</v>
      </c>
      <c r="P1084">
        <v>1</v>
      </c>
      <c r="S1084">
        <v>217.95</v>
      </c>
      <c r="T1084">
        <v>250</v>
      </c>
      <c r="U1084">
        <v>190</v>
      </c>
      <c r="V1084" t="s">
        <v>42</v>
      </c>
      <c r="W1084" t="s">
        <v>43</v>
      </c>
      <c r="X1084" t="s">
        <v>44</v>
      </c>
      <c r="Y1084" t="s">
        <v>45</v>
      </c>
      <c r="AF1084" t="s">
        <v>13</v>
      </c>
      <c r="AG1084" t="str">
        <f>HYPERLINK("https://doi.org/10.1515/9780748698240?locatt=mode:legacy")</f>
        <v>https://doi.org/10.1515/9780748698240?locatt=mode:legacy</v>
      </c>
      <c r="AH1084" t="str">
        <f>HYPERLINK("http://www.degruyter.com/isbn/9780748698240")</f>
        <v>http://www.degruyter.com/isbn/9780748698240</v>
      </c>
      <c r="AI1084" t="s">
        <v>34</v>
      </c>
      <c r="AL1084" t="s">
        <v>47</v>
      </c>
      <c r="AM1084">
        <v>1</v>
      </c>
      <c r="AN1084" s="2">
        <v>9780748698233</v>
      </c>
    </row>
    <row r="1085" spans="1:40" x14ac:dyDescent="0.3">
      <c r="A1085" t="s">
        <v>5409</v>
      </c>
      <c r="B1085" t="s">
        <v>1</v>
      </c>
      <c r="C1085" t="s">
        <v>5410</v>
      </c>
      <c r="E1085" t="s">
        <v>5411</v>
      </c>
      <c r="F1085" t="s">
        <v>5</v>
      </c>
      <c r="G1085" t="s">
        <v>6</v>
      </c>
      <c r="L1085" t="s">
        <v>7</v>
      </c>
      <c r="M1085">
        <v>2002</v>
      </c>
      <c r="N1085" s="1">
        <v>44607</v>
      </c>
      <c r="O1085" t="s">
        <v>5412</v>
      </c>
      <c r="P1085">
        <v>1</v>
      </c>
      <c r="S1085">
        <v>217.95</v>
      </c>
      <c r="T1085">
        <v>250</v>
      </c>
      <c r="U1085">
        <v>190</v>
      </c>
      <c r="V1085" t="s">
        <v>1325</v>
      </c>
      <c r="W1085" t="s">
        <v>1485</v>
      </c>
      <c r="X1085" t="s">
        <v>1485</v>
      </c>
      <c r="Y1085" t="s">
        <v>1486</v>
      </c>
      <c r="AF1085" t="s">
        <v>13</v>
      </c>
      <c r="AG1085" t="str">
        <f>HYPERLINK("https://doi.org/10.1515/9781474469005")</f>
        <v>https://doi.org/10.1515/9781474469005</v>
      </c>
      <c r="AH1085" t="str">
        <f>HYPERLINK("http://www.degruyter.com/isbn/9781474469005")</f>
        <v>http://www.degruyter.com/isbn/9781474469005</v>
      </c>
      <c r="AI1085" t="s">
        <v>68</v>
      </c>
      <c r="AL1085" t="s">
        <v>1328</v>
      </c>
      <c r="AM1085">
        <v>1</v>
      </c>
      <c r="AN1085" s="2">
        <v>9780748615810</v>
      </c>
    </row>
    <row r="1086" spans="1:40" x14ac:dyDescent="0.3">
      <c r="A1086" t="s">
        <v>5413</v>
      </c>
      <c r="B1086" t="s">
        <v>1</v>
      </c>
      <c r="C1086" t="s">
        <v>5414</v>
      </c>
      <c r="D1086" t="s">
        <v>5415</v>
      </c>
      <c r="E1086" t="s">
        <v>5416</v>
      </c>
      <c r="F1086" t="s">
        <v>5</v>
      </c>
      <c r="G1086" t="s">
        <v>6</v>
      </c>
      <c r="L1086" t="s">
        <v>7</v>
      </c>
      <c r="M1086">
        <v>2013</v>
      </c>
      <c r="N1086" s="1">
        <v>41594</v>
      </c>
      <c r="O1086" t="s">
        <v>5417</v>
      </c>
      <c r="P1086">
        <v>1</v>
      </c>
      <c r="S1086">
        <v>243.95</v>
      </c>
      <c r="T1086">
        <v>280</v>
      </c>
      <c r="U1086">
        <v>210</v>
      </c>
      <c r="V1086" t="s">
        <v>30</v>
      </c>
      <c r="W1086" t="s">
        <v>1629</v>
      </c>
      <c r="X1086" t="s">
        <v>1630</v>
      </c>
      <c r="Y1086" t="s">
        <v>1631</v>
      </c>
      <c r="AF1086" t="s">
        <v>13</v>
      </c>
      <c r="AG1086" t="str">
        <f>HYPERLINK("https://doi.org/10.1515/9780748672370")</f>
        <v>https://doi.org/10.1515/9780748672370</v>
      </c>
      <c r="AH1086" t="str">
        <f>HYPERLINK("http://www.degruyter.com/isbn/9780748672370")</f>
        <v>http://www.degruyter.com/isbn/9780748672370</v>
      </c>
      <c r="AI1086" t="s">
        <v>68</v>
      </c>
      <c r="AL1086" t="s">
        <v>272</v>
      </c>
      <c r="AM1086">
        <v>1</v>
      </c>
      <c r="AN1086" s="2">
        <v>9780748647613</v>
      </c>
    </row>
    <row r="1087" spans="1:40" x14ac:dyDescent="0.3">
      <c r="A1087" t="s">
        <v>5418</v>
      </c>
      <c r="B1087" t="s">
        <v>1</v>
      </c>
      <c r="C1087" t="s">
        <v>5419</v>
      </c>
      <c r="D1087" t="s">
        <v>5420</v>
      </c>
      <c r="E1087" t="s">
        <v>5421</v>
      </c>
      <c r="F1087" t="s">
        <v>5</v>
      </c>
      <c r="G1087" t="s">
        <v>6</v>
      </c>
      <c r="L1087" t="s">
        <v>7</v>
      </c>
      <c r="M1087">
        <v>2016</v>
      </c>
      <c r="N1087" s="1">
        <v>42660</v>
      </c>
      <c r="O1087" t="s">
        <v>5422</v>
      </c>
      <c r="P1087">
        <v>1</v>
      </c>
      <c r="S1087">
        <v>217.95</v>
      </c>
      <c r="T1087">
        <v>250</v>
      </c>
      <c r="U1087">
        <v>190</v>
      </c>
      <c r="V1087" t="s">
        <v>98</v>
      </c>
      <c r="W1087" t="s">
        <v>99</v>
      </c>
      <c r="X1087" t="s">
        <v>100</v>
      </c>
      <c r="Y1087" t="s">
        <v>937</v>
      </c>
      <c r="AF1087" t="s">
        <v>13</v>
      </c>
      <c r="AG1087" t="str">
        <f>HYPERLINK("https://doi.org/10.1515/9781474409094")</f>
        <v>https://doi.org/10.1515/9781474409094</v>
      </c>
      <c r="AH1087" t="str">
        <f>HYPERLINK("http://www.degruyter.com/isbn/9781474409094")</f>
        <v>http://www.degruyter.com/isbn/9781474409094</v>
      </c>
      <c r="AI1087" t="s">
        <v>180</v>
      </c>
      <c r="AL1087" t="s">
        <v>102</v>
      </c>
      <c r="AM1087">
        <v>1</v>
      </c>
      <c r="AN1087" s="2">
        <v>9781474409087</v>
      </c>
    </row>
    <row r="1088" spans="1:40" x14ac:dyDescent="0.3">
      <c r="A1088" t="s">
        <v>5423</v>
      </c>
      <c r="B1088" t="s">
        <v>1</v>
      </c>
      <c r="C1088" t="s">
        <v>5424</v>
      </c>
      <c r="D1088" t="s">
        <v>5425</v>
      </c>
      <c r="E1088" t="s">
        <v>5426</v>
      </c>
      <c r="F1088" t="s">
        <v>5</v>
      </c>
      <c r="G1088" t="s">
        <v>6</v>
      </c>
      <c r="L1088" t="s">
        <v>7</v>
      </c>
      <c r="M1088">
        <v>2005</v>
      </c>
      <c r="N1088" s="1">
        <v>44607</v>
      </c>
      <c r="O1088" t="s">
        <v>4465</v>
      </c>
      <c r="P1088">
        <v>1</v>
      </c>
      <c r="S1088">
        <v>217.95</v>
      </c>
      <c r="T1088">
        <v>250</v>
      </c>
      <c r="U1088">
        <v>190</v>
      </c>
      <c r="V1088" t="s">
        <v>79</v>
      </c>
      <c r="W1088" t="s">
        <v>209</v>
      </c>
      <c r="X1088" t="s">
        <v>209</v>
      </c>
      <c r="Y1088" t="s">
        <v>510</v>
      </c>
      <c r="AF1088" t="s">
        <v>13</v>
      </c>
      <c r="AG1088" t="str">
        <f>HYPERLINK("https://doi.org/10.1515/9781474471367")</f>
        <v>https://doi.org/10.1515/9781474471367</v>
      </c>
      <c r="AH1088" t="str">
        <f>HYPERLINK("http://www.degruyter.com/isbn/9781474471367")</f>
        <v>http://www.degruyter.com/isbn/9781474471367</v>
      </c>
      <c r="AI1088" t="s">
        <v>68</v>
      </c>
      <c r="AL1088" t="s">
        <v>83</v>
      </c>
      <c r="AM1088">
        <v>1</v>
      </c>
      <c r="AN1088" s="2">
        <v>9780748615988</v>
      </c>
    </row>
    <row r="1089" spans="1:40" x14ac:dyDescent="0.3">
      <c r="A1089" t="s">
        <v>5427</v>
      </c>
      <c r="B1089" t="s">
        <v>1</v>
      </c>
      <c r="C1089" t="s">
        <v>5428</v>
      </c>
      <c r="D1089" t="s">
        <v>5429</v>
      </c>
      <c r="E1089" t="s">
        <v>5430</v>
      </c>
      <c r="F1089" t="s">
        <v>5</v>
      </c>
      <c r="G1089" t="s">
        <v>6</v>
      </c>
      <c r="L1089" t="s">
        <v>7</v>
      </c>
      <c r="M1089">
        <v>2002</v>
      </c>
      <c r="N1089" s="1">
        <v>37454</v>
      </c>
      <c r="O1089" t="s">
        <v>5431</v>
      </c>
      <c r="P1089">
        <v>1</v>
      </c>
      <c r="S1089">
        <v>287.95</v>
      </c>
      <c r="T1089">
        <v>330</v>
      </c>
      <c r="U1089">
        <v>250</v>
      </c>
      <c r="V1089" t="s">
        <v>42</v>
      </c>
      <c r="W1089" t="s">
        <v>740</v>
      </c>
      <c r="X1089" t="s">
        <v>741</v>
      </c>
      <c r="Y1089" t="s">
        <v>742</v>
      </c>
      <c r="AF1089" t="s">
        <v>13</v>
      </c>
      <c r="AG1089" t="str">
        <f>HYPERLINK("https://doi.org/10.1515/9781474472074")</f>
        <v>https://doi.org/10.1515/9781474472074</v>
      </c>
      <c r="AH1089" t="str">
        <f>HYPERLINK("http://www.degruyter.com/isbn/9781474472074")</f>
        <v>http://www.degruyter.com/isbn/9781474472074</v>
      </c>
      <c r="AI1089" t="s">
        <v>68</v>
      </c>
      <c r="AL1089" t="s">
        <v>47</v>
      </c>
      <c r="AM1089">
        <v>1</v>
      </c>
      <c r="AN1089" s="2">
        <v>9780748611379</v>
      </c>
    </row>
    <row r="1090" spans="1:40" x14ac:dyDescent="0.3">
      <c r="A1090" t="s">
        <v>5432</v>
      </c>
      <c r="B1090" t="s">
        <v>1</v>
      </c>
      <c r="C1090" t="s">
        <v>5433</v>
      </c>
      <c r="D1090" t="s">
        <v>5434</v>
      </c>
      <c r="E1090" t="s">
        <v>5435</v>
      </c>
      <c r="F1090" t="s">
        <v>5</v>
      </c>
      <c r="G1090" t="s">
        <v>6</v>
      </c>
      <c r="L1090" t="s">
        <v>7</v>
      </c>
      <c r="M1090">
        <v>2019</v>
      </c>
      <c r="N1090" s="1">
        <v>44644</v>
      </c>
      <c r="O1090" t="s">
        <v>5436</v>
      </c>
      <c r="P1090">
        <v>1</v>
      </c>
      <c r="S1090">
        <v>279.95</v>
      </c>
      <c r="T1090">
        <v>320</v>
      </c>
      <c r="U1090">
        <v>240</v>
      </c>
      <c r="V1090" t="s">
        <v>98</v>
      </c>
      <c r="W1090" t="s">
        <v>2283</v>
      </c>
      <c r="X1090" t="s">
        <v>5437</v>
      </c>
      <c r="Y1090" t="s">
        <v>5438</v>
      </c>
      <c r="AF1090" t="s">
        <v>13</v>
      </c>
      <c r="AG1090" t="str">
        <f>HYPERLINK("https://doi.org/10.1515/9781474446020")</f>
        <v>https://doi.org/10.1515/9781474446020</v>
      </c>
      <c r="AH1090" t="str">
        <f>HYPERLINK("http://www.degruyter.com/isbn/9781474446020")</f>
        <v>http://www.degruyter.com/isbn/9781474446020</v>
      </c>
      <c r="AI1090" t="s">
        <v>280</v>
      </c>
      <c r="AL1090" t="s">
        <v>102</v>
      </c>
      <c r="AM1090">
        <v>1</v>
      </c>
      <c r="AN1090" s="2">
        <v>9781474446006</v>
      </c>
    </row>
    <row r="1091" spans="1:40" x14ac:dyDescent="0.3">
      <c r="A1091" t="s">
        <v>5439</v>
      </c>
      <c r="B1091" t="s">
        <v>1</v>
      </c>
      <c r="C1091" t="s">
        <v>5440</v>
      </c>
      <c r="D1091" t="s">
        <v>5441</v>
      </c>
      <c r="E1091" t="s">
        <v>5442</v>
      </c>
      <c r="F1091" t="s">
        <v>5</v>
      </c>
      <c r="G1091" t="s">
        <v>6</v>
      </c>
      <c r="L1091" t="s">
        <v>7</v>
      </c>
      <c r="M1091">
        <v>2008</v>
      </c>
      <c r="N1091" s="1">
        <v>39470</v>
      </c>
      <c r="O1091" t="s">
        <v>3937</v>
      </c>
      <c r="P1091">
        <v>1</v>
      </c>
      <c r="S1091">
        <v>279.95</v>
      </c>
      <c r="T1091">
        <v>320</v>
      </c>
      <c r="U1091">
        <v>240</v>
      </c>
      <c r="V1091" t="s">
        <v>42</v>
      </c>
      <c r="W1091" t="s">
        <v>116</v>
      </c>
      <c r="X1091" t="s">
        <v>116</v>
      </c>
      <c r="Y1091" t="s">
        <v>117</v>
      </c>
      <c r="AF1091" t="s">
        <v>13</v>
      </c>
      <c r="AG1091" t="str">
        <f>HYPERLINK("https://doi.org/10.1515/9780748628865?locatt=mode:legacy")</f>
        <v>https://doi.org/10.1515/9780748628865?locatt=mode:legacy</v>
      </c>
      <c r="AH1091" t="str">
        <f>HYPERLINK("http://www.degruyter.com/isbn/9780748628865")</f>
        <v>http://www.degruyter.com/isbn/9780748628865</v>
      </c>
      <c r="AI1091" t="s">
        <v>68</v>
      </c>
      <c r="AL1091" t="s">
        <v>47</v>
      </c>
      <c r="AM1091">
        <v>1</v>
      </c>
      <c r="AN1091" s="2">
        <v>9780748618309</v>
      </c>
    </row>
    <row r="1092" spans="1:40" x14ac:dyDescent="0.3">
      <c r="A1092" t="s">
        <v>5443</v>
      </c>
      <c r="B1092" t="s">
        <v>1</v>
      </c>
      <c r="C1092" t="s">
        <v>5444</v>
      </c>
      <c r="D1092" t="s">
        <v>27</v>
      </c>
      <c r="E1092" t="s">
        <v>5445</v>
      </c>
      <c r="F1092" t="s">
        <v>5</v>
      </c>
      <c r="G1092" t="s">
        <v>6</v>
      </c>
      <c r="L1092" t="s">
        <v>7</v>
      </c>
      <c r="M1092">
        <v>2001</v>
      </c>
      <c r="N1092" s="1">
        <v>44607</v>
      </c>
      <c r="O1092" t="s">
        <v>5446</v>
      </c>
      <c r="P1092">
        <v>1</v>
      </c>
      <c r="S1092">
        <v>217.95</v>
      </c>
      <c r="T1092">
        <v>250</v>
      </c>
      <c r="U1092">
        <v>190</v>
      </c>
      <c r="V1092" t="s">
        <v>42</v>
      </c>
      <c r="W1092" t="s">
        <v>116</v>
      </c>
      <c r="X1092" t="s">
        <v>116</v>
      </c>
      <c r="Y1092" t="s">
        <v>117</v>
      </c>
      <c r="AF1092" t="s">
        <v>13</v>
      </c>
      <c r="AG1092" t="str">
        <f>HYPERLINK("https://doi.org/10.1515/9781474472661")</f>
        <v>https://doi.org/10.1515/9781474472661</v>
      </c>
      <c r="AH1092" t="str">
        <f>HYPERLINK("http://www.degruyter.com/isbn/9781474472661")</f>
        <v>http://www.degruyter.com/isbn/9781474472661</v>
      </c>
      <c r="AI1092" t="s">
        <v>68</v>
      </c>
      <c r="AL1092" t="s">
        <v>47</v>
      </c>
      <c r="AM1092">
        <v>1</v>
      </c>
      <c r="AN1092" s="2">
        <v>9780748610228</v>
      </c>
    </row>
    <row r="1093" spans="1:40" x14ac:dyDescent="0.3">
      <c r="A1093" t="s">
        <v>5447</v>
      </c>
      <c r="B1093" t="s">
        <v>1</v>
      </c>
      <c r="C1093" t="s">
        <v>5448</v>
      </c>
      <c r="D1093" t="s">
        <v>5449</v>
      </c>
      <c r="E1093" t="s">
        <v>5450</v>
      </c>
      <c r="F1093" t="s">
        <v>5</v>
      </c>
      <c r="G1093" t="s">
        <v>6</v>
      </c>
      <c r="L1093" t="s">
        <v>7</v>
      </c>
      <c r="M1093">
        <v>2007</v>
      </c>
      <c r="N1093" s="1">
        <v>39190</v>
      </c>
      <c r="O1093" t="s">
        <v>5451</v>
      </c>
      <c r="P1093">
        <v>1</v>
      </c>
      <c r="S1093">
        <v>253.95</v>
      </c>
      <c r="T1093">
        <v>290</v>
      </c>
      <c r="U1093">
        <v>220</v>
      </c>
      <c r="V1093" t="s">
        <v>79</v>
      </c>
      <c r="W1093" t="s">
        <v>209</v>
      </c>
      <c r="X1093" t="s">
        <v>209</v>
      </c>
      <c r="Y1093" t="s">
        <v>699</v>
      </c>
      <c r="AF1093" t="s">
        <v>13</v>
      </c>
      <c r="AG1093" t="str">
        <f>HYPERLINK("https://doi.org/10.1515/9780748631032")</f>
        <v>https://doi.org/10.1515/9780748631032</v>
      </c>
      <c r="AH1093" t="str">
        <f>HYPERLINK("http://www.degruyter.com/isbn/9780748631032")</f>
        <v>http://www.degruyter.com/isbn/9780748631032</v>
      </c>
      <c r="AI1093" t="s">
        <v>68</v>
      </c>
      <c r="AL1093" t="s">
        <v>83</v>
      </c>
      <c r="AM1093">
        <v>1</v>
      </c>
      <c r="AN1093" s="2">
        <v>9780748625468</v>
      </c>
    </row>
    <row r="1094" spans="1:40" x14ac:dyDescent="0.3">
      <c r="A1094" t="s">
        <v>5452</v>
      </c>
      <c r="B1094" t="s">
        <v>1</v>
      </c>
      <c r="C1094" t="s">
        <v>5453</v>
      </c>
      <c r="D1094" t="s">
        <v>5454</v>
      </c>
      <c r="E1094" t="s">
        <v>5455</v>
      </c>
      <c r="F1094" t="s">
        <v>5</v>
      </c>
      <c r="G1094" t="s">
        <v>6</v>
      </c>
      <c r="L1094" t="s">
        <v>7</v>
      </c>
      <c r="M1094">
        <v>2000</v>
      </c>
      <c r="N1094" s="1">
        <v>44607</v>
      </c>
      <c r="O1094" t="s">
        <v>5456</v>
      </c>
      <c r="P1094">
        <v>1</v>
      </c>
      <c r="S1094">
        <v>217.95</v>
      </c>
      <c r="T1094">
        <v>250</v>
      </c>
      <c r="U1094">
        <v>190</v>
      </c>
      <c r="V1094" t="s">
        <v>20</v>
      </c>
      <c r="W1094" t="s">
        <v>21</v>
      </c>
      <c r="X1094" t="s">
        <v>575</v>
      </c>
      <c r="Y1094" t="s">
        <v>576</v>
      </c>
      <c r="AF1094" t="s">
        <v>13</v>
      </c>
      <c r="AG1094" t="str">
        <f>HYPERLINK("https://doi.org/10.1515/9781474496858")</f>
        <v>https://doi.org/10.1515/9781474496858</v>
      </c>
      <c r="AH1094" t="str">
        <f>HYPERLINK("http://www.degruyter.com/isbn/9781474496858")</f>
        <v>http://www.degruyter.com/isbn/9781474496858</v>
      </c>
      <c r="AI1094" t="s">
        <v>4219</v>
      </c>
      <c r="AL1094" t="s">
        <v>15</v>
      </c>
      <c r="AM1094">
        <v>1</v>
      </c>
      <c r="AN1094" s="2">
        <v>9780748613632</v>
      </c>
    </row>
    <row r="1095" spans="1:40" x14ac:dyDescent="0.3">
      <c r="A1095" t="s">
        <v>5457</v>
      </c>
      <c r="B1095" t="s">
        <v>1</v>
      </c>
      <c r="C1095" t="s">
        <v>5458</v>
      </c>
      <c r="E1095" t="s">
        <v>5459</v>
      </c>
      <c r="F1095" t="s">
        <v>5</v>
      </c>
      <c r="G1095" t="s">
        <v>6</v>
      </c>
      <c r="L1095" t="s">
        <v>7</v>
      </c>
      <c r="M1095">
        <v>2000</v>
      </c>
      <c r="N1095" s="1">
        <v>44607</v>
      </c>
      <c r="O1095" t="s">
        <v>5460</v>
      </c>
      <c r="P1095">
        <v>1</v>
      </c>
      <c r="S1095">
        <v>217.95</v>
      </c>
      <c r="T1095">
        <v>250</v>
      </c>
      <c r="U1095">
        <v>190</v>
      </c>
      <c r="V1095" t="s">
        <v>42</v>
      </c>
      <c r="W1095" t="s">
        <v>43</v>
      </c>
      <c r="X1095" t="s">
        <v>178</v>
      </c>
      <c r="Y1095" t="s">
        <v>3750</v>
      </c>
      <c r="AF1095" t="s">
        <v>13</v>
      </c>
      <c r="AG1095" t="str">
        <f>HYPERLINK("https://doi.org/10.1515/9781474497107")</f>
        <v>https://doi.org/10.1515/9781474497107</v>
      </c>
      <c r="AH1095" t="str">
        <f>HYPERLINK("http://www.degruyter.com/isbn/9781474497107")</f>
        <v>http://www.degruyter.com/isbn/9781474497107</v>
      </c>
      <c r="AI1095" t="s">
        <v>68</v>
      </c>
      <c r="AL1095" t="s">
        <v>47</v>
      </c>
      <c r="AM1095">
        <v>1</v>
      </c>
      <c r="AN1095" s="2">
        <v>9780748611959</v>
      </c>
    </row>
    <row r="1096" spans="1:40" x14ac:dyDescent="0.3">
      <c r="A1096" t="s">
        <v>5461</v>
      </c>
      <c r="B1096" t="s">
        <v>1</v>
      </c>
      <c r="C1096" t="s">
        <v>5462</v>
      </c>
      <c r="D1096" t="s">
        <v>27</v>
      </c>
      <c r="E1096" t="s">
        <v>5463</v>
      </c>
      <c r="F1096" t="s">
        <v>5</v>
      </c>
      <c r="G1096" t="s">
        <v>6</v>
      </c>
      <c r="L1096" t="s">
        <v>7</v>
      </c>
      <c r="M1096">
        <v>1998</v>
      </c>
      <c r="N1096" s="1">
        <v>44656</v>
      </c>
      <c r="O1096" t="s">
        <v>5464</v>
      </c>
      <c r="P1096">
        <v>1</v>
      </c>
      <c r="S1096">
        <v>217.95</v>
      </c>
      <c r="T1096">
        <v>250</v>
      </c>
      <c r="U1096">
        <v>190</v>
      </c>
      <c r="V1096" t="s">
        <v>79</v>
      </c>
      <c r="W1096" t="s">
        <v>209</v>
      </c>
      <c r="X1096" t="s">
        <v>209</v>
      </c>
      <c r="Y1096" t="s">
        <v>510</v>
      </c>
      <c r="AF1096" t="s">
        <v>13</v>
      </c>
      <c r="AG1096" t="str">
        <f>HYPERLINK("https://doi.org/10.1515/9780585154701")</f>
        <v>https://doi.org/10.1515/9780585154701</v>
      </c>
      <c r="AH1096" t="str">
        <f>HYPERLINK("http://www.degruyter.com/isbn/9780585154701")</f>
        <v>http://www.degruyter.com/isbn/9780585154701</v>
      </c>
      <c r="AI1096" t="s">
        <v>24</v>
      </c>
      <c r="AL1096" t="s">
        <v>83</v>
      </c>
      <c r="AM1096">
        <v>1</v>
      </c>
      <c r="AN1096" s="2">
        <v>9780748610389</v>
      </c>
    </row>
    <row r="1097" spans="1:40" x14ac:dyDescent="0.3">
      <c r="A1097" t="s">
        <v>5465</v>
      </c>
      <c r="B1097" t="s">
        <v>1</v>
      </c>
      <c r="C1097" t="s">
        <v>5466</v>
      </c>
      <c r="D1097" t="s">
        <v>5467</v>
      </c>
      <c r="E1097" t="s">
        <v>5468</v>
      </c>
      <c r="F1097" t="s">
        <v>5</v>
      </c>
      <c r="G1097" t="s">
        <v>6</v>
      </c>
      <c r="L1097" t="s">
        <v>7</v>
      </c>
      <c r="M1097">
        <v>2003</v>
      </c>
      <c r="N1097" s="1">
        <v>44634</v>
      </c>
      <c r="O1097" t="s">
        <v>5469</v>
      </c>
      <c r="P1097">
        <v>1</v>
      </c>
      <c r="S1097">
        <v>217.95</v>
      </c>
      <c r="T1097">
        <v>250</v>
      </c>
      <c r="U1097">
        <v>190</v>
      </c>
      <c r="V1097" t="s">
        <v>79</v>
      </c>
      <c r="W1097" t="s">
        <v>209</v>
      </c>
      <c r="X1097" t="s">
        <v>209</v>
      </c>
      <c r="Y1097" t="s">
        <v>510</v>
      </c>
      <c r="AF1097" t="s">
        <v>13</v>
      </c>
      <c r="AG1097" t="str">
        <f>HYPERLINK("https://doi.org/10.1515/9781474473019")</f>
        <v>https://doi.org/10.1515/9781474473019</v>
      </c>
      <c r="AH1097" t="str">
        <f>HYPERLINK("http://www.degruyter.com/isbn/9781474473019")</f>
        <v>http://www.degruyter.com/isbn/9781474473019</v>
      </c>
      <c r="AI1097" t="s">
        <v>68</v>
      </c>
      <c r="AL1097" t="s">
        <v>83</v>
      </c>
      <c r="AM1097">
        <v>1</v>
      </c>
      <c r="AN1097" s="2">
        <v>9780748617388</v>
      </c>
    </row>
    <row r="1098" spans="1:40" x14ac:dyDescent="0.3">
      <c r="A1098" t="s">
        <v>5470</v>
      </c>
      <c r="B1098" t="s">
        <v>1</v>
      </c>
      <c r="C1098" t="s">
        <v>5471</v>
      </c>
      <c r="D1098" t="s">
        <v>5472</v>
      </c>
      <c r="E1098" t="s">
        <v>5473</v>
      </c>
      <c r="F1098" t="s">
        <v>5</v>
      </c>
      <c r="G1098" t="s">
        <v>6</v>
      </c>
      <c r="K1098" t="s">
        <v>923</v>
      </c>
      <c r="L1098" t="s">
        <v>7</v>
      </c>
      <c r="M1098">
        <v>2021</v>
      </c>
      <c r="N1098" s="1">
        <v>44428</v>
      </c>
      <c r="O1098" t="s">
        <v>1115</v>
      </c>
      <c r="P1098">
        <v>1</v>
      </c>
      <c r="V1098" t="s">
        <v>58</v>
      </c>
      <c r="W1098" t="s">
        <v>59</v>
      </c>
      <c r="X1098" t="s">
        <v>60</v>
      </c>
      <c r="Y1098" t="s">
        <v>73</v>
      </c>
      <c r="AF1098" t="s">
        <v>13</v>
      </c>
      <c r="AG1098" t="str">
        <f>HYPERLINK("https://doi.org/10.1515/9781474485807")</f>
        <v>https://doi.org/10.1515/9781474485807</v>
      </c>
      <c r="AH1098" t="str">
        <f>HYPERLINK("http://www.degruyter.com/isbn/9781474485807")</f>
        <v>http://www.degruyter.com/isbn/9781474485807</v>
      </c>
      <c r="AI1098" t="s">
        <v>5150</v>
      </c>
      <c r="AM1098">
        <v>1</v>
      </c>
      <c r="AN1098" s="2"/>
    </row>
    <row r="1099" spans="1:40" x14ac:dyDescent="0.3">
      <c r="A1099" t="s">
        <v>5474</v>
      </c>
      <c r="B1099" t="s">
        <v>1</v>
      </c>
      <c r="C1099" t="s">
        <v>5475</v>
      </c>
      <c r="D1099" t="s">
        <v>5476</v>
      </c>
      <c r="E1099" t="s">
        <v>5477</v>
      </c>
      <c r="F1099" t="s">
        <v>5</v>
      </c>
      <c r="G1099" t="s">
        <v>6</v>
      </c>
      <c r="L1099" t="s">
        <v>7</v>
      </c>
      <c r="M1099">
        <v>1999</v>
      </c>
      <c r="N1099" s="1">
        <v>44607</v>
      </c>
      <c r="O1099" t="s">
        <v>5478</v>
      </c>
      <c r="P1099">
        <v>1</v>
      </c>
      <c r="S1099">
        <v>79.95</v>
      </c>
      <c r="T1099">
        <v>89.95</v>
      </c>
      <c r="U1099">
        <v>67.98</v>
      </c>
      <c r="V1099" t="s">
        <v>42</v>
      </c>
      <c r="W1099" t="s">
        <v>116</v>
      </c>
      <c r="X1099" t="s">
        <v>116</v>
      </c>
      <c r="Y1099" t="s">
        <v>117</v>
      </c>
      <c r="AF1099" t="s">
        <v>13</v>
      </c>
      <c r="AG1099" t="str">
        <f>HYPERLINK("https://doi.org/10.1515/9781474472487")</f>
        <v>https://doi.org/10.1515/9781474472487</v>
      </c>
      <c r="AH1099" t="str">
        <f>HYPERLINK("http://www.degruyter.com/isbn/9781474472487")</f>
        <v>http://www.degruyter.com/isbn/9781474472487</v>
      </c>
      <c r="AI1099" t="s">
        <v>3035</v>
      </c>
      <c r="AL1099" t="s">
        <v>47</v>
      </c>
      <c r="AM1099">
        <v>1</v>
      </c>
      <c r="AN1099" s="2">
        <v>9781853312274</v>
      </c>
    </row>
    <row r="1100" spans="1:40" x14ac:dyDescent="0.3">
      <c r="A1100" t="s">
        <v>5479</v>
      </c>
      <c r="B1100" t="s">
        <v>1</v>
      </c>
      <c r="C1100" t="s">
        <v>5480</v>
      </c>
      <c r="D1100" t="s">
        <v>5481</v>
      </c>
      <c r="E1100" t="s">
        <v>5482</v>
      </c>
      <c r="F1100" t="s">
        <v>5</v>
      </c>
      <c r="G1100" t="s">
        <v>6</v>
      </c>
      <c r="L1100" t="s">
        <v>7</v>
      </c>
      <c r="M1100">
        <v>2017</v>
      </c>
      <c r="N1100" s="1">
        <v>42838</v>
      </c>
      <c r="O1100" t="s">
        <v>5483</v>
      </c>
      <c r="P1100">
        <v>1</v>
      </c>
      <c r="S1100">
        <v>227.95</v>
      </c>
      <c r="T1100">
        <v>260</v>
      </c>
      <c r="U1100">
        <v>200</v>
      </c>
      <c r="V1100" t="s">
        <v>42</v>
      </c>
      <c r="W1100" t="s">
        <v>43</v>
      </c>
      <c r="X1100" t="s">
        <v>44</v>
      </c>
      <c r="Y1100" t="s">
        <v>45</v>
      </c>
      <c r="AF1100" t="s">
        <v>13</v>
      </c>
      <c r="AG1100" t="str">
        <f>HYPERLINK("https://doi.org/10.1515/9781474404327?locatt=mode:legacy")</f>
        <v>https://doi.org/10.1515/9781474404327?locatt=mode:legacy</v>
      </c>
      <c r="AH1100" t="str">
        <f>HYPERLINK("http://www.degruyter.com/isbn/9781474404327")</f>
        <v>http://www.degruyter.com/isbn/9781474404327</v>
      </c>
      <c r="AI1100" t="s">
        <v>222</v>
      </c>
      <c r="AL1100" t="s">
        <v>47</v>
      </c>
      <c r="AM1100">
        <v>1</v>
      </c>
      <c r="AN1100" s="2">
        <v>9781474404310</v>
      </c>
    </row>
    <row r="1101" spans="1:40" x14ac:dyDescent="0.3">
      <c r="A1101" t="s">
        <v>5484</v>
      </c>
      <c r="B1101" t="s">
        <v>1</v>
      </c>
      <c r="C1101" t="s">
        <v>5485</v>
      </c>
      <c r="E1101" t="s">
        <v>5486</v>
      </c>
      <c r="F1101" t="s">
        <v>5</v>
      </c>
      <c r="G1101" t="s">
        <v>6</v>
      </c>
      <c r="L1101" t="s">
        <v>7</v>
      </c>
      <c r="M1101">
        <v>2010</v>
      </c>
      <c r="N1101" s="1">
        <v>40409</v>
      </c>
      <c r="O1101" t="s">
        <v>5487</v>
      </c>
      <c r="P1101">
        <v>1</v>
      </c>
      <c r="S1101">
        <v>227.95</v>
      </c>
      <c r="T1101">
        <v>260</v>
      </c>
      <c r="U1101">
        <v>200</v>
      </c>
      <c r="V1101" t="s">
        <v>42</v>
      </c>
      <c r="W1101" t="s">
        <v>43</v>
      </c>
      <c r="X1101" t="s">
        <v>178</v>
      </c>
      <c r="Y1101" t="s">
        <v>1745</v>
      </c>
      <c r="AF1101" t="s">
        <v>13</v>
      </c>
      <c r="AG1101" t="str">
        <f>HYPERLINK("https://doi.org/10.1515/9780748643202?locatt=mode:legacy")</f>
        <v>https://doi.org/10.1515/9780748643202?locatt=mode:legacy</v>
      </c>
      <c r="AH1101" t="str">
        <f>HYPERLINK("http://www.degruyter.com/isbn/9780748643202")</f>
        <v>http://www.degruyter.com/isbn/9780748643202</v>
      </c>
      <c r="AI1101" t="s">
        <v>68</v>
      </c>
      <c r="AL1101" t="s">
        <v>47</v>
      </c>
      <c r="AM1101">
        <v>1</v>
      </c>
      <c r="AN1101" s="2">
        <v>9780748640843</v>
      </c>
    </row>
    <row r="1102" spans="1:40" x14ac:dyDescent="0.3">
      <c r="A1102" t="s">
        <v>5488</v>
      </c>
      <c r="B1102" t="s">
        <v>1</v>
      </c>
      <c r="C1102" t="s">
        <v>5489</v>
      </c>
      <c r="D1102" t="s">
        <v>5490</v>
      </c>
      <c r="E1102" t="s">
        <v>5491</v>
      </c>
      <c r="F1102" t="s">
        <v>5</v>
      </c>
      <c r="G1102" t="s">
        <v>6</v>
      </c>
      <c r="L1102" t="s">
        <v>7</v>
      </c>
      <c r="M1102">
        <v>2014</v>
      </c>
      <c r="N1102" s="1">
        <v>41960</v>
      </c>
      <c r="O1102" t="s">
        <v>5492</v>
      </c>
      <c r="P1102">
        <v>1</v>
      </c>
      <c r="S1102">
        <v>217.95</v>
      </c>
      <c r="T1102">
        <v>250</v>
      </c>
      <c r="U1102">
        <v>190</v>
      </c>
      <c r="V1102" t="s">
        <v>9</v>
      </c>
      <c r="W1102" t="s">
        <v>10</v>
      </c>
      <c r="X1102" t="s">
        <v>11</v>
      </c>
      <c r="Y1102" t="s">
        <v>12</v>
      </c>
      <c r="AF1102" t="s">
        <v>13</v>
      </c>
      <c r="AG1102" t="str">
        <f>HYPERLINK("https://doi.org/10.1515/9780748694617?locatt=mode:legacy")</f>
        <v>https://doi.org/10.1515/9780748694617?locatt=mode:legacy</v>
      </c>
      <c r="AH1102" t="str">
        <f>HYPERLINK("http://www.degruyter.com/isbn/9780748694617")</f>
        <v>http://www.degruyter.com/isbn/9780748694617</v>
      </c>
      <c r="AI1102" t="s">
        <v>34</v>
      </c>
      <c r="AL1102" t="s">
        <v>15</v>
      </c>
      <c r="AM1102">
        <v>1</v>
      </c>
      <c r="AN1102" s="2">
        <v>9780748642632</v>
      </c>
    </row>
    <row r="1103" spans="1:40" x14ac:dyDescent="0.3">
      <c r="A1103" t="s">
        <v>5493</v>
      </c>
      <c r="B1103" t="s">
        <v>1</v>
      </c>
      <c r="C1103" t="s">
        <v>5494</v>
      </c>
      <c r="D1103" t="s">
        <v>5495</v>
      </c>
      <c r="E1103" t="s">
        <v>5496</v>
      </c>
      <c r="F1103" t="s">
        <v>5</v>
      </c>
      <c r="G1103" t="s">
        <v>6</v>
      </c>
      <c r="L1103" t="s">
        <v>7</v>
      </c>
      <c r="M1103">
        <v>2015</v>
      </c>
      <c r="N1103" s="1">
        <v>42120</v>
      </c>
      <c r="O1103" t="s">
        <v>5497</v>
      </c>
      <c r="P1103">
        <v>1</v>
      </c>
      <c r="S1103">
        <v>253.95</v>
      </c>
      <c r="T1103">
        <v>290</v>
      </c>
      <c r="U1103">
        <v>220</v>
      </c>
      <c r="V1103" t="s">
        <v>20</v>
      </c>
      <c r="W1103" t="s">
        <v>21</v>
      </c>
      <c r="X1103" t="s">
        <v>22</v>
      </c>
      <c r="Y1103" t="s">
        <v>489</v>
      </c>
      <c r="AF1103" t="s">
        <v>13</v>
      </c>
      <c r="AG1103" t="str">
        <f>HYPERLINK("https://doi.org/10.1515/9780748692866")</f>
        <v>https://doi.org/10.1515/9780748692866</v>
      </c>
      <c r="AH1103" t="str">
        <f>HYPERLINK("http://www.degruyter.com/isbn/9780748692866")</f>
        <v>http://www.degruyter.com/isbn/9780748692866</v>
      </c>
      <c r="AI1103" t="s">
        <v>4029</v>
      </c>
      <c r="AL1103" t="s">
        <v>15</v>
      </c>
      <c r="AM1103">
        <v>1</v>
      </c>
      <c r="AN1103" s="2">
        <v>9780748692842</v>
      </c>
    </row>
    <row r="1104" spans="1:40" x14ac:dyDescent="0.3">
      <c r="A1104" t="s">
        <v>5498</v>
      </c>
      <c r="B1104" t="s">
        <v>1</v>
      </c>
      <c r="C1104" t="s">
        <v>5499</v>
      </c>
      <c r="D1104" t="s">
        <v>5500</v>
      </c>
      <c r="E1104" t="s">
        <v>5501</v>
      </c>
      <c r="F1104" t="s">
        <v>5</v>
      </c>
      <c r="G1104" t="s">
        <v>6</v>
      </c>
      <c r="L1104" t="s">
        <v>7</v>
      </c>
      <c r="M1104">
        <v>2007</v>
      </c>
      <c r="N1104" s="1">
        <v>44599</v>
      </c>
      <c r="O1104" t="s">
        <v>777</v>
      </c>
      <c r="P1104">
        <v>1</v>
      </c>
      <c r="S1104">
        <v>217.95</v>
      </c>
      <c r="T1104">
        <v>250</v>
      </c>
      <c r="U1104">
        <v>190</v>
      </c>
      <c r="V1104" t="s">
        <v>20</v>
      </c>
      <c r="W1104" t="s">
        <v>21</v>
      </c>
      <c r="X1104" t="s">
        <v>22</v>
      </c>
      <c r="Y1104" t="s">
        <v>23</v>
      </c>
      <c r="AF1104" t="s">
        <v>13</v>
      </c>
      <c r="AG1104" t="str">
        <f>HYPERLINK("https://doi.org/10.1515/9781474470391")</f>
        <v>https://doi.org/10.1515/9781474470391</v>
      </c>
      <c r="AH1104" t="str">
        <f>HYPERLINK("http://www.degruyter.com/isbn/9781474470391")</f>
        <v>http://www.degruyter.com/isbn/9781474470391</v>
      </c>
      <c r="AI1104" t="s">
        <v>68</v>
      </c>
      <c r="AL1104" t="s">
        <v>15</v>
      </c>
      <c r="AM1104">
        <v>1</v>
      </c>
      <c r="AN1104" s="2">
        <v>9780748632619</v>
      </c>
    </row>
    <row r="1105" spans="1:40" x14ac:dyDescent="0.3">
      <c r="A1105" t="s">
        <v>5502</v>
      </c>
      <c r="B1105" t="s">
        <v>1</v>
      </c>
      <c r="C1105" t="s">
        <v>5503</v>
      </c>
      <c r="E1105" t="s">
        <v>5504</v>
      </c>
      <c r="F1105" t="s">
        <v>5</v>
      </c>
      <c r="G1105" t="s">
        <v>6</v>
      </c>
      <c r="L1105" t="s">
        <v>7</v>
      </c>
      <c r="M1105">
        <v>2009</v>
      </c>
      <c r="N1105" s="1">
        <v>39903</v>
      </c>
      <c r="O1105" t="s">
        <v>5505</v>
      </c>
      <c r="P1105">
        <v>1</v>
      </c>
      <c r="S1105">
        <v>279.95</v>
      </c>
      <c r="T1105">
        <v>320</v>
      </c>
      <c r="U1105">
        <v>240</v>
      </c>
      <c r="V1105" t="s">
        <v>79</v>
      </c>
      <c r="W1105" t="s">
        <v>209</v>
      </c>
      <c r="X1105" t="s">
        <v>209</v>
      </c>
      <c r="Y1105" t="s">
        <v>510</v>
      </c>
      <c r="AF1105" t="s">
        <v>13</v>
      </c>
      <c r="AG1105" t="str">
        <f>HYPERLINK("https://doi.org/10.1515/9780748631957?locatt=mode:legacy")</f>
        <v>https://doi.org/10.1515/9780748631957?locatt=mode:legacy</v>
      </c>
      <c r="AH1105" t="str">
        <f>HYPERLINK("http://www.degruyter.com/isbn/9780748631957")</f>
        <v>http://www.degruyter.com/isbn/9780748631957</v>
      </c>
      <c r="AI1105" t="s">
        <v>68</v>
      </c>
      <c r="AL1105" t="s">
        <v>83</v>
      </c>
      <c r="AM1105">
        <v>1</v>
      </c>
      <c r="AN1105" s="2">
        <v>9780748632992</v>
      </c>
    </row>
    <row r="1106" spans="1:40" x14ac:dyDescent="0.3">
      <c r="A1106" t="s">
        <v>5506</v>
      </c>
      <c r="B1106" t="s">
        <v>1</v>
      </c>
      <c r="C1106" t="s">
        <v>5507</v>
      </c>
      <c r="D1106" t="s">
        <v>5508</v>
      </c>
      <c r="E1106" t="s">
        <v>5509</v>
      </c>
      <c r="F1106" t="s">
        <v>5</v>
      </c>
      <c r="G1106" t="s">
        <v>6</v>
      </c>
      <c r="L1106" t="s">
        <v>7</v>
      </c>
      <c r="M1106">
        <v>2013</v>
      </c>
      <c r="N1106" s="1">
        <v>41524</v>
      </c>
      <c r="O1106" t="s">
        <v>1356</v>
      </c>
      <c r="P1106">
        <v>1</v>
      </c>
      <c r="S1106">
        <v>217.95</v>
      </c>
      <c r="T1106">
        <v>250</v>
      </c>
      <c r="U1106">
        <v>190</v>
      </c>
      <c r="V1106" t="s">
        <v>20</v>
      </c>
      <c r="W1106" t="s">
        <v>21</v>
      </c>
      <c r="X1106" t="s">
        <v>458</v>
      </c>
      <c r="Y1106" t="s">
        <v>459</v>
      </c>
      <c r="AF1106" t="s">
        <v>13</v>
      </c>
      <c r="AG1106" t="str">
        <f>HYPERLINK("https://doi.org/10.1515/9780748691050")</f>
        <v>https://doi.org/10.1515/9780748691050</v>
      </c>
      <c r="AH1106" t="str">
        <f>HYPERLINK("http://www.degruyter.com/isbn/9780748691050")</f>
        <v>http://www.degruyter.com/isbn/9780748691050</v>
      </c>
      <c r="AI1106" t="s">
        <v>68</v>
      </c>
      <c r="AJ1106" t="s">
        <v>35</v>
      </c>
      <c r="AL1106" t="s">
        <v>1346</v>
      </c>
      <c r="AM1106">
        <v>1</v>
      </c>
      <c r="AN1106" s="2">
        <v>9780748691036</v>
      </c>
    </row>
    <row r="1107" spans="1:40" x14ac:dyDescent="0.3">
      <c r="A1107" t="s">
        <v>5510</v>
      </c>
      <c r="B1107" t="s">
        <v>1</v>
      </c>
      <c r="C1107" t="s">
        <v>5511</v>
      </c>
      <c r="D1107" t="s">
        <v>5512</v>
      </c>
      <c r="E1107" t="s">
        <v>5513</v>
      </c>
      <c r="F1107" t="s">
        <v>5</v>
      </c>
      <c r="G1107" t="s">
        <v>6</v>
      </c>
      <c r="L1107" t="s">
        <v>7</v>
      </c>
      <c r="M1107">
        <v>2011</v>
      </c>
      <c r="N1107" s="1">
        <v>40724</v>
      </c>
      <c r="O1107" t="s">
        <v>5514</v>
      </c>
      <c r="P1107">
        <v>1</v>
      </c>
      <c r="S1107">
        <v>217.95</v>
      </c>
      <c r="T1107">
        <v>250</v>
      </c>
      <c r="U1107">
        <v>190</v>
      </c>
      <c r="V1107" t="s">
        <v>42</v>
      </c>
      <c r="W1107" t="s">
        <v>116</v>
      </c>
      <c r="X1107" t="s">
        <v>116</v>
      </c>
      <c r="Y1107" t="s">
        <v>117</v>
      </c>
      <c r="AF1107" t="s">
        <v>13</v>
      </c>
      <c r="AG1107" t="str">
        <f>HYPERLINK("https://doi.org/10.1515/9780748647057")</f>
        <v>https://doi.org/10.1515/9780748647057</v>
      </c>
      <c r="AH1107" t="str">
        <f>HYPERLINK("http://www.degruyter.com/isbn/9780748647057")</f>
        <v>http://www.degruyter.com/isbn/9780748647057</v>
      </c>
      <c r="AI1107" t="s">
        <v>68</v>
      </c>
      <c r="AL1107" t="s">
        <v>47</v>
      </c>
      <c r="AM1107">
        <v>1</v>
      </c>
      <c r="AN1107" s="2">
        <v>9780748642359</v>
      </c>
    </row>
    <row r="1108" spans="1:40" x14ac:dyDescent="0.3">
      <c r="A1108" t="s">
        <v>5515</v>
      </c>
      <c r="B1108" t="s">
        <v>1</v>
      </c>
      <c r="C1108" t="s">
        <v>5516</v>
      </c>
      <c r="D1108" t="s">
        <v>4112</v>
      </c>
      <c r="E1108" t="s">
        <v>5517</v>
      </c>
      <c r="F1108" t="s">
        <v>5</v>
      </c>
      <c r="G1108" t="s">
        <v>6</v>
      </c>
      <c r="L1108" t="s">
        <v>7</v>
      </c>
      <c r="M1108">
        <v>2001</v>
      </c>
      <c r="N1108" s="1">
        <v>44607</v>
      </c>
      <c r="O1108" t="s">
        <v>890</v>
      </c>
      <c r="P1108">
        <v>1</v>
      </c>
      <c r="S1108">
        <v>217.95</v>
      </c>
      <c r="T1108">
        <v>250</v>
      </c>
      <c r="U1108">
        <v>190</v>
      </c>
      <c r="V1108" t="s">
        <v>42</v>
      </c>
      <c r="W1108" t="s">
        <v>43</v>
      </c>
      <c r="X1108" t="s">
        <v>44</v>
      </c>
      <c r="Y1108" t="s">
        <v>45</v>
      </c>
      <c r="AF1108" t="s">
        <v>13</v>
      </c>
      <c r="AG1108" t="str">
        <f>HYPERLINK("https://doi.org/10.1515/9780748673346")</f>
        <v>https://doi.org/10.1515/9780748673346</v>
      </c>
      <c r="AH1108" t="str">
        <f>HYPERLINK("http://www.degruyter.com/isbn/9780748673346")</f>
        <v>http://www.degruyter.com/isbn/9780748673346</v>
      </c>
      <c r="AI1108" t="s">
        <v>68</v>
      </c>
      <c r="AL1108" t="s">
        <v>47</v>
      </c>
      <c r="AM1108">
        <v>1</v>
      </c>
      <c r="AN1108" s="2">
        <v>9780748611683</v>
      </c>
    </row>
    <row r="1109" spans="1:40" x14ac:dyDescent="0.3">
      <c r="A1109" t="s">
        <v>5518</v>
      </c>
      <c r="B1109" t="s">
        <v>1</v>
      </c>
      <c r="C1109" t="s">
        <v>5519</v>
      </c>
      <c r="D1109" t="s">
        <v>5520</v>
      </c>
      <c r="E1109" t="s">
        <v>5521</v>
      </c>
      <c r="F1109" t="s">
        <v>5</v>
      </c>
      <c r="G1109" t="s">
        <v>6</v>
      </c>
      <c r="L1109" t="s">
        <v>7</v>
      </c>
      <c r="M1109">
        <v>2011</v>
      </c>
      <c r="N1109" s="1">
        <v>40897</v>
      </c>
      <c r="O1109" t="s">
        <v>5522</v>
      </c>
      <c r="P1109">
        <v>1</v>
      </c>
      <c r="S1109">
        <v>217.95</v>
      </c>
      <c r="T1109">
        <v>250</v>
      </c>
      <c r="U1109">
        <v>190</v>
      </c>
      <c r="V1109" t="s">
        <v>20</v>
      </c>
      <c r="W1109" t="s">
        <v>21</v>
      </c>
      <c r="X1109" t="s">
        <v>458</v>
      </c>
      <c r="Y1109" t="s">
        <v>459</v>
      </c>
      <c r="AF1109" t="s">
        <v>13</v>
      </c>
      <c r="AG1109" t="str">
        <f>HYPERLINK("https://doi.org/10.1515/9780748654215")</f>
        <v>https://doi.org/10.1515/9780748654215</v>
      </c>
      <c r="AH1109" t="str">
        <f>HYPERLINK("http://www.degruyter.com/isbn/9780748654215")</f>
        <v>http://www.degruyter.com/isbn/9780748654215</v>
      </c>
      <c r="AI1109" t="s">
        <v>68</v>
      </c>
      <c r="AL1109" t="s">
        <v>15</v>
      </c>
      <c r="AM1109">
        <v>1</v>
      </c>
      <c r="AN1109" s="2">
        <v>9780748642564</v>
      </c>
    </row>
    <row r="1110" spans="1:40" x14ac:dyDescent="0.3">
      <c r="A1110" t="s">
        <v>5523</v>
      </c>
      <c r="B1110" t="s">
        <v>1</v>
      </c>
      <c r="C1110" t="s">
        <v>5524</v>
      </c>
      <c r="D1110" t="s">
        <v>27</v>
      </c>
      <c r="E1110" t="s">
        <v>5525</v>
      </c>
      <c r="F1110" t="s">
        <v>5</v>
      </c>
      <c r="G1110" t="s">
        <v>6</v>
      </c>
      <c r="L1110" t="s">
        <v>7</v>
      </c>
      <c r="M1110">
        <v>2001</v>
      </c>
      <c r="N1110" s="1">
        <v>44607</v>
      </c>
      <c r="O1110" t="s">
        <v>5526</v>
      </c>
      <c r="P1110">
        <v>1</v>
      </c>
      <c r="S1110">
        <v>217.95</v>
      </c>
      <c r="T1110">
        <v>250</v>
      </c>
      <c r="U1110">
        <v>190</v>
      </c>
      <c r="V1110" t="s">
        <v>98</v>
      </c>
      <c r="W1110" t="s">
        <v>99</v>
      </c>
      <c r="X1110" t="s">
        <v>386</v>
      </c>
      <c r="Y1110" t="s">
        <v>387</v>
      </c>
      <c r="AF1110" t="s">
        <v>13</v>
      </c>
      <c r="AG1110" t="str">
        <f>HYPERLINK("https://doi.org/10.1515/9781474473125")</f>
        <v>https://doi.org/10.1515/9781474473125</v>
      </c>
      <c r="AH1110" t="str">
        <f>HYPERLINK("http://www.degruyter.com/isbn/9781474473125")</f>
        <v>http://www.degruyter.com/isbn/9781474473125</v>
      </c>
      <c r="AI1110" t="s">
        <v>68</v>
      </c>
      <c r="AL1110" t="s">
        <v>102</v>
      </c>
      <c r="AM1110">
        <v>1</v>
      </c>
      <c r="AN1110" s="2">
        <v>9780748607198</v>
      </c>
    </row>
    <row r="1111" spans="1:40" x14ac:dyDescent="0.3">
      <c r="A1111" t="s">
        <v>5527</v>
      </c>
      <c r="B1111" t="s">
        <v>1</v>
      </c>
      <c r="C1111" t="s">
        <v>5528</v>
      </c>
      <c r="E1111" t="s">
        <v>5529</v>
      </c>
      <c r="F1111" t="s">
        <v>5</v>
      </c>
      <c r="G1111" t="s">
        <v>6</v>
      </c>
      <c r="L1111" t="s">
        <v>7</v>
      </c>
      <c r="M1111">
        <v>2006</v>
      </c>
      <c r="N1111" s="1">
        <v>38925</v>
      </c>
      <c r="O1111" t="s">
        <v>5530</v>
      </c>
      <c r="P1111">
        <v>1</v>
      </c>
      <c r="S1111">
        <v>339.95</v>
      </c>
      <c r="T1111">
        <v>390</v>
      </c>
      <c r="U1111">
        <v>300</v>
      </c>
      <c r="V1111" t="s">
        <v>20</v>
      </c>
      <c r="W1111" t="s">
        <v>21</v>
      </c>
      <c r="X1111" t="s">
        <v>22</v>
      </c>
      <c r="Y1111" t="s">
        <v>23</v>
      </c>
      <c r="AF1111" t="s">
        <v>13</v>
      </c>
      <c r="AG1111" t="str">
        <f>HYPERLINK("https://doi.org/10.1515/9781474468220")</f>
        <v>https://doi.org/10.1515/9781474468220</v>
      </c>
      <c r="AH1111" t="str">
        <f>HYPERLINK("http://www.degruyter.com/isbn/9781474468220")</f>
        <v>http://www.degruyter.com/isbn/9781474468220</v>
      </c>
      <c r="AI1111" t="s">
        <v>68</v>
      </c>
      <c r="AL1111" t="s">
        <v>15</v>
      </c>
      <c r="AM1111">
        <v>1</v>
      </c>
      <c r="AN1111" s="2">
        <v>9780748620463</v>
      </c>
    </row>
    <row r="1112" spans="1:40" x14ac:dyDescent="0.3">
      <c r="A1112" t="s">
        <v>5531</v>
      </c>
      <c r="B1112" t="s">
        <v>1</v>
      </c>
      <c r="C1112" t="s">
        <v>5532</v>
      </c>
      <c r="D1112" t="s">
        <v>5533</v>
      </c>
      <c r="E1112" t="s">
        <v>5534</v>
      </c>
      <c r="F1112" t="s">
        <v>5</v>
      </c>
      <c r="G1112" t="s">
        <v>6</v>
      </c>
      <c r="L1112" t="s">
        <v>7</v>
      </c>
      <c r="M1112">
        <v>2018</v>
      </c>
      <c r="N1112" s="1">
        <v>44656</v>
      </c>
      <c r="O1112" t="s">
        <v>5535</v>
      </c>
      <c r="P1112">
        <v>1</v>
      </c>
      <c r="S1112">
        <v>253.95</v>
      </c>
      <c r="T1112">
        <v>290</v>
      </c>
      <c r="U1112">
        <v>220</v>
      </c>
      <c r="V1112" t="s">
        <v>58</v>
      </c>
      <c r="W1112" t="s">
        <v>59</v>
      </c>
      <c r="X1112" t="s">
        <v>60</v>
      </c>
      <c r="Y1112" t="s">
        <v>5536</v>
      </c>
      <c r="AF1112" t="s">
        <v>13</v>
      </c>
      <c r="AG1112" t="str">
        <f>HYPERLINK("https://doi.org/10.1515/9781474419277")</f>
        <v>https://doi.org/10.1515/9781474419277</v>
      </c>
      <c r="AH1112" t="str">
        <f>HYPERLINK("http://www.degruyter.com/isbn/9781474419277")</f>
        <v>http://www.degruyter.com/isbn/9781474419277</v>
      </c>
      <c r="AI1112" t="s">
        <v>46</v>
      </c>
      <c r="AJ1112" t="s">
        <v>35</v>
      </c>
      <c r="AL1112" t="s">
        <v>155</v>
      </c>
      <c r="AM1112">
        <v>1</v>
      </c>
      <c r="AN1112" s="2">
        <v>9781474419253</v>
      </c>
    </row>
    <row r="1113" spans="1:40" x14ac:dyDescent="0.3">
      <c r="A1113" t="s">
        <v>5537</v>
      </c>
      <c r="B1113" t="s">
        <v>1</v>
      </c>
      <c r="C1113" t="s">
        <v>5538</v>
      </c>
      <c r="D1113" t="s">
        <v>5539</v>
      </c>
      <c r="E1113" t="s">
        <v>5540</v>
      </c>
      <c r="F1113" t="s">
        <v>5</v>
      </c>
      <c r="G1113" t="s">
        <v>6</v>
      </c>
      <c r="L1113" t="s">
        <v>7</v>
      </c>
      <c r="M1113">
        <v>1994</v>
      </c>
      <c r="N1113" s="1">
        <v>44719</v>
      </c>
      <c r="O1113" t="s">
        <v>5541</v>
      </c>
      <c r="P1113">
        <v>1</v>
      </c>
      <c r="S1113">
        <v>217.95</v>
      </c>
      <c r="T1113">
        <v>250</v>
      </c>
      <c r="U1113">
        <v>190</v>
      </c>
      <c r="V1113" t="s">
        <v>20</v>
      </c>
      <c r="W1113" t="s">
        <v>21</v>
      </c>
      <c r="X1113" t="s">
        <v>22</v>
      </c>
      <c r="Y1113" t="s">
        <v>23</v>
      </c>
      <c r="AF1113" t="s">
        <v>13</v>
      </c>
      <c r="AG1113" t="str">
        <f>HYPERLINK("https://doi.org/10.1515/9781474468459")</f>
        <v>https://doi.org/10.1515/9781474468459</v>
      </c>
      <c r="AH1113" t="str">
        <f>HYPERLINK("http://www.degruyter.com/isbn/9781474468459")</f>
        <v>http://www.degruyter.com/isbn/9781474468459</v>
      </c>
      <c r="AI1113" t="s">
        <v>24</v>
      </c>
      <c r="AL1113" t="s">
        <v>15</v>
      </c>
      <c r="AM1113">
        <v>1</v>
      </c>
      <c r="AN1113" s="2">
        <v>9780748605071</v>
      </c>
    </row>
    <row r="1114" spans="1:40" x14ac:dyDescent="0.3">
      <c r="A1114" t="s">
        <v>5542</v>
      </c>
      <c r="B1114" t="s">
        <v>1</v>
      </c>
      <c r="C1114" t="s">
        <v>5543</v>
      </c>
      <c r="D1114" t="s">
        <v>5544</v>
      </c>
      <c r="E1114" t="s">
        <v>5545</v>
      </c>
      <c r="F1114" t="s">
        <v>5</v>
      </c>
      <c r="G1114" t="s">
        <v>6</v>
      </c>
      <c r="L1114" t="s">
        <v>7</v>
      </c>
      <c r="M1114">
        <v>2010</v>
      </c>
      <c r="N1114" s="1">
        <v>40298</v>
      </c>
      <c r="O1114" t="s">
        <v>5546</v>
      </c>
      <c r="P1114">
        <v>1</v>
      </c>
      <c r="S1114">
        <v>243.95</v>
      </c>
      <c r="T1114">
        <v>280</v>
      </c>
      <c r="U1114">
        <v>210</v>
      </c>
      <c r="V1114" t="s">
        <v>9</v>
      </c>
      <c r="W1114" t="s">
        <v>10</v>
      </c>
      <c r="X1114" t="s">
        <v>11</v>
      </c>
      <c r="Y1114" t="s">
        <v>12</v>
      </c>
      <c r="AF1114" t="s">
        <v>13</v>
      </c>
      <c r="AG1114" t="str">
        <f>HYPERLINK("https://doi.org/10.1515/9780748633135")</f>
        <v>https://doi.org/10.1515/9780748633135</v>
      </c>
      <c r="AH1114" t="str">
        <f>HYPERLINK("http://www.degruyter.com/isbn/9780748633135")</f>
        <v>http://www.degruyter.com/isbn/9780748633135</v>
      </c>
      <c r="AI1114" t="s">
        <v>68</v>
      </c>
      <c r="AL1114" t="s">
        <v>15</v>
      </c>
      <c r="AM1114">
        <v>1</v>
      </c>
      <c r="AN1114" s="2">
        <v>9780748633128</v>
      </c>
    </row>
    <row r="1115" spans="1:40" x14ac:dyDescent="0.3">
      <c r="A1115" t="s">
        <v>5547</v>
      </c>
      <c r="B1115" t="s">
        <v>1</v>
      </c>
      <c r="C1115" t="s">
        <v>5548</v>
      </c>
      <c r="E1115" t="s">
        <v>5549</v>
      </c>
      <c r="F1115" t="s">
        <v>5</v>
      </c>
      <c r="G1115" t="s">
        <v>6</v>
      </c>
      <c r="L1115" t="s">
        <v>7</v>
      </c>
      <c r="M1115">
        <v>2018</v>
      </c>
      <c r="N1115" s="1">
        <v>44644</v>
      </c>
      <c r="O1115" t="s">
        <v>5550</v>
      </c>
      <c r="P1115">
        <v>1</v>
      </c>
      <c r="S1115">
        <v>227.95</v>
      </c>
      <c r="T1115">
        <v>260</v>
      </c>
      <c r="U1115">
        <v>200</v>
      </c>
      <c r="V1115" t="s">
        <v>42</v>
      </c>
      <c r="W1115" t="s">
        <v>107</v>
      </c>
      <c r="X1115" t="s">
        <v>108</v>
      </c>
      <c r="Y1115" t="s">
        <v>109</v>
      </c>
      <c r="AF1115" t="s">
        <v>13</v>
      </c>
      <c r="AG1115" t="str">
        <f>HYPERLINK("https://doi.org/10.1515/9781474439435?locatt=mode:legacy")</f>
        <v>https://doi.org/10.1515/9781474439435?locatt=mode:legacy</v>
      </c>
      <c r="AH1115" t="str">
        <f>HYPERLINK("http://www.degruyter.com/isbn/9781474439435")</f>
        <v>http://www.degruyter.com/isbn/9781474439435</v>
      </c>
      <c r="AI1115" t="s">
        <v>46</v>
      </c>
      <c r="AL1115" t="s">
        <v>47</v>
      </c>
      <c r="AM1115">
        <v>1</v>
      </c>
      <c r="AN1115" s="2">
        <v>9781474439411</v>
      </c>
    </row>
    <row r="1116" spans="1:40" x14ac:dyDescent="0.3">
      <c r="A1116" t="s">
        <v>5551</v>
      </c>
      <c r="B1116" t="s">
        <v>1</v>
      </c>
      <c r="C1116" t="s">
        <v>5552</v>
      </c>
      <c r="E1116" t="s">
        <v>5553</v>
      </c>
      <c r="F1116" t="s">
        <v>5</v>
      </c>
      <c r="G1116" t="s">
        <v>6</v>
      </c>
      <c r="L1116" t="s">
        <v>7</v>
      </c>
      <c r="M1116">
        <v>2019</v>
      </c>
      <c r="N1116" s="1">
        <v>44656</v>
      </c>
      <c r="O1116" t="s">
        <v>5505</v>
      </c>
      <c r="P1116">
        <v>1</v>
      </c>
      <c r="S1116">
        <v>279.95</v>
      </c>
      <c r="T1116">
        <v>320</v>
      </c>
      <c r="U1116">
        <v>240</v>
      </c>
      <c r="V1116" t="s">
        <v>79</v>
      </c>
      <c r="W1116" t="s">
        <v>209</v>
      </c>
      <c r="X1116" t="s">
        <v>209</v>
      </c>
      <c r="Y1116" t="s">
        <v>1951</v>
      </c>
      <c r="AF1116" t="s">
        <v>13</v>
      </c>
      <c r="AG1116" t="str">
        <f>HYPERLINK("https://doi.org/10.1515/9781474449205")</f>
        <v>https://doi.org/10.1515/9781474449205</v>
      </c>
      <c r="AH1116" t="str">
        <f>HYPERLINK("http://www.degruyter.com/isbn/9781474449205")</f>
        <v>http://www.degruyter.com/isbn/9781474449205</v>
      </c>
      <c r="AI1116" t="s">
        <v>3968</v>
      </c>
      <c r="AL1116" t="s">
        <v>83</v>
      </c>
      <c r="AM1116">
        <v>1</v>
      </c>
      <c r="AN1116" s="2">
        <v>9781474449182</v>
      </c>
    </row>
    <row r="1117" spans="1:40" x14ac:dyDescent="0.3">
      <c r="A1117" t="s">
        <v>5554</v>
      </c>
      <c r="B1117" t="s">
        <v>1</v>
      </c>
      <c r="C1117" t="s">
        <v>5555</v>
      </c>
      <c r="D1117" t="s">
        <v>5556</v>
      </c>
      <c r="E1117" t="s">
        <v>5557</v>
      </c>
      <c r="F1117" t="s">
        <v>5</v>
      </c>
      <c r="G1117" t="s">
        <v>6</v>
      </c>
      <c r="L1117" t="s">
        <v>7</v>
      </c>
      <c r="M1117">
        <v>2006</v>
      </c>
      <c r="N1117" s="1">
        <v>38791</v>
      </c>
      <c r="O1117" t="s">
        <v>5558</v>
      </c>
      <c r="P1117">
        <v>1</v>
      </c>
      <c r="S1117">
        <v>261.95</v>
      </c>
      <c r="T1117">
        <v>300</v>
      </c>
      <c r="U1117">
        <v>230</v>
      </c>
      <c r="V1117" t="s">
        <v>98</v>
      </c>
      <c r="W1117" t="s">
        <v>99</v>
      </c>
      <c r="X1117" t="s">
        <v>386</v>
      </c>
      <c r="Y1117" t="s">
        <v>387</v>
      </c>
      <c r="AF1117" t="s">
        <v>13</v>
      </c>
      <c r="AG1117" t="str">
        <f>HYPERLINK("https://doi.org/10.1515/9780748626540?locatt=mode:legacy")</f>
        <v>https://doi.org/10.1515/9780748626540?locatt=mode:legacy</v>
      </c>
      <c r="AH1117" t="str">
        <f>HYPERLINK("http://www.degruyter.com/isbn/9780748626540")</f>
        <v>http://www.degruyter.com/isbn/9780748626540</v>
      </c>
      <c r="AI1117" t="s">
        <v>68</v>
      </c>
      <c r="AL1117" t="s">
        <v>102</v>
      </c>
      <c r="AM1117">
        <v>1</v>
      </c>
      <c r="AN1117" s="2">
        <v>9780748619139</v>
      </c>
    </row>
    <row r="1118" spans="1:40" x14ac:dyDescent="0.3">
      <c r="A1118" t="s">
        <v>5559</v>
      </c>
      <c r="B1118" t="s">
        <v>1</v>
      </c>
      <c r="C1118" t="s">
        <v>5560</v>
      </c>
      <c r="D1118" t="s">
        <v>5561</v>
      </c>
      <c r="E1118" t="s">
        <v>5562</v>
      </c>
      <c r="F1118" t="s">
        <v>5</v>
      </c>
      <c r="G1118" t="s">
        <v>6</v>
      </c>
      <c r="L1118" t="s">
        <v>7</v>
      </c>
      <c r="M1118">
        <v>2003</v>
      </c>
      <c r="N1118" s="1">
        <v>44719</v>
      </c>
      <c r="O1118" t="s">
        <v>5563</v>
      </c>
      <c r="P1118">
        <v>1</v>
      </c>
      <c r="S1118">
        <v>217.95</v>
      </c>
      <c r="T1118">
        <v>250</v>
      </c>
      <c r="U1118">
        <v>190</v>
      </c>
      <c r="V1118" t="s">
        <v>20</v>
      </c>
      <c r="W1118" t="s">
        <v>21</v>
      </c>
      <c r="X1118" t="s">
        <v>22</v>
      </c>
      <c r="Y1118" t="s">
        <v>23</v>
      </c>
      <c r="AF1118" t="s">
        <v>13</v>
      </c>
      <c r="AG1118" t="str">
        <f>HYPERLINK("https://doi.org/10.1515/9781474464222")</f>
        <v>https://doi.org/10.1515/9781474464222</v>
      </c>
      <c r="AH1118" t="str">
        <f>HYPERLINK("http://www.degruyter.com/isbn/9781474464222")</f>
        <v>http://www.degruyter.com/isbn/9781474464222</v>
      </c>
      <c r="AI1118" t="s">
        <v>68</v>
      </c>
      <c r="AL1118" t="s">
        <v>15</v>
      </c>
      <c r="AM1118">
        <v>1</v>
      </c>
      <c r="AN1118" s="2">
        <v>9780748618033</v>
      </c>
    </row>
    <row r="1119" spans="1:40" x14ac:dyDescent="0.3">
      <c r="A1119" t="s">
        <v>5564</v>
      </c>
      <c r="B1119" t="s">
        <v>1</v>
      </c>
      <c r="C1119" t="s">
        <v>5565</v>
      </c>
      <c r="E1119" t="s">
        <v>5566</v>
      </c>
      <c r="F1119" t="s">
        <v>5</v>
      </c>
      <c r="G1119" t="s">
        <v>6</v>
      </c>
      <c r="L1119" t="s">
        <v>7</v>
      </c>
      <c r="M1119">
        <v>2009</v>
      </c>
      <c r="N1119" s="1">
        <v>40000</v>
      </c>
      <c r="O1119" t="s">
        <v>1945</v>
      </c>
      <c r="P1119">
        <v>1</v>
      </c>
      <c r="S1119">
        <v>217.95</v>
      </c>
      <c r="T1119">
        <v>250</v>
      </c>
      <c r="U1119">
        <v>190</v>
      </c>
      <c r="V1119" t="s">
        <v>58</v>
      </c>
      <c r="W1119" t="s">
        <v>59</v>
      </c>
      <c r="X1119" t="s">
        <v>278</v>
      </c>
      <c r="Y1119" t="s">
        <v>932</v>
      </c>
      <c r="AF1119" t="s">
        <v>13</v>
      </c>
      <c r="AG1119" t="str">
        <f>HYPERLINK("https://doi.org/10.1515/9780748636723?locatt=mode:legacy")</f>
        <v>https://doi.org/10.1515/9780748636723?locatt=mode:legacy</v>
      </c>
      <c r="AH1119" t="str">
        <f>HYPERLINK("http://www.degruyter.com/isbn/9780748636723")</f>
        <v>http://www.degruyter.com/isbn/9780748636723</v>
      </c>
      <c r="AI1119" t="s">
        <v>68</v>
      </c>
      <c r="AL1119" t="s">
        <v>62</v>
      </c>
      <c r="AM1119">
        <v>1</v>
      </c>
      <c r="AN1119" s="2">
        <v>9780748636716</v>
      </c>
    </row>
    <row r="1120" spans="1:40" x14ac:dyDescent="0.3">
      <c r="A1120" t="s">
        <v>5567</v>
      </c>
      <c r="B1120" t="s">
        <v>1</v>
      </c>
      <c r="C1120" t="s">
        <v>5568</v>
      </c>
      <c r="D1120" t="s">
        <v>5569</v>
      </c>
      <c r="E1120" t="s">
        <v>5570</v>
      </c>
      <c r="F1120" t="s">
        <v>5</v>
      </c>
      <c r="G1120" t="s">
        <v>6</v>
      </c>
      <c r="L1120" t="s">
        <v>7</v>
      </c>
      <c r="M1120">
        <v>2017</v>
      </c>
      <c r="N1120" s="1">
        <v>43061</v>
      </c>
      <c r="O1120" t="s">
        <v>5571</v>
      </c>
      <c r="P1120">
        <v>1</v>
      </c>
      <c r="S1120">
        <v>217.95</v>
      </c>
      <c r="T1120">
        <v>250</v>
      </c>
      <c r="U1120">
        <v>190</v>
      </c>
      <c r="V1120" t="s">
        <v>20</v>
      </c>
      <c r="W1120" t="s">
        <v>21</v>
      </c>
      <c r="X1120" t="s">
        <v>575</v>
      </c>
      <c r="Y1120" t="s">
        <v>576</v>
      </c>
      <c r="AF1120" t="s">
        <v>13</v>
      </c>
      <c r="AG1120" t="str">
        <f>HYPERLINK("https://doi.org/10.1515/9781474427210")</f>
        <v>https://doi.org/10.1515/9781474427210</v>
      </c>
      <c r="AH1120" t="str">
        <f>HYPERLINK("http://www.degruyter.com/isbn/9781474427210")</f>
        <v>http://www.degruyter.com/isbn/9781474427210</v>
      </c>
      <c r="AI1120" t="s">
        <v>222</v>
      </c>
      <c r="AL1120" t="s">
        <v>15</v>
      </c>
      <c r="AM1120">
        <v>1</v>
      </c>
      <c r="AN1120" s="2">
        <v>9781474427203</v>
      </c>
    </row>
    <row r="1121" spans="1:40" x14ac:dyDescent="0.3">
      <c r="A1121" t="s">
        <v>5572</v>
      </c>
      <c r="B1121" t="s">
        <v>1</v>
      </c>
      <c r="C1121" t="s">
        <v>5573</v>
      </c>
      <c r="D1121" t="s">
        <v>5574</v>
      </c>
      <c r="E1121" t="s">
        <v>5575</v>
      </c>
      <c r="F1121" t="s">
        <v>5</v>
      </c>
      <c r="G1121" t="s">
        <v>6</v>
      </c>
      <c r="L1121" t="s">
        <v>7</v>
      </c>
      <c r="M1121">
        <v>1997</v>
      </c>
      <c r="N1121" s="1">
        <v>44607</v>
      </c>
      <c r="O1121" t="s">
        <v>5576</v>
      </c>
      <c r="P1121">
        <v>1</v>
      </c>
      <c r="S1121">
        <v>217.95</v>
      </c>
      <c r="T1121">
        <v>250</v>
      </c>
      <c r="U1121">
        <v>190</v>
      </c>
      <c r="V1121" t="s">
        <v>42</v>
      </c>
      <c r="W1121" t="s">
        <v>290</v>
      </c>
      <c r="X1121" t="s">
        <v>290</v>
      </c>
      <c r="Y1121" t="s">
        <v>515</v>
      </c>
      <c r="AF1121" t="s">
        <v>13</v>
      </c>
      <c r="AG1121" t="str">
        <f>HYPERLINK("https://doi.org/10.1515/9781474468305")</f>
        <v>https://doi.org/10.1515/9781474468305</v>
      </c>
      <c r="AH1121" t="str">
        <f>HYPERLINK("http://www.degruyter.com/isbn/9781474468305")</f>
        <v>http://www.degruyter.com/isbn/9781474468305</v>
      </c>
      <c r="AI1121" t="s">
        <v>24</v>
      </c>
      <c r="AL1121" t="s">
        <v>47</v>
      </c>
      <c r="AM1121">
        <v>1</v>
      </c>
      <c r="AN1121" s="2">
        <v>9780748608515</v>
      </c>
    </row>
    <row r="1122" spans="1:40" x14ac:dyDescent="0.3">
      <c r="A1122" t="s">
        <v>5577</v>
      </c>
      <c r="B1122" t="s">
        <v>1</v>
      </c>
      <c r="C1122" t="s">
        <v>5578</v>
      </c>
      <c r="D1122" t="s">
        <v>5579</v>
      </c>
      <c r="E1122" t="s">
        <v>5580</v>
      </c>
      <c r="F1122" t="s">
        <v>5</v>
      </c>
      <c r="G1122" t="s">
        <v>6</v>
      </c>
      <c r="L1122" t="s">
        <v>7</v>
      </c>
      <c r="M1122">
        <v>2015</v>
      </c>
      <c r="N1122" s="1">
        <v>42024</v>
      </c>
      <c r="O1122" t="s">
        <v>5581</v>
      </c>
      <c r="P1122">
        <v>1</v>
      </c>
      <c r="S1122">
        <v>217.95</v>
      </c>
      <c r="T1122">
        <v>250</v>
      </c>
      <c r="U1122">
        <v>190</v>
      </c>
      <c r="V1122" t="s">
        <v>42</v>
      </c>
      <c r="W1122" t="s">
        <v>43</v>
      </c>
      <c r="X1122" t="s">
        <v>44</v>
      </c>
      <c r="Y1122" t="s">
        <v>45</v>
      </c>
      <c r="AF1122" t="s">
        <v>13</v>
      </c>
      <c r="AG1122" t="str">
        <f>HYPERLINK("https://doi.org/10.1515/9780748656479")</f>
        <v>https://doi.org/10.1515/9780748656479</v>
      </c>
      <c r="AH1122" t="str">
        <f>HYPERLINK("http://www.degruyter.com/isbn/9780748656479")</f>
        <v>http://www.degruyter.com/isbn/9780748656479</v>
      </c>
      <c r="AI1122" t="s">
        <v>34</v>
      </c>
      <c r="AL1122" t="s">
        <v>47</v>
      </c>
      <c r="AM1122">
        <v>1</v>
      </c>
      <c r="AN1122" s="2">
        <v>9780748656462</v>
      </c>
    </row>
    <row r="1123" spans="1:40" x14ac:dyDescent="0.3">
      <c r="A1123" t="s">
        <v>5582</v>
      </c>
      <c r="B1123" t="s">
        <v>1</v>
      </c>
      <c r="C1123" t="s">
        <v>5583</v>
      </c>
      <c r="D1123" t="s">
        <v>5584</v>
      </c>
      <c r="E1123" t="s">
        <v>5585</v>
      </c>
      <c r="F1123" t="s">
        <v>5</v>
      </c>
      <c r="G1123" t="s">
        <v>6</v>
      </c>
      <c r="L1123" t="s">
        <v>7</v>
      </c>
      <c r="M1123">
        <v>1999</v>
      </c>
      <c r="N1123" s="1">
        <v>44607</v>
      </c>
      <c r="O1123" t="s">
        <v>5586</v>
      </c>
      <c r="P1123">
        <v>1</v>
      </c>
      <c r="S1123">
        <v>217.95</v>
      </c>
      <c r="T1123">
        <v>250</v>
      </c>
      <c r="U1123">
        <v>190</v>
      </c>
      <c r="V1123" t="s">
        <v>20</v>
      </c>
      <c r="W1123" t="s">
        <v>1018</v>
      </c>
      <c r="X1123" t="s">
        <v>1018</v>
      </c>
      <c r="Y1123" t="s">
        <v>2215</v>
      </c>
      <c r="AF1123" t="s">
        <v>13</v>
      </c>
      <c r="AG1123" t="str">
        <f>HYPERLINK("https://doi.org/10.1515/9781474468510")</f>
        <v>https://doi.org/10.1515/9781474468510</v>
      </c>
      <c r="AH1123" t="str">
        <f>HYPERLINK("http://www.degruyter.com/isbn/9781474468510")</f>
        <v>http://www.degruyter.com/isbn/9781474468510</v>
      </c>
      <c r="AI1123" t="s">
        <v>24</v>
      </c>
      <c r="AL1123" t="s">
        <v>15</v>
      </c>
      <c r="AM1123">
        <v>1</v>
      </c>
      <c r="AN1123" s="2">
        <v>9780748662555</v>
      </c>
    </row>
    <row r="1124" spans="1:40" x14ac:dyDescent="0.3">
      <c r="A1124" t="s">
        <v>5587</v>
      </c>
      <c r="B1124" t="s">
        <v>1</v>
      </c>
      <c r="C1124" t="s">
        <v>5588</v>
      </c>
      <c r="D1124" t="s">
        <v>4112</v>
      </c>
      <c r="E1124" t="s">
        <v>5589</v>
      </c>
      <c r="F1124" t="s">
        <v>5</v>
      </c>
      <c r="G1124" t="s">
        <v>6</v>
      </c>
      <c r="L1124" t="s">
        <v>7</v>
      </c>
      <c r="M1124">
        <v>2010</v>
      </c>
      <c r="N1124" s="1">
        <v>40251</v>
      </c>
      <c r="O1124" t="s">
        <v>5590</v>
      </c>
      <c r="P1124">
        <v>1</v>
      </c>
      <c r="S1124">
        <v>253.95</v>
      </c>
      <c r="T1124">
        <v>290</v>
      </c>
      <c r="U1124">
        <v>220</v>
      </c>
      <c r="V1124" t="s">
        <v>79</v>
      </c>
      <c r="W1124" t="s">
        <v>123</v>
      </c>
      <c r="X1124" t="s">
        <v>123</v>
      </c>
      <c r="Y1124" t="s">
        <v>124</v>
      </c>
      <c r="AF1124" t="s">
        <v>13</v>
      </c>
      <c r="AG1124" t="str">
        <f>HYPERLINK("https://doi.org/10.1515/9780748642229")</f>
        <v>https://doi.org/10.1515/9780748642229</v>
      </c>
      <c r="AH1124" t="str">
        <f>HYPERLINK("http://www.degruyter.com/isbn/9780748642229")</f>
        <v>http://www.degruyter.com/isbn/9780748642229</v>
      </c>
      <c r="AI1124" t="s">
        <v>68</v>
      </c>
      <c r="AL1124" t="s">
        <v>83</v>
      </c>
      <c r="AM1124">
        <v>1</v>
      </c>
      <c r="AN1124" s="2">
        <v>9780748638031</v>
      </c>
    </row>
    <row r="1125" spans="1:40" x14ac:dyDescent="0.3">
      <c r="A1125" t="s">
        <v>5591</v>
      </c>
      <c r="B1125" t="s">
        <v>1</v>
      </c>
      <c r="C1125" t="s">
        <v>5592</v>
      </c>
      <c r="D1125" t="s">
        <v>5593</v>
      </c>
      <c r="E1125" t="s">
        <v>5594</v>
      </c>
      <c r="F1125" t="s">
        <v>5</v>
      </c>
      <c r="G1125" t="s">
        <v>6</v>
      </c>
      <c r="L1125" t="s">
        <v>7</v>
      </c>
      <c r="M1125">
        <v>2020</v>
      </c>
      <c r="N1125" s="1">
        <v>44656</v>
      </c>
      <c r="O1125" t="s">
        <v>5595</v>
      </c>
      <c r="P1125">
        <v>1</v>
      </c>
      <c r="S1125">
        <v>217.95</v>
      </c>
      <c r="T1125">
        <v>250</v>
      </c>
      <c r="U1125">
        <v>190</v>
      </c>
      <c r="V1125" t="s">
        <v>42</v>
      </c>
      <c r="W1125" t="s">
        <v>107</v>
      </c>
      <c r="X1125" t="s">
        <v>108</v>
      </c>
      <c r="Y1125" t="s">
        <v>109</v>
      </c>
      <c r="AF1125" t="s">
        <v>13</v>
      </c>
      <c r="AG1125" t="str">
        <f>HYPERLINK("https://doi.org/10.1515/9781474448727")</f>
        <v>https://doi.org/10.1515/9781474448727</v>
      </c>
      <c r="AH1125" t="str">
        <f>HYPERLINK("http://www.degruyter.com/isbn/9781474448727")</f>
        <v>http://www.degruyter.com/isbn/9781474448727</v>
      </c>
      <c r="AI1125" t="s">
        <v>14</v>
      </c>
      <c r="AL1125" t="s">
        <v>47</v>
      </c>
      <c r="AM1125">
        <v>1</v>
      </c>
      <c r="AN1125" s="2">
        <v>9781474448703</v>
      </c>
    </row>
    <row r="1126" spans="1:40" x14ac:dyDescent="0.3">
      <c r="A1126" t="s">
        <v>5596</v>
      </c>
      <c r="B1126" t="s">
        <v>1</v>
      </c>
      <c r="C1126" t="s">
        <v>5597</v>
      </c>
      <c r="D1126" t="s">
        <v>5598</v>
      </c>
      <c r="E1126" t="s">
        <v>5599</v>
      </c>
      <c r="F1126" t="s">
        <v>5</v>
      </c>
      <c r="G1126" t="s">
        <v>6</v>
      </c>
      <c r="L1126" t="s">
        <v>7</v>
      </c>
      <c r="M1126">
        <v>2004</v>
      </c>
      <c r="N1126" s="1">
        <v>38153</v>
      </c>
      <c r="O1126" t="s">
        <v>4602</v>
      </c>
      <c r="P1126">
        <v>1</v>
      </c>
      <c r="S1126">
        <v>243.95</v>
      </c>
      <c r="T1126">
        <v>280</v>
      </c>
      <c r="U1126">
        <v>210</v>
      </c>
      <c r="V1126" t="s">
        <v>98</v>
      </c>
      <c r="W1126" t="s">
        <v>1513</v>
      </c>
      <c r="X1126" t="s">
        <v>1514</v>
      </c>
      <c r="Y1126" t="s">
        <v>1515</v>
      </c>
      <c r="AF1126" t="s">
        <v>13</v>
      </c>
      <c r="AG1126" t="str">
        <f>HYPERLINK("https://doi.org/10.1515/9781474472623")</f>
        <v>https://doi.org/10.1515/9781474472623</v>
      </c>
      <c r="AH1126" t="str">
        <f>HYPERLINK("http://www.degruyter.com/isbn/9781474472623")</f>
        <v>http://www.degruyter.com/isbn/9781474472623</v>
      </c>
      <c r="AI1126" t="s">
        <v>68</v>
      </c>
      <c r="AL1126" t="s">
        <v>102</v>
      </c>
      <c r="AM1126">
        <v>1</v>
      </c>
      <c r="AN1126" s="2">
        <v>9780748617197</v>
      </c>
    </row>
    <row r="1127" spans="1:40" x14ac:dyDescent="0.3">
      <c r="A1127" t="s">
        <v>5600</v>
      </c>
      <c r="B1127" t="s">
        <v>1</v>
      </c>
      <c r="C1127" t="s">
        <v>5601</v>
      </c>
      <c r="D1127" t="s">
        <v>5602</v>
      </c>
      <c r="E1127" t="s">
        <v>5603</v>
      </c>
      <c r="F1127" t="s">
        <v>5</v>
      </c>
      <c r="G1127" t="s">
        <v>6</v>
      </c>
      <c r="L1127" t="s">
        <v>7</v>
      </c>
      <c r="M1127">
        <v>2017</v>
      </c>
      <c r="N1127" s="1">
        <v>43003</v>
      </c>
      <c r="O1127" t="s">
        <v>5604</v>
      </c>
      <c r="P1127">
        <v>1</v>
      </c>
      <c r="S1127">
        <v>253.95</v>
      </c>
      <c r="T1127">
        <v>290</v>
      </c>
      <c r="U1127">
        <v>220</v>
      </c>
      <c r="V1127" t="s">
        <v>58</v>
      </c>
      <c r="W1127" t="s">
        <v>59</v>
      </c>
      <c r="X1127" t="s">
        <v>278</v>
      </c>
      <c r="Y1127" t="s">
        <v>932</v>
      </c>
      <c r="AF1127" t="s">
        <v>13</v>
      </c>
      <c r="AG1127" t="str">
        <f>HYPERLINK("https://doi.org/10.1515/9781474423571?locatt=mode:legacy")</f>
        <v>https://doi.org/10.1515/9781474423571?locatt=mode:legacy</v>
      </c>
      <c r="AH1127" t="str">
        <f>HYPERLINK("http://www.degruyter.com/isbn/9781474423571")</f>
        <v>http://www.degruyter.com/isbn/9781474423571</v>
      </c>
      <c r="AI1127" t="s">
        <v>222</v>
      </c>
      <c r="AL1127" t="s">
        <v>62</v>
      </c>
      <c r="AM1127">
        <v>1</v>
      </c>
      <c r="AN1127" s="2">
        <v>9781474423564</v>
      </c>
    </row>
    <row r="1128" spans="1:40" x14ac:dyDescent="0.3">
      <c r="A1128" t="s">
        <v>5605</v>
      </c>
      <c r="B1128" t="s">
        <v>1</v>
      </c>
      <c r="C1128" t="s">
        <v>5606</v>
      </c>
      <c r="D1128" t="s">
        <v>5607</v>
      </c>
      <c r="E1128" t="s">
        <v>5608</v>
      </c>
      <c r="F1128" t="s">
        <v>5</v>
      </c>
      <c r="G1128" t="s">
        <v>6</v>
      </c>
      <c r="L1128" t="s">
        <v>7</v>
      </c>
      <c r="M1128">
        <v>2019</v>
      </c>
      <c r="N1128" s="1">
        <v>44656</v>
      </c>
      <c r="O1128" t="s">
        <v>5609</v>
      </c>
      <c r="P1128">
        <v>1</v>
      </c>
      <c r="S1128">
        <v>253.95</v>
      </c>
      <c r="T1128">
        <v>290</v>
      </c>
      <c r="U1128">
        <v>220</v>
      </c>
      <c r="V1128" t="s">
        <v>42</v>
      </c>
      <c r="W1128" t="s">
        <v>116</v>
      </c>
      <c r="X1128" t="s">
        <v>116</v>
      </c>
      <c r="Y1128" t="s">
        <v>5610</v>
      </c>
      <c r="AF1128" t="s">
        <v>13</v>
      </c>
      <c r="AG1128" t="str">
        <f>HYPERLINK("https://doi.org/10.1515/9781474447997")</f>
        <v>https://doi.org/10.1515/9781474447997</v>
      </c>
      <c r="AH1128" t="str">
        <f>HYPERLINK("http://www.degruyter.com/isbn/9781474447997")</f>
        <v>http://www.degruyter.com/isbn/9781474447997</v>
      </c>
      <c r="AI1128" t="s">
        <v>280</v>
      </c>
      <c r="AL1128" t="s">
        <v>47</v>
      </c>
      <c r="AM1128">
        <v>1</v>
      </c>
      <c r="AN1128" s="2">
        <v>9781474447973</v>
      </c>
    </row>
    <row r="1129" spans="1:40" x14ac:dyDescent="0.3">
      <c r="A1129" t="s">
        <v>5611</v>
      </c>
      <c r="B1129" t="s">
        <v>1</v>
      </c>
      <c r="C1129" t="s">
        <v>5612</v>
      </c>
      <c r="D1129" t="s">
        <v>5613</v>
      </c>
      <c r="E1129" t="s">
        <v>5614</v>
      </c>
      <c r="F1129" t="s">
        <v>5</v>
      </c>
      <c r="G1129" t="s">
        <v>6</v>
      </c>
      <c r="L1129" t="s">
        <v>7</v>
      </c>
      <c r="M1129">
        <v>2004</v>
      </c>
      <c r="N1129" s="1">
        <v>38310</v>
      </c>
      <c r="O1129" t="s">
        <v>5615</v>
      </c>
      <c r="P1129">
        <v>1</v>
      </c>
      <c r="S1129">
        <v>243.95</v>
      </c>
      <c r="T1129">
        <v>280</v>
      </c>
      <c r="U1129">
        <v>210</v>
      </c>
      <c r="V1129" t="s">
        <v>1155</v>
      </c>
      <c r="W1129" t="s">
        <v>5616</v>
      </c>
      <c r="X1129" t="s">
        <v>5616</v>
      </c>
      <c r="Y1129" t="s">
        <v>5617</v>
      </c>
      <c r="AF1129" t="s">
        <v>13</v>
      </c>
      <c r="AG1129" t="str">
        <f>HYPERLINK("https://doi.org/10.1515/9780748676989?locatt=mode:legacy")</f>
        <v>https://doi.org/10.1515/9780748676989?locatt=mode:legacy</v>
      </c>
      <c r="AH1129" t="str">
        <f>HYPERLINK("http://www.degruyter.com/isbn/9780748676989")</f>
        <v>http://www.degruyter.com/isbn/9780748676989</v>
      </c>
      <c r="AI1129" t="s">
        <v>68</v>
      </c>
      <c r="AJ1129" t="s">
        <v>35</v>
      </c>
      <c r="AL1129" t="s">
        <v>5618</v>
      </c>
      <c r="AM1129">
        <v>1</v>
      </c>
      <c r="AN1129" s="2">
        <v>9780748617692</v>
      </c>
    </row>
    <row r="1130" spans="1:40" x14ac:dyDescent="0.3">
      <c r="A1130" t="s">
        <v>5619</v>
      </c>
      <c r="B1130" t="s">
        <v>1</v>
      </c>
      <c r="C1130" t="s">
        <v>5620</v>
      </c>
      <c r="D1130" t="s">
        <v>5621</v>
      </c>
      <c r="E1130" t="s">
        <v>5622</v>
      </c>
      <c r="F1130" t="s">
        <v>5</v>
      </c>
      <c r="G1130" t="s">
        <v>6</v>
      </c>
      <c r="L1130" t="s">
        <v>7</v>
      </c>
      <c r="M1130">
        <v>2006</v>
      </c>
      <c r="N1130" s="1">
        <v>38831</v>
      </c>
      <c r="O1130" t="s">
        <v>5385</v>
      </c>
      <c r="P1130">
        <v>1</v>
      </c>
      <c r="S1130">
        <v>253.95</v>
      </c>
      <c r="T1130">
        <v>290</v>
      </c>
      <c r="U1130">
        <v>220</v>
      </c>
      <c r="V1130" t="s">
        <v>58</v>
      </c>
      <c r="W1130" t="s">
        <v>59</v>
      </c>
      <c r="X1130" t="s">
        <v>60</v>
      </c>
      <c r="Y1130" t="s">
        <v>61</v>
      </c>
      <c r="AF1130" t="s">
        <v>13</v>
      </c>
      <c r="AG1130" t="str">
        <f>HYPERLINK("https://doi.org/10.1515/9780748626724")</f>
        <v>https://doi.org/10.1515/9780748626724</v>
      </c>
      <c r="AH1130" t="str">
        <f>HYPERLINK("http://www.degruyter.com/isbn/9780748626724")</f>
        <v>http://www.degruyter.com/isbn/9780748626724</v>
      </c>
      <c r="AI1130" t="s">
        <v>68</v>
      </c>
      <c r="AL1130" t="s">
        <v>62</v>
      </c>
      <c r="AM1130">
        <v>1</v>
      </c>
      <c r="AN1130" s="2">
        <v>9780748622252</v>
      </c>
    </row>
    <row r="1131" spans="1:40" x14ac:dyDescent="0.3">
      <c r="A1131" t="s">
        <v>5623</v>
      </c>
      <c r="B1131" t="s">
        <v>1</v>
      </c>
      <c r="C1131" t="s">
        <v>5624</v>
      </c>
      <c r="D1131" t="s">
        <v>5625</v>
      </c>
      <c r="E1131" t="s">
        <v>5626</v>
      </c>
      <c r="F1131" t="s">
        <v>5</v>
      </c>
      <c r="G1131" t="s">
        <v>6</v>
      </c>
      <c r="L1131" t="s">
        <v>7</v>
      </c>
      <c r="M1131">
        <v>2012</v>
      </c>
      <c r="N1131" s="1">
        <v>41002</v>
      </c>
      <c r="O1131" t="s">
        <v>5627</v>
      </c>
      <c r="P1131">
        <v>1</v>
      </c>
      <c r="S1131">
        <v>227.95</v>
      </c>
      <c r="T1131">
        <v>260</v>
      </c>
      <c r="U1131">
        <v>200</v>
      </c>
      <c r="V1131" t="s">
        <v>42</v>
      </c>
      <c r="W1131" t="s">
        <v>161</v>
      </c>
      <c r="X1131" t="s">
        <v>162</v>
      </c>
      <c r="Y1131" t="s">
        <v>896</v>
      </c>
      <c r="AF1131" t="s">
        <v>13</v>
      </c>
      <c r="AG1131" t="str">
        <f>HYPERLINK("https://doi.org/10.1515/9780748647491")</f>
        <v>https://doi.org/10.1515/9780748647491</v>
      </c>
      <c r="AH1131" t="str">
        <f>HYPERLINK("http://www.degruyter.com/isbn/9780748647491")</f>
        <v>http://www.degruyter.com/isbn/9780748647491</v>
      </c>
      <c r="AI1131" t="s">
        <v>68</v>
      </c>
      <c r="AL1131" t="s">
        <v>47</v>
      </c>
      <c r="AM1131">
        <v>1</v>
      </c>
      <c r="AN1131" s="2">
        <v>9780748647484</v>
      </c>
    </row>
    <row r="1132" spans="1:40" x14ac:dyDescent="0.3">
      <c r="A1132" t="s">
        <v>5628</v>
      </c>
      <c r="B1132" t="s">
        <v>1</v>
      </c>
      <c r="C1132" t="s">
        <v>5629</v>
      </c>
      <c r="D1132" t="s">
        <v>5630</v>
      </c>
      <c r="E1132" t="s">
        <v>5631</v>
      </c>
      <c r="F1132" t="s">
        <v>5</v>
      </c>
      <c r="G1132" t="s">
        <v>6</v>
      </c>
      <c r="L1132" t="s">
        <v>7</v>
      </c>
      <c r="M1132">
        <v>2016</v>
      </c>
      <c r="N1132" s="1">
        <v>42415</v>
      </c>
      <c r="O1132" t="s">
        <v>5632</v>
      </c>
      <c r="P1132">
        <v>1</v>
      </c>
      <c r="S1132">
        <v>253.95</v>
      </c>
      <c r="T1132">
        <v>290</v>
      </c>
      <c r="U1132">
        <v>220</v>
      </c>
      <c r="V1132" t="s">
        <v>58</v>
      </c>
      <c r="W1132" t="s">
        <v>59</v>
      </c>
      <c r="X1132" t="s">
        <v>60</v>
      </c>
      <c r="Y1132" t="s">
        <v>169</v>
      </c>
      <c r="AF1132" t="s">
        <v>13</v>
      </c>
      <c r="AG1132" t="str">
        <f>HYPERLINK("https://doi.org/10.1515/9781474407106")</f>
        <v>https://doi.org/10.1515/9781474407106</v>
      </c>
      <c r="AH1132" t="str">
        <f>HYPERLINK("http://www.degruyter.com/isbn/9781474407106")</f>
        <v>http://www.degruyter.com/isbn/9781474407106</v>
      </c>
      <c r="AI1132" t="s">
        <v>180</v>
      </c>
      <c r="AL1132" t="s">
        <v>62</v>
      </c>
      <c r="AM1132">
        <v>1</v>
      </c>
      <c r="AN1132" s="2">
        <v>9781474407083</v>
      </c>
    </row>
    <row r="1133" spans="1:40" x14ac:dyDescent="0.3">
      <c r="A1133" t="s">
        <v>5633</v>
      </c>
      <c r="B1133" t="s">
        <v>1</v>
      </c>
      <c r="C1133" t="s">
        <v>5634</v>
      </c>
      <c r="D1133" t="s">
        <v>5635</v>
      </c>
      <c r="E1133" t="s">
        <v>5636</v>
      </c>
      <c r="F1133" t="s">
        <v>5</v>
      </c>
      <c r="G1133" t="s">
        <v>6</v>
      </c>
      <c r="L1133" t="s">
        <v>7</v>
      </c>
      <c r="M1133">
        <v>2008</v>
      </c>
      <c r="N1133" s="1">
        <v>39512</v>
      </c>
      <c r="O1133" t="s">
        <v>1636</v>
      </c>
      <c r="P1133">
        <v>1</v>
      </c>
      <c r="S1133">
        <v>261.95</v>
      </c>
      <c r="T1133">
        <v>300</v>
      </c>
      <c r="U1133">
        <v>230</v>
      </c>
      <c r="V1133" t="s">
        <v>20</v>
      </c>
      <c r="W1133" t="s">
        <v>21</v>
      </c>
      <c r="X1133" t="s">
        <v>22</v>
      </c>
      <c r="Y1133" t="s">
        <v>23</v>
      </c>
      <c r="AF1133" t="s">
        <v>13</v>
      </c>
      <c r="AG1133" t="str">
        <f>HYPERLINK("https://doi.org/10.1515/9780748629510?locatt=mode:legacy")</f>
        <v>https://doi.org/10.1515/9780748629510?locatt=mode:legacy</v>
      </c>
      <c r="AH1133" t="str">
        <f>HYPERLINK("http://www.degruyter.com/isbn/9780748629510")</f>
        <v>http://www.degruyter.com/isbn/9780748629510</v>
      </c>
      <c r="AI1133" t="s">
        <v>68</v>
      </c>
      <c r="AL1133" t="s">
        <v>15</v>
      </c>
      <c r="AM1133">
        <v>1</v>
      </c>
      <c r="AN1133" s="2">
        <v>9780748621583</v>
      </c>
    </row>
    <row r="1134" spans="1:40" x14ac:dyDescent="0.3">
      <c r="A1134" t="s">
        <v>5637</v>
      </c>
      <c r="B1134" t="s">
        <v>1</v>
      </c>
      <c r="C1134" t="s">
        <v>5638</v>
      </c>
      <c r="D1134" t="s">
        <v>5639</v>
      </c>
      <c r="E1134" t="s">
        <v>5640</v>
      </c>
      <c r="F1134" t="s">
        <v>5</v>
      </c>
      <c r="G1134" t="s">
        <v>6</v>
      </c>
      <c r="L1134" t="s">
        <v>7</v>
      </c>
      <c r="M1134">
        <v>1999</v>
      </c>
      <c r="N1134" s="1">
        <v>44607</v>
      </c>
      <c r="O1134" t="s">
        <v>5641</v>
      </c>
      <c r="P1134">
        <v>1</v>
      </c>
      <c r="S1134">
        <v>217.95</v>
      </c>
      <c r="T1134">
        <v>250</v>
      </c>
      <c r="U1134">
        <v>190</v>
      </c>
      <c r="V1134" t="s">
        <v>58</v>
      </c>
      <c r="W1134" t="s">
        <v>129</v>
      </c>
      <c r="X1134" t="s">
        <v>5642</v>
      </c>
      <c r="Y1134" t="s">
        <v>5643</v>
      </c>
      <c r="AF1134" t="s">
        <v>13</v>
      </c>
      <c r="AG1134" t="str">
        <f>HYPERLINK("https://doi.org/10.1515/9781474465809")</f>
        <v>https://doi.org/10.1515/9781474465809</v>
      </c>
      <c r="AH1134" t="str">
        <f>HYPERLINK("http://www.degruyter.com/isbn/9781474465809")</f>
        <v>http://www.degruyter.com/isbn/9781474465809</v>
      </c>
      <c r="AI1134" t="s">
        <v>5644</v>
      </c>
      <c r="AJ1134" t="s">
        <v>35</v>
      </c>
      <c r="AL1134" t="s">
        <v>1346</v>
      </c>
      <c r="AM1134">
        <v>1</v>
      </c>
      <c r="AN1134" s="2">
        <v>9780748611713</v>
      </c>
    </row>
    <row r="1135" spans="1:40" x14ac:dyDescent="0.3">
      <c r="A1135" t="s">
        <v>5645</v>
      </c>
      <c r="B1135" t="s">
        <v>1</v>
      </c>
      <c r="C1135" t="s">
        <v>5646</v>
      </c>
      <c r="D1135" t="s">
        <v>5647</v>
      </c>
      <c r="E1135" t="s">
        <v>5648</v>
      </c>
      <c r="F1135" t="s">
        <v>5</v>
      </c>
      <c r="G1135" t="s">
        <v>6</v>
      </c>
      <c r="L1135" t="s">
        <v>7</v>
      </c>
      <c r="M1135">
        <v>2006</v>
      </c>
      <c r="N1135" s="1">
        <v>39063</v>
      </c>
      <c r="O1135" t="s">
        <v>5649</v>
      </c>
      <c r="P1135">
        <v>1</v>
      </c>
      <c r="S1135">
        <v>295.95</v>
      </c>
      <c r="T1135">
        <v>340</v>
      </c>
      <c r="U1135">
        <v>260</v>
      </c>
      <c r="V1135" t="s">
        <v>58</v>
      </c>
      <c r="W1135" t="s">
        <v>59</v>
      </c>
      <c r="X1135" t="s">
        <v>60</v>
      </c>
      <c r="Y1135" t="s">
        <v>399</v>
      </c>
      <c r="AF1135" t="s">
        <v>13</v>
      </c>
      <c r="AG1135" t="str">
        <f>HYPERLINK("https://doi.org/10.1515/9780748629350")</f>
        <v>https://doi.org/10.1515/9780748629350</v>
      </c>
      <c r="AH1135" t="str">
        <f>HYPERLINK("http://www.degruyter.com/isbn/9780748629350")</f>
        <v>http://www.degruyter.com/isbn/9780748629350</v>
      </c>
      <c r="AI1135" t="s">
        <v>68</v>
      </c>
      <c r="AJ1135" t="s">
        <v>35</v>
      </c>
      <c r="AL1135" t="s">
        <v>155</v>
      </c>
      <c r="AM1135">
        <v>1</v>
      </c>
      <c r="AN1135" s="2">
        <v>9780748621125</v>
      </c>
    </row>
    <row r="1136" spans="1:40" x14ac:dyDescent="0.3">
      <c r="A1136" t="s">
        <v>5650</v>
      </c>
      <c r="B1136" t="s">
        <v>1</v>
      </c>
      <c r="C1136" t="s">
        <v>5651</v>
      </c>
      <c r="E1136" t="s">
        <v>5652</v>
      </c>
      <c r="F1136" t="s">
        <v>5</v>
      </c>
      <c r="G1136" t="s">
        <v>6</v>
      </c>
      <c r="L1136" t="s">
        <v>7</v>
      </c>
      <c r="M1136">
        <v>2015</v>
      </c>
      <c r="N1136" s="1">
        <v>42285</v>
      </c>
      <c r="O1136" t="s">
        <v>5653</v>
      </c>
      <c r="P1136">
        <v>1</v>
      </c>
      <c r="S1136">
        <v>217.95</v>
      </c>
      <c r="T1136">
        <v>250</v>
      </c>
      <c r="U1136">
        <v>190</v>
      </c>
      <c r="V1136" t="s">
        <v>9</v>
      </c>
      <c r="W1136" t="s">
        <v>10</v>
      </c>
      <c r="X1136" t="s">
        <v>11</v>
      </c>
      <c r="Y1136" t="s">
        <v>52</v>
      </c>
      <c r="AF1136" t="s">
        <v>13</v>
      </c>
      <c r="AG1136" t="str">
        <f>HYPERLINK("https://doi.org/10.1515/9780748697960?locatt=mode:legacy")</f>
        <v>https://doi.org/10.1515/9780748697960?locatt=mode:legacy</v>
      </c>
      <c r="AH1136" t="str">
        <f>HYPERLINK("http://www.degruyter.com/isbn/9780748697960")</f>
        <v>http://www.degruyter.com/isbn/9780748697960</v>
      </c>
      <c r="AI1136" t="s">
        <v>34</v>
      </c>
      <c r="AL1136" t="s">
        <v>15</v>
      </c>
      <c r="AM1136">
        <v>1</v>
      </c>
      <c r="AN1136" s="2">
        <v>9780748697953</v>
      </c>
    </row>
    <row r="1137" spans="1:40" x14ac:dyDescent="0.3">
      <c r="A1137" t="s">
        <v>5654</v>
      </c>
      <c r="B1137" t="s">
        <v>1</v>
      </c>
      <c r="C1137" t="s">
        <v>5655</v>
      </c>
      <c r="D1137" t="s">
        <v>5656</v>
      </c>
      <c r="E1137" t="s">
        <v>5657</v>
      </c>
      <c r="F1137" t="s">
        <v>5</v>
      </c>
      <c r="G1137" t="s">
        <v>6</v>
      </c>
      <c r="L1137" t="s">
        <v>7</v>
      </c>
      <c r="M1137">
        <v>2013</v>
      </c>
      <c r="N1137" s="1">
        <v>41624</v>
      </c>
      <c r="O1137" t="s">
        <v>5658</v>
      </c>
      <c r="P1137">
        <v>1</v>
      </c>
      <c r="S1137">
        <v>217.95</v>
      </c>
      <c r="T1137">
        <v>250</v>
      </c>
      <c r="U1137">
        <v>190</v>
      </c>
      <c r="V1137" t="s">
        <v>42</v>
      </c>
      <c r="W1137" t="s">
        <v>43</v>
      </c>
      <c r="X1137" t="s">
        <v>44</v>
      </c>
      <c r="Y1137" t="s">
        <v>45</v>
      </c>
      <c r="AF1137" t="s">
        <v>13</v>
      </c>
      <c r="AG1137" t="str">
        <f>HYPERLINK("https://doi.org/10.1515/9780748692033?locatt=mode:legacy")</f>
        <v>https://doi.org/10.1515/9780748692033?locatt=mode:legacy</v>
      </c>
      <c r="AH1137" t="str">
        <f>HYPERLINK("http://www.degruyter.com/isbn/9780748692033")</f>
        <v>http://www.degruyter.com/isbn/9780748692033</v>
      </c>
      <c r="AI1137" t="s">
        <v>68</v>
      </c>
      <c r="AL1137" t="s">
        <v>47</v>
      </c>
      <c r="AM1137">
        <v>1</v>
      </c>
      <c r="AN1137" s="2">
        <v>9780748692026</v>
      </c>
    </row>
    <row r="1138" spans="1:40" x14ac:dyDescent="0.3">
      <c r="A1138" t="s">
        <v>5659</v>
      </c>
      <c r="B1138" t="s">
        <v>1</v>
      </c>
      <c r="C1138" t="s">
        <v>5660</v>
      </c>
      <c r="D1138" t="s">
        <v>5661</v>
      </c>
      <c r="E1138" t="s">
        <v>5662</v>
      </c>
      <c r="F1138" t="s">
        <v>5</v>
      </c>
      <c r="G1138" t="s">
        <v>6</v>
      </c>
      <c r="L1138" t="s">
        <v>7</v>
      </c>
      <c r="M1138">
        <v>2016</v>
      </c>
      <c r="N1138" s="1">
        <v>42692</v>
      </c>
      <c r="O1138" t="s">
        <v>5663</v>
      </c>
      <c r="P1138">
        <v>1</v>
      </c>
      <c r="S1138">
        <v>253.95</v>
      </c>
      <c r="T1138">
        <v>290</v>
      </c>
      <c r="U1138">
        <v>220</v>
      </c>
      <c r="V1138" t="s">
        <v>20</v>
      </c>
      <c r="W1138" t="s">
        <v>21</v>
      </c>
      <c r="X1138" t="s">
        <v>839</v>
      </c>
      <c r="Y1138" t="s">
        <v>1850</v>
      </c>
      <c r="AF1138" t="s">
        <v>13</v>
      </c>
      <c r="AG1138" t="str">
        <f>HYPERLINK("https://doi.org/10.1515/9781474408899")</f>
        <v>https://doi.org/10.1515/9781474408899</v>
      </c>
      <c r="AH1138" t="str">
        <f>HYPERLINK("http://www.degruyter.com/isbn/9781474408899")</f>
        <v>http://www.degruyter.com/isbn/9781474408899</v>
      </c>
      <c r="AI1138" t="s">
        <v>180</v>
      </c>
      <c r="AL1138" t="s">
        <v>15</v>
      </c>
      <c r="AM1138">
        <v>1</v>
      </c>
      <c r="AN1138" s="2">
        <v>9781474408882</v>
      </c>
    </row>
    <row r="1139" spans="1:40" x14ac:dyDescent="0.3">
      <c r="A1139" t="s">
        <v>5664</v>
      </c>
      <c r="B1139" t="s">
        <v>1</v>
      </c>
      <c r="C1139" t="s">
        <v>5665</v>
      </c>
      <c r="D1139" t="s">
        <v>5666</v>
      </c>
      <c r="E1139" t="s">
        <v>5667</v>
      </c>
      <c r="F1139" t="s">
        <v>5</v>
      </c>
      <c r="G1139" t="s">
        <v>6</v>
      </c>
      <c r="L1139" t="s">
        <v>7</v>
      </c>
      <c r="M1139">
        <v>2020</v>
      </c>
      <c r="N1139" s="1">
        <v>44644</v>
      </c>
      <c r="O1139" t="s">
        <v>5668</v>
      </c>
      <c r="P1139">
        <v>1</v>
      </c>
      <c r="S1139">
        <v>227.95</v>
      </c>
      <c r="T1139">
        <v>260</v>
      </c>
      <c r="U1139">
        <v>200</v>
      </c>
      <c r="V1139" t="s">
        <v>9</v>
      </c>
      <c r="W1139" t="s">
        <v>10</v>
      </c>
      <c r="X1139" t="s">
        <v>11</v>
      </c>
      <c r="Y1139" t="s">
        <v>52</v>
      </c>
      <c r="AF1139" t="s">
        <v>13</v>
      </c>
      <c r="AG1139" t="str">
        <f>HYPERLINK("https://doi.org/10.1515/9781474474054")</f>
        <v>https://doi.org/10.1515/9781474474054</v>
      </c>
      <c r="AH1139" t="str">
        <f>HYPERLINK("http://www.degruyter.com/isbn/9781474474054")</f>
        <v>http://www.degruyter.com/isbn/9781474474054</v>
      </c>
      <c r="AI1139" t="s">
        <v>14</v>
      </c>
      <c r="AL1139" t="s">
        <v>15</v>
      </c>
      <c r="AM1139">
        <v>1</v>
      </c>
      <c r="AN1139" s="2">
        <v>9781474474030</v>
      </c>
    </row>
    <row r="1140" spans="1:40" x14ac:dyDescent="0.3">
      <c r="A1140" t="s">
        <v>5669</v>
      </c>
      <c r="B1140" t="s">
        <v>1</v>
      </c>
      <c r="C1140" t="s">
        <v>5670</v>
      </c>
      <c r="E1140" t="s">
        <v>5671</v>
      </c>
      <c r="F1140" t="s">
        <v>5</v>
      </c>
      <c r="G1140" t="s">
        <v>6</v>
      </c>
      <c r="L1140" t="s">
        <v>7</v>
      </c>
      <c r="M1140">
        <v>2006</v>
      </c>
      <c r="N1140" s="1">
        <v>38742</v>
      </c>
      <c r="O1140" t="s">
        <v>5672</v>
      </c>
      <c r="P1140">
        <v>1</v>
      </c>
      <c r="S1140">
        <v>261.95</v>
      </c>
      <c r="T1140">
        <v>300</v>
      </c>
      <c r="U1140">
        <v>230</v>
      </c>
      <c r="V1140" t="s">
        <v>20</v>
      </c>
      <c r="W1140" t="s">
        <v>21</v>
      </c>
      <c r="X1140" t="s">
        <v>22</v>
      </c>
      <c r="Y1140" t="s">
        <v>23</v>
      </c>
      <c r="AF1140" t="s">
        <v>13</v>
      </c>
      <c r="AG1140" t="str">
        <f>HYPERLINK("https://doi.org/10.1515/9780748626397")</f>
        <v>https://doi.org/10.1515/9780748626397</v>
      </c>
      <c r="AH1140" t="str">
        <f>HYPERLINK("http://www.degruyter.com/isbn/9780748626397")</f>
        <v>http://www.degruyter.com/isbn/9780748626397</v>
      </c>
      <c r="AI1140" t="s">
        <v>68</v>
      </c>
      <c r="AL1140" t="s">
        <v>15</v>
      </c>
      <c r="AM1140">
        <v>1</v>
      </c>
      <c r="AN1140" s="2">
        <v>9780748617609</v>
      </c>
    </row>
    <row r="1141" spans="1:40" x14ac:dyDescent="0.3">
      <c r="A1141" t="s">
        <v>5673</v>
      </c>
      <c r="B1141" t="s">
        <v>1</v>
      </c>
      <c r="C1141" t="s">
        <v>5674</v>
      </c>
      <c r="D1141" t="s">
        <v>5675</v>
      </c>
      <c r="E1141" t="s">
        <v>5676</v>
      </c>
      <c r="F1141" t="s">
        <v>5</v>
      </c>
      <c r="G1141" t="s">
        <v>6</v>
      </c>
      <c r="L1141" t="s">
        <v>7</v>
      </c>
      <c r="M1141">
        <v>2019</v>
      </c>
      <c r="N1141" s="1">
        <v>44656</v>
      </c>
      <c r="O1141" t="s">
        <v>5677</v>
      </c>
      <c r="P1141">
        <v>1</v>
      </c>
      <c r="S1141">
        <v>217.95</v>
      </c>
      <c r="T1141">
        <v>250</v>
      </c>
      <c r="U1141">
        <v>190</v>
      </c>
      <c r="V1141" t="s">
        <v>20</v>
      </c>
      <c r="W1141" t="s">
        <v>21</v>
      </c>
      <c r="X1141" t="s">
        <v>3445</v>
      </c>
      <c r="Y1141" t="s">
        <v>5678</v>
      </c>
      <c r="AF1141" t="s">
        <v>13</v>
      </c>
      <c r="AG1141" t="str">
        <f>HYPERLINK("https://doi.org/10.1515/9781474427944?locatt=mode:legacy")</f>
        <v>https://doi.org/10.1515/9781474427944?locatt=mode:legacy</v>
      </c>
      <c r="AH1141" t="str">
        <f>HYPERLINK("http://www.degruyter.com/isbn/9781474427944")</f>
        <v>http://www.degruyter.com/isbn/9781474427944</v>
      </c>
      <c r="AI1141" t="s">
        <v>280</v>
      </c>
      <c r="AL1141" t="s">
        <v>15</v>
      </c>
      <c r="AM1141">
        <v>1</v>
      </c>
      <c r="AN1141" s="2">
        <v>9781474427920</v>
      </c>
    </row>
    <row r="1142" spans="1:40" x14ac:dyDescent="0.3">
      <c r="A1142" t="s">
        <v>5679</v>
      </c>
      <c r="B1142" t="s">
        <v>1</v>
      </c>
      <c r="C1142" t="s">
        <v>5680</v>
      </c>
      <c r="D1142" t="s">
        <v>5681</v>
      </c>
      <c r="E1142" t="s">
        <v>5682</v>
      </c>
      <c r="F1142" t="s">
        <v>5</v>
      </c>
      <c r="G1142" t="s">
        <v>6</v>
      </c>
      <c r="L1142" t="s">
        <v>7</v>
      </c>
      <c r="M1142">
        <v>2018</v>
      </c>
      <c r="N1142" s="1">
        <v>44644</v>
      </c>
      <c r="O1142" t="s">
        <v>5683</v>
      </c>
      <c r="P1142">
        <v>1</v>
      </c>
      <c r="S1142">
        <v>217.95</v>
      </c>
      <c r="T1142">
        <v>250</v>
      </c>
      <c r="U1142">
        <v>190</v>
      </c>
      <c r="V1142" t="s">
        <v>42</v>
      </c>
      <c r="W1142" t="s">
        <v>116</v>
      </c>
      <c r="X1142" t="s">
        <v>116</v>
      </c>
      <c r="Y1142" t="s">
        <v>5610</v>
      </c>
      <c r="AF1142" t="s">
        <v>13</v>
      </c>
      <c r="AG1142" t="str">
        <f>HYPERLINK("https://doi.org/10.1515/9781474429962?locatt=mode:legacy")</f>
        <v>https://doi.org/10.1515/9781474429962?locatt=mode:legacy</v>
      </c>
      <c r="AH1142" t="str">
        <f>HYPERLINK("http://www.degruyter.com/isbn/9781474429962")</f>
        <v>http://www.degruyter.com/isbn/9781474429962</v>
      </c>
      <c r="AI1142" t="s">
        <v>46</v>
      </c>
      <c r="AL1142" t="s">
        <v>47</v>
      </c>
      <c r="AM1142">
        <v>1</v>
      </c>
      <c r="AN1142" s="2">
        <v>9781474429948</v>
      </c>
    </row>
    <row r="1143" spans="1:40" x14ac:dyDescent="0.3">
      <c r="A1143" t="s">
        <v>5684</v>
      </c>
      <c r="B1143" t="s">
        <v>1</v>
      </c>
      <c r="C1143" t="s">
        <v>5685</v>
      </c>
      <c r="E1143" t="s">
        <v>5686</v>
      </c>
      <c r="F1143" t="s">
        <v>5</v>
      </c>
      <c r="G1143" t="s">
        <v>6</v>
      </c>
      <c r="L1143" t="s">
        <v>7</v>
      </c>
      <c r="M1143">
        <v>2013</v>
      </c>
      <c r="N1143" s="1">
        <v>44592</v>
      </c>
      <c r="O1143" t="s">
        <v>5687</v>
      </c>
      <c r="P1143">
        <v>1</v>
      </c>
      <c r="S1143">
        <v>217.95</v>
      </c>
      <c r="T1143">
        <v>250</v>
      </c>
      <c r="U1143">
        <v>190</v>
      </c>
      <c r="V1143" t="s">
        <v>268</v>
      </c>
      <c r="W1143" t="s">
        <v>269</v>
      </c>
      <c r="X1143" t="s">
        <v>269</v>
      </c>
      <c r="Y1143" t="s">
        <v>1095</v>
      </c>
      <c r="AF1143" t="s">
        <v>13</v>
      </c>
      <c r="AG1143" t="str">
        <f>HYPERLINK("https://doi.org/10.1515/9780748699452")</f>
        <v>https://doi.org/10.1515/9780748699452</v>
      </c>
      <c r="AH1143" t="str">
        <f>HYPERLINK("http://www.degruyter.com/isbn/9780748699452")</f>
        <v>http://www.degruyter.com/isbn/9780748699452</v>
      </c>
      <c r="AI1143" t="s">
        <v>1003</v>
      </c>
      <c r="AL1143" t="s">
        <v>272</v>
      </c>
      <c r="AM1143">
        <v>1</v>
      </c>
      <c r="AN1143" s="2">
        <v>9781845861490</v>
      </c>
    </row>
    <row r="1144" spans="1:40" x14ac:dyDescent="0.3">
      <c r="A1144" t="s">
        <v>5688</v>
      </c>
      <c r="B1144" t="s">
        <v>1</v>
      </c>
      <c r="C1144" t="s">
        <v>5689</v>
      </c>
      <c r="D1144" t="s">
        <v>5690</v>
      </c>
      <c r="E1144" t="s">
        <v>5691</v>
      </c>
      <c r="F1144" t="s">
        <v>5</v>
      </c>
      <c r="G1144" t="s">
        <v>6</v>
      </c>
      <c r="L1144" t="s">
        <v>7</v>
      </c>
      <c r="M1144">
        <v>2016</v>
      </c>
      <c r="N1144" s="1">
        <v>42422</v>
      </c>
      <c r="O1144" t="s">
        <v>5692</v>
      </c>
      <c r="P1144">
        <v>1</v>
      </c>
      <c r="Q1144" t="s">
        <v>5693</v>
      </c>
      <c r="S1144">
        <v>227.95</v>
      </c>
      <c r="T1144">
        <v>260</v>
      </c>
      <c r="U1144">
        <v>200</v>
      </c>
      <c r="V1144" t="s">
        <v>42</v>
      </c>
      <c r="W1144" t="s">
        <v>290</v>
      </c>
      <c r="X1144" t="s">
        <v>290</v>
      </c>
      <c r="Y1144" t="s">
        <v>515</v>
      </c>
      <c r="AF1144" t="s">
        <v>13</v>
      </c>
      <c r="AG1144" t="str">
        <f>HYPERLINK("https://doi.org/10.1515/9780748699131?locatt=mode:legacy")</f>
        <v>https://doi.org/10.1515/9780748699131?locatt=mode:legacy</v>
      </c>
      <c r="AH1144" t="str">
        <f>HYPERLINK("http://www.degruyter.com/isbn/9780748699131")</f>
        <v>http://www.degruyter.com/isbn/9780748699131</v>
      </c>
      <c r="AI1144" t="s">
        <v>180</v>
      </c>
      <c r="AL1144" t="s">
        <v>47</v>
      </c>
      <c r="AM1144">
        <v>1</v>
      </c>
      <c r="AN1144" s="2">
        <v>9780748699124</v>
      </c>
    </row>
    <row r="1145" spans="1:40" x14ac:dyDescent="0.3">
      <c r="A1145" t="s">
        <v>5694</v>
      </c>
      <c r="B1145" t="s">
        <v>1</v>
      </c>
      <c r="C1145" t="s">
        <v>5695</v>
      </c>
      <c r="E1145" t="s">
        <v>5696</v>
      </c>
      <c r="F1145" t="s">
        <v>5</v>
      </c>
      <c r="G1145" t="s">
        <v>6</v>
      </c>
      <c r="L1145" t="s">
        <v>7</v>
      </c>
      <c r="M1145">
        <v>2004</v>
      </c>
      <c r="N1145" s="1">
        <v>38111</v>
      </c>
      <c r="O1145" t="s">
        <v>1429</v>
      </c>
      <c r="P1145">
        <v>1</v>
      </c>
      <c r="S1145">
        <v>261.95</v>
      </c>
      <c r="T1145">
        <v>300</v>
      </c>
      <c r="U1145">
        <v>230</v>
      </c>
      <c r="V1145" t="s">
        <v>98</v>
      </c>
      <c r="W1145" t="s">
        <v>99</v>
      </c>
      <c r="X1145" t="s">
        <v>386</v>
      </c>
      <c r="Y1145" t="s">
        <v>387</v>
      </c>
      <c r="AF1145" t="s">
        <v>13</v>
      </c>
      <c r="AG1145" t="str">
        <f>HYPERLINK("https://doi.org/10.1515/9781474468909")</f>
        <v>https://doi.org/10.1515/9781474468909</v>
      </c>
      <c r="AH1145" t="str">
        <f>HYPERLINK("http://www.degruyter.com/isbn/9781474468909")</f>
        <v>http://www.degruyter.com/isbn/9781474468909</v>
      </c>
      <c r="AI1145" t="s">
        <v>68</v>
      </c>
      <c r="AL1145" t="s">
        <v>102</v>
      </c>
      <c r="AM1145">
        <v>1</v>
      </c>
      <c r="AN1145" s="2">
        <v>9780748619306</v>
      </c>
    </row>
    <row r="1146" spans="1:40" x14ac:dyDescent="0.3">
      <c r="A1146" t="s">
        <v>5697</v>
      </c>
      <c r="B1146" t="s">
        <v>1</v>
      </c>
      <c r="C1146" t="s">
        <v>5698</v>
      </c>
      <c r="D1146" t="s">
        <v>5699</v>
      </c>
      <c r="E1146" t="s">
        <v>5700</v>
      </c>
      <c r="F1146" t="s">
        <v>5</v>
      </c>
      <c r="G1146" t="s">
        <v>6</v>
      </c>
      <c r="L1146" t="s">
        <v>7</v>
      </c>
      <c r="M1146">
        <v>2011</v>
      </c>
      <c r="N1146" s="1">
        <v>40884</v>
      </c>
      <c r="O1146" t="s">
        <v>3918</v>
      </c>
      <c r="P1146">
        <v>1</v>
      </c>
      <c r="S1146">
        <v>217.95</v>
      </c>
      <c r="T1146">
        <v>250</v>
      </c>
      <c r="U1146">
        <v>190</v>
      </c>
      <c r="V1146" t="s">
        <v>20</v>
      </c>
      <c r="W1146" t="s">
        <v>21</v>
      </c>
      <c r="X1146" t="s">
        <v>3919</v>
      </c>
      <c r="Y1146" t="s">
        <v>4359</v>
      </c>
      <c r="AF1146" t="s">
        <v>13</v>
      </c>
      <c r="AG1146" t="str">
        <f>HYPERLINK("https://doi.org/10.1515/9780748650873")</f>
        <v>https://doi.org/10.1515/9780748650873</v>
      </c>
      <c r="AH1146" t="str">
        <f>HYPERLINK("http://www.degruyter.com/isbn/9780748650873")</f>
        <v>http://www.degruyter.com/isbn/9780748650873</v>
      </c>
      <c r="AI1146" t="s">
        <v>68</v>
      </c>
      <c r="AL1146" t="s">
        <v>15</v>
      </c>
      <c r="AM1146">
        <v>1</v>
      </c>
      <c r="AN1146" s="2">
        <v>9780748643080</v>
      </c>
    </row>
    <row r="1147" spans="1:40" x14ac:dyDescent="0.3">
      <c r="A1147" t="s">
        <v>5701</v>
      </c>
      <c r="B1147" t="s">
        <v>1</v>
      </c>
      <c r="C1147" t="s">
        <v>5702</v>
      </c>
      <c r="D1147" t="s">
        <v>5703</v>
      </c>
      <c r="E1147" t="s">
        <v>5704</v>
      </c>
      <c r="F1147" t="s">
        <v>5</v>
      </c>
      <c r="G1147" t="s">
        <v>6</v>
      </c>
      <c r="L1147" t="s">
        <v>7</v>
      </c>
      <c r="M1147">
        <v>2013</v>
      </c>
      <c r="N1147" s="1">
        <v>41327</v>
      </c>
      <c r="O1147" t="s">
        <v>5705</v>
      </c>
      <c r="P1147">
        <v>1</v>
      </c>
      <c r="S1147">
        <v>217.95</v>
      </c>
      <c r="T1147">
        <v>250</v>
      </c>
      <c r="U1147">
        <v>190</v>
      </c>
      <c r="V1147" t="s">
        <v>42</v>
      </c>
      <c r="W1147" t="s">
        <v>116</v>
      </c>
      <c r="X1147" t="s">
        <v>116</v>
      </c>
      <c r="Y1147" t="s">
        <v>117</v>
      </c>
      <c r="AF1147" t="s">
        <v>13</v>
      </c>
      <c r="AG1147" t="str">
        <f>HYPERLINK("https://doi.org/10.1515/9780748675470?locatt=mode:legacy")</f>
        <v>https://doi.org/10.1515/9780748675470?locatt=mode:legacy</v>
      </c>
      <c r="AH1147" t="str">
        <f>HYPERLINK("http://www.degruyter.com/isbn/9780748675470")</f>
        <v>http://www.degruyter.com/isbn/9780748675470</v>
      </c>
      <c r="AI1147" t="s">
        <v>68</v>
      </c>
      <c r="AL1147" t="s">
        <v>47</v>
      </c>
      <c r="AM1147">
        <v>1</v>
      </c>
      <c r="AN1147" s="2">
        <v>9780748675463</v>
      </c>
    </row>
    <row r="1148" spans="1:40" x14ac:dyDescent="0.3">
      <c r="A1148" t="s">
        <v>5706</v>
      </c>
      <c r="B1148" t="s">
        <v>1</v>
      </c>
      <c r="C1148" t="s">
        <v>5707</v>
      </c>
      <c r="D1148" t="s">
        <v>5708</v>
      </c>
      <c r="E1148" t="s">
        <v>5709</v>
      </c>
      <c r="F1148" t="s">
        <v>5</v>
      </c>
      <c r="G1148" t="s">
        <v>6</v>
      </c>
      <c r="L1148" t="s">
        <v>7</v>
      </c>
      <c r="M1148">
        <v>2020</v>
      </c>
      <c r="N1148" s="1">
        <v>44656</v>
      </c>
      <c r="O1148" t="s">
        <v>5710</v>
      </c>
      <c r="P1148">
        <v>1</v>
      </c>
      <c r="S1148">
        <v>217.95</v>
      </c>
      <c r="T1148">
        <v>250</v>
      </c>
      <c r="U1148">
        <v>190</v>
      </c>
      <c r="V1148" t="s">
        <v>42</v>
      </c>
      <c r="W1148" t="s">
        <v>43</v>
      </c>
      <c r="X1148" t="s">
        <v>44</v>
      </c>
      <c r="Y1148" t="s">
        <v>45</v>
      </c>
      <c r="AF1148" t="s">
        <v>13</v>
      </c>
      <c r="AG1148" t="str">
        <f>HYPERLINK("https://doi.org/10.1515/9781474451109")</f>
        <v>https://doi.org/10.1515/9781474451109</v>
      </c>
      <c r="AH1148" t="str">
        <f>HYPERLINK("http://www.degruyter.com/isbn/9781474451109")</f>
        <v>http://www.degruyter.com/isbn/9781474451109</v>
      </c>
      <c r="AI1148" t="s">
        <v>14</v>
      </c>
      <c r="AL1148" t="s">
        <v>47</v>
      </c>
      <c r="AM1148">
        <v>1</v>
      </c>
      <c r="AN1148" s="2">
        <v>9781474451086</v>
      </c>
    </row>
    <row r="1149" spans="1:40" x14ac:dyDescent="0.3">
      <c r="A1149" t="s">
        <v>5711</v>
      </c>
      <c r="B1149" t="s">
        <v>1</v>
      </c>
      <c r="C1149" t="s">
        <v>5712</v>
      </c>
      <c r="E1149" t="s">
        <v>5713</v>
      </c>
      <c r="F1149" t="s">
        <v>5</v>
      </c>
      <c r="G1149" t="s">
        <v>6</v>
      </c>
      <c r="L1149" t="s">
        <v>7</v>
      </c>
      <c r="M1149">
        <v>2013</v>
      </c>
      <c r="N1149" s="1">
        <v>41517</v>
      </c>
      <c r="O1149" t="s">
        <v>5714</v>
      </c>
      <c r="P1149">
        <v>1</v>
      </c>
      <c r="Q1149" t="s">
        <v>5715</v>
      </c>
      <c r="S1149">
        <v>217.95</v>
      </c>
      <c r="T1149">
        <v>250</v>
      </c>
      <c r="U1149">
        <v>190</v>
      </c>
      <c r="V1149" t="s">
        <v>98</v>
      </c>
      <c r="W1149" t="s">
        <v>366</v>
      </c>
      <c r="X1149" t="s">
        <v>367</v>
      </c>
      <c r="Y1149" t="s">
        <v>368</v>
      </c>
      <c r="AF1149" t="s">
        <v>13</v>
      </c>
      <c r="AG1149" t="str">
        <f>HYPERLINK("https://doi.org/10.1515/9780748644933")</f>
        <v>https://doi.org/10.1515/9780748644933</v>
      </c>
      <c r="AH1149" t="str">
        <f>HYPERLINK("http://www.degruyter.com/isbn/9780748644933")</f>
        <v>http://www.degruyter.com/isbn/9780748644933</v>
      </c>
      <c r="AI1149" t="s">
        <v>68</v>
      </c>
      <c r="AL1149" t="s">
        <v>102</v>
      </c>
      <c r="AM1149">
        <v>1</v>
      </c>
      <c r="AN1149" s="2">
        <v>9780748644919</v>
      </c>
    </row>
    <row r="1150" spans="1:40" x14ac:dyDescent="0.3">
      <c r="A1150" t="s">
        <v>5716</v>
      </c>
      <c r="B1150" t="s">
        <v>1</v>
      </c>
      <c r="C1150" t="s">
        <v>5717</v>
      </c>
      <c r="D1150" t="s">
        <v>5718</v>
      </c>
      <c r="E1150" t="s">
        <v>5719</v>
      </c>
      <c r="F1150" t="s">
        <v>5</v>
      </c>
      <c r="G1150" t="s">
        <v>6</v>
      </c>
      <c r="L1150" t="s">
        <v>7</v>
      </c>
      <c r="M1150">
        <v>2011</v>
      </c>
      <c r="N1150" s="1">
        <v>40755</v>
      </c>
      <c r="O1150" t="s">
        <v>5720</v>
      </c>
      <c r="P1150">
        <v>1</v>
      </c>
      <c r="S1150">
        <v>217.95</v>
      </c>
      <c r="T1150">
        <v>250</v>
      </c>
      <c r="U1150">
        <v>190</v>
      </c>
      <c r="V1150" t="s">
        <v>20</v>
      </c>
      <c r="W1150" t="s">
        <v>21</v>
      </c>
      <c r="X1150" t="s">
        <v>839</v>
      </c>
      <c r="Y1150" t="s">
        <v>1850</v>
      </c>
      <c r="AF1150" t="s">
        <v>13</v>
      </c>
      <c r="AG1150" t="str">
        <f>HYPERLINK("https://doi.org/10.1515/9780748647576")</f>
        <v>https://doi.org/10.1515/9780748647576</v>
      </c>
      <c r="AH1150" t="str">
        <f>HYPERLINK("http://www.degruyter.com/isbn/9780748647576")</f>
        <v>http://www.degruyter.com/isbn/9780748647576</v>
      </c>
      <c r="AI1150" t="s">
        <v>68</v>
      </c>
      <c r="AL1150" t="s">
        <v>15</v>
      </c>
      <c r="AM1150">
        <v>1</v>
      </c>
      <c r="AN1150" s="2">
        <v>9780748639946</v>
      </c>
    </row>
    <row r="1151" spans="1:40" x14ac:dyDescent="0.3">
      <c r="A1151" t="s">
        <v>5721</v>
      </c>
      <c r="B1151" t="s">
        <v>1</v>
      </c>
      <c r="C1151" t="s">
        <v>5722</v>
      </c>
      <c r="D1151" t="s">
        <v>5723</v>
      </c>
      <c r="E1151" t="s">
        <v>5724</v>
      </c>
      <c r="F1151" t="s">
        <v>5</v>
      </c>
      <c r="G1151" t="s">
        <v>6</v>
      </c>
      <c r="L1151" t="s">
        <v>7</v>
      </c>
      <c r="M1151">
        <v>2007</v>
      </c>
      <c r="N1151" s="1">
        <v>39227</v>
      </c>
      <c r="O1151" t="s">
        <v>5725</v>
      </c>
      <c r="P1151">
        <v>1</v>
      </c>
      <c r="S1151">
        <v>287.95</v>
      </c>
      <c r="T1151">
        <v>330</v>
      </c>
      <c r="U1151">
        <v>250</v>
      </c>
      <c r="V1151" t="s">
        <v>79</v>
      </c>
      <c r="W1151" t="s">
        <v>762</v>
      </c>
      <c r="X1151" t="s">
        <v>762</v>
      </c>
      <c r="Y1151" t="s">
        <v>763</v>
      </c>
      <c r="AF1151" t="s">
        <v>13</v>
      </c>
      <c r="AG1151" t="str">
        <f>HYPERLINK("https://doi.org/10.1515/9780748629381")</f>
        <v>https://doi.org/10.1515/9780748629381</v>
      </c>
      <c r="AH1151" t="str">
        <f>HYPERLINK("http://www.degruyter.com/isbn/9780748629381")</f>
        <v>http://www.degruyter.com/isbn/9780748629381</v>
      </c>
      <c r="AI1151" t="s">
        <v>68</v>
      </c>
      <c r="AL1151" t="s">
        <v>83</v>
      </c>
      <c r="AM1151">
        <v>1</v>
      </c>
      <c r="AN1151" s="2">
        <v>9780748621224</v>
      </c>
    </row>
    <row r="1152" spans="1:40" x14ac:dyDescent="0.3">
      <c r="A1152" t="s">
        <v>5726</v>
      </c>
      <c r="B1152" t="s">
        <v>1</v>
      </c>
      <c r="C1152" t="s">
        <v>5727</v>
      </c>
      <c r="D1152" t="s">
        <v>5728</v>
      </c>
      <c r="E1152" t="s">
        <v>5729</v>
      </c>
      <c r="F1152" t="s">
        <v>5</v>
      </c>
      <c r="G1152" t="s">
        <v>6</v>
      </c>
      <c r="L1152" t="s">
        <v>7</v>
      </c>
      <c r="M1152">
        <v>2021</v>
      </c>
      <c r="N1152" s="1">
        <v>44656</v>
      </c>
      <c r="O1152" t="s">
        <v>4440</v>
      </c>
      <c r="P1152">
        <v>1</v>
      </c>
      <c r="S1152">
        <v>217.95</v>
      </c>
      <c r="T1152">
        <v>250</v>
      </c>
      <c r="U1152">
        <v>190</v>
      </c>
      <c r="V1152" t="s">
        <v>42</v>
      </c>
      <c r="W1152" t="s">
        <v>43</v>
      </c>
      <c r="X1152" t="s">
        <v>44</v>
      </c>
      <c r="Y1152" t="s">
        <v>45</v>
      </c>
      <c r="AF1152" t="s">
        <v>13</v>
      </c>
      <c r="AG1152" t="str">
        <f>HYPERLINK("https://doi.org/10.1515/9781474475907")</f>
        <v>https://doi.org/10.1515/9781474475907</v>
      </c>
      <c r="AH1152" t="str">
        <f>HYPERLINK("http://www.degruyter.com/isbn/9781474475907")</f>
        <v>http://www.degruyter.com/isbn/9781474475907</v>
      </c>
      <c r="AI1152" t="s">
        <v>110</v>
      </c>
      <c r="AL1152" t="s">
        <v>47</v>
      </c>
      <c r="AM1152">
        <v>1</v>
      </c>
      <c r="AN1152" s="2">
        <v>9781474475884</v>
      </c>
    </row>
    <row r="1153" spans="1:40" x14ac:dyDescent="0.3">
      <c r="A1153" t="s">
        <v>5730</v>
      </c>
      <c r="B1153" t="s">
        <v>1</v>
      </c>
      <c r="C1153" t="s">
        <v>5731</v>
      </c>
      <c r="E1153" t="s">
        <v>5732</v>
      </c>
      <c r="F1153" t="s">
        <v>5</v>
      </c>
      <c r="G1153" t="s">
        <v>6</v>
      </c>
      <c r="L1153" t="s">
        <v>7</v>
      </c>
      <c r="M1153">
        <v>2000</v>
      </c>
      <c r="N1153" s="1">
        <v>44607</v>
      </c>
      <c r="O1153" t="s">
        <v>5733</v>
      </c>
      <c r="P1153">
        <v>1</v>
      </c>
      <c r="S1153">
        <v>217.95</v>
      </c>
      <c r="T1153">
        <v>250</v>
      </c>
      <c r="U1153">
        <v>190</v>
      </c>
      <c r="V1153" t="s">
        <v>58</v>
      </c>
      <c r="W1153" t="s">
        <v>129</v>
      </c>
      <c r="X1153" t="s">
        <v>504</v>
      </c>
      <c r="Y1153" t="s">
        <v>505</v>
      </c>
      <c r="AF1153" t="s">
        <v>13</v>
      </c>
      <c r="AG1153" t="str">
        <f>HYPERLINK("https://doi.org/10.1515/9781474470704")</f>
        <v>https://doi.org/10.1515/9781474470704</v>
      </c>
      <c r="AH1153" t="str">
        <f>HYPERLINK("http://www.degruyter.com/isbn/9781474470704")</f>
        <v>http://www.degruyter.com/isbn/9781474470704</v>
      </c>
      <c r="AI1153" t="s">
        <v>68</v>
      </c>
      <c r="AL1153" t="s">
        <v>62</v>
      </c>
      <c r="AM1153">
        <v>1</v>
      </c>
      <c r="AN1153" s="2">
        <v>9780748610167</v>
      </c>
    </row>
    <row r="1154" spans="1:40" x14ac:dyDescent="0.3">
      <c r="A1154" t="s">
        <v>5734</v>
      </c>
      <c r="B1154" t="s">
        <v>1</v>
      </c>
      <c r="C1154" t="s">
        <v>5735</v>
      </c>
      <c r="D1154" t="s">
        <v>5736</v>
      </c>
      <c r="E1154" t="s">
        <v>5737</v>
      </c>
      <c r="F1154" t="s">
        <v>5</v>
      </c>
      <c r="G1154" t="s">
        <v>6</v>
      </c>
      <c r="L1154" t="s">
        <v>7</v>
      </c>
      <c r="M1154">
        <v>2016</v>
      </c>
      <c r="N1154" s="1">
        <v>42690</v>
      </c>
      <c r="O1154" t="s">
        <v>5738</v>
      </c>
      <c r="P1154">
        <v>1</v>
      </c>
      <c r="S1154">
        <v>253.95</v>
      </c>
      <c r="T1154">
        <v>290</v>
      </c>
      <c r="U1154">
        <v>220</v>
      </c>
      <c r="V1154" t="s">
        <v>79</v>
      </c>
      <c r="W1154" t="s">
        <v>734</v>
      </c>
      <c r="X1154" t="s">
        <v>734</v>
      </c>
      <c r="Y1154" t="s">
        <v>735</v>
      </c>
      <c r="AF1154" t="s">
        <v>13</v>
      </c>
      <c r="AG1154" t="str">
        <f>HYPERLINK("https://doi.org/10.1515/9781474408301")</f>
        <v>https://doi.org/10.1515/9781474408301</v>
      </c>
      <c r="AH1154" t="str">
        <f>HYPERLINK("http://www.degruyter.com/isbn/9781474408301")</f>
        <v>http://www.degruyter.com/isbn/9781474408301</v>
      </c>
      <c r="AI1154" t="s">
        <v>180</v>
      </c>
      <c r="AL1154" t="s">
        <v>83</v>
      </c>
      <c r="AM1154">
        <v>1</v>
      </c>
      <c r="AN1154" s="2">
        <v>9781474408295</v>
      </c>
    </row>
    <row r="1155" spans="1:40" x14ac:dyDescent="0.3">
      <c r="A1155" t="s">
        <v>5739</v>
      </c>
      <c r="B1155" t="s">
        <v>1</v>
      </c>
      <c r="C1155" t="s">
        <v>5740</v>
      </c>
      <c r="D1155" t="s">
        <v>5741</v>
      </c>
      <c r="E1155" t="s">
        <v>5742</v>
      </c>
      <c r="F1155" t="s">
        <v>5</v>
      </c>
      <c r="G1155" t="s">
        <v>6</v>
      </c>
      <c r="L1155" t="s">
        <v>7</v>
      </c>
      <c r="M1155">
        <v>2013</v>
      </c>
      <c r="N1155" s="1">
        <v>41278</v>
      </c>
      <c r="O1155" t="s">
        <v>5743</v>
      </c>
      <c r="P1155">
        <v>1</v>
      </c>
      <c r="S1155">
        <v>217.95</v>
      </c>
      <c r="T1155">
        <v>250</v>
      </c>
      <c r="U1155">
        <v>190</v>
      </c>
      <c r="V1155" t="s">
        <v>42</v>
      </c>
      <c r="W1155" t="s">
        <v>116</v>
      </c>
      <c r="X1155" t="s">
        <v>116</v>
      </c>
      <c r="Y1155" t="s">
        <v>117</v>
      </c>
      <c r="AF1155" t="s">
        <v>13</v>
      </c>
      <c r="AG1155" t="str">
        <f>HYPERLINK("https://doi.org/10.1515/9780748670543")</f>
        <v>https://doi.org/10.1515/9780748670543</v>
      </c>
      <c r="AH1155" t="str">
        <f>HYPERLINK("http://www.degruyter.com/isbn/9780748670543")</f>
        <v>http://www.degruyter.com/isbn/9780748670543</v>
      </c>
      <c r="AI1155" t="s">
        <v>68</v>
      </c>
      <c r="AL1155" t="s">
        <v>47</v>
      </c>
      <c r="AM1155">
        <v>1</v>
      </c>
      <c r="AN1155" s="2">
        <v>9780748670536</v>
      </c>
    </row>
    <row r="1156" spans="1:40" x14ac:dyDescent="0.3">
      <c r="A1156" t="s">
        <v>5744</v>
      </c>
      <c r="B1156" t="s">
        <v>1</v>
      </c>
      <c r="C1156" t="s">
        <v>5745</v>
      </c>
      <c r="D1156" t="s">
        <v>5746</v>
      </c>
      <c r="E1156" t="s">
        <v>5747</v>
      </c>
      <c r="F1156" t="s">
        <v>5</v>
      </c>
      <c r="G1156" t="s">
        <v>6</v>
      </c>
      <c r="L1156" t="s">
        <v>7</v>
      </c>
      <c r="M1156">
        <v>2006</v>
      </c>
      <c r="N1156" s="1">
        <v>39031</v>
      </c>
      <c r="O1156" t="s">
        <v>5748</v>
      </c>
      <c r="P1156">
        <v>1</v>
      </c>
      <c r="S1156">
        <v>279.95</v>
      </c>
      <c r="T1156">
        <v>320</v>
      </c>
      <c r="U1156">
        <v>240</v>
      </c>
      <c r="V1156" t="s">
        <v>58</v>
      </c>
      <c r="W1156" t="s">
        <v>129</v>
      </c>
      <c r="X1156" t="s">
        <v>130</v>
      </c>
      <c r="Y1156" t="s">
        <v>546</v>
      </c>
      <c r="AF1156" t="s">
        <v>13</v>
      </c>
      <c r="AG1156" t="str">
        <f>HYPERLINK("https://doi.org/10.1515/9780748629640")</f>
        <v>https://doi.org/10.1515/9780748629640</v>
      </c>
      <c r="AH1156" t="str">
        <f>HYPERLINK("http://www.degruyter.com/isbn/9780748629640")</f>
        <v>http://www.degruyter.com/isbn/9780748629640</v>
      </c>
      <c r="AI1156" t="s">
        <v>68</v>
      </c>
      <c r="AL1156" t="s">
        <v>62</v>
      </c>
      <c r="AM1156">
        <v>1</v>
      </c>
      <c r="AN1156" s="2">
        <v>9780748622085</v>
      </c>
    </row>
    <row r="1157" spans="1:40" x14ac:dyDescent="0.3">
      <c r="A1157" t="s">
        <v>5749</v>
      </c>
      <c r="B1157" t="s">
        <v>1</v>
      </c>
      <c r="C1157" t="s">
        <v>5750</v>
      </c>
      <c r="D1157" t="s">
        <v>5751</v>
      </c>
      <c r="E1157" t="s">
        <v>5752</v>
      </c>
      <c r="F1157" t="s">
        <v>5</v>
      </c>
      <c r="G1157" t="s">
        <v>6</v>
      </c>
      <c r="L1157" t="s">
        <v>7</v>
      </c>
      <c r="M1157">
        <v>2017</v>
      </c>
      <c r="N1157" s="1">
        <v>42872</v>
      </c>
      <c r="O1157" t="s">
        <v>5753</v>
      </c>
      <c r="P1157">
        <v>1</v>
      </c>
      <c r="Q1157" t="s">
        <v>5754</v>
      </c>
      <c r="S1157">
        <v>261.95</v>
      </c>
      <c r="T1157">
        <v>300</v>
      </c>
      <c r="U1157">
        <v>230</v>
      </c>
      <c r="V1157" t="s">
        <v>305</v>
      </c>
      <c r="W1157" t="s">
        <v>306</v>
      </c>
      <c r="X1157" t="s">
        <v>306</v>
      </c>
      <c r="Y1157" t="s">
        <v>5755</v>
      </c>
      <c r="AF1157" t="s">
        <v>13</v>
      </c>
      <c r="AG1157" t="str">
        <f>HYPERLINK("https://doi.org/10.1515/9781474422949")</f>
        <v>https://doi.org/10.1515/9781474422949</v>
      </c>
      <c r="AH1157" t="str">
        <f>HYPERLINK("http://www.degruyter.com/isbn/9781474422949")</f>
        <v>http://www.degruyter.com/isbn/9781474422949</v>
      </c>
      <c r="AI1157" t="s">
        <v>222</v>
      </c>
      <c r="AL1157" t="s">
        <v>308</v>
      </c>
      <c r="AM1157">
        <v>1</v>
      </c>
      <c r="AN1157" s="2">
        <v>9781474422925</v>
      </c>
    </row>
    <row r="1158" spans="1:40" x14ac:dyDescent="0.3">
      <c r="A1158" t="s">
        <v>5756</v>
      </c>
      <c r="B1158" t="s">
        <v>1</v>
      </c>
      <c r="C1158" t="s">
        <v>5757</v>
      </c>
      <c r="E1158" t="s">
        <v>5758</v>
      </c>
      <c r="F1158" t="s">
        <v>5</v>
      </c>
      <c r="G1158" t="s">
        <v>6</v>
      </c>
      <c r="L1158" t="s">
        <v>7</v>
      </c>
      <c r="M1158">
        <v>2005</v>
      </c>
      <c r="N1158" s="1">
        <v>38435</v>
      </c>
      <c r="O1158" t="s">
        <v>1447</v>
      </c>
      <c r="P1158">
        <v>1</v>
      </c>
      <c r="S1158">
        <v>217.95</v>
      </c>
      <c r="T1158">
        <v>250</v>
      </c>
      <c r="U1158">
        <v>190</v>
      </c>
      <c r="V1158" t="s">
        <v>42</v>
      </c>
      <c r="W1158" t="s">
        <v>43</v>
      </c>
      <c r="X1158" t="s">
        <v>44</v>
      </c>
      <c r="Y1158" t="s">
        <v>45</v>
      </c>
      <c r="AF1158" t="s">
        <v>13</v>
      </c>
      <c r="AG1158" t="str">
        <f>HYPERLINK("https://doi.org/10.1515/9780748628780?locatt=mode:legacy")</f>
        <v>https://doi.org/10.1515/9780748628780?locatt=mode:legacy</v>
      </c>
      <c r="AH1158" t="str">
        <f>HYPERLINK("http://www.degruyter.com/isbn/9780748628780")</f>
        <v>http://www.degruyter.com/isbn/9780748628780</v>
      </c>
      <c r="AI1158" t="s">
        <v>68</v>
      </c>
      <c r="AL1158" t="s">
        <v>47</v>
      </c>
      <c r="AM1158">
        <v>1</v>
      </c>
      <c r="AN1158" s="2">
        <v>9780748617470</v>
      </c>
    </row>
    <row r="1159" spans="1:40" x14ac:dyDescent="0.3">
      <c r="A1159" t="s">
        <v>5759</v>
      </c>
      <c r="B1159" t="s">
        <v>1</v>
      </c>
      <c r="C1159" t="s">
        <v>5760</v>
      </c>
      <c r="D1159" t="s">
        <v>5761</v>
      </c>
      <c r="E1159" t="s">
        <v>5762</v>
      </c>
      <c r="F1159" t="s">
        <v>5</v>
      </c>
      <c r="G1159" t="s">
        <v>6</v>
      </c>
      <c r="L1159" t="s">
        <v>7</v>
      </c>
      <c r="M1159">
        <v>2018</v>
      </c>
      <c r="N1159" s="1">
        <v>44656</v>
      </c>
      <c r="O1159" t="s">
        <v>5763</v>
      </c>
      <c r="P1159">
        <v>1</v>
      </c>
      <c r="Q1159" t="s">
        <v>5764</v>
      </c>
      <c r="S1159">
        <v>217.95</v>
      </c>
      <c r="T1159">
        <v>250</v>
      </c>
      <c r="U1159">
        <v>190</v>
      </c>
      <c r="V1159" t="s">
        <v>20</v>
      </c>
      <c r="W1159" t="s">
        <v>556</v>
      </c>
      <c r="X1159" t="s">
        <v>1540</v>
      </c>
      <c r="Y1159" t="s">
        <v>2459</v>
      </c>
      <c r="AF1159" t="s">
        <v>13</v>
      </c>
      <c r="AG1159" t="str">
        <f>HYPERLINK("https://doi.org/10.1515/9781474429429")</f>
        <v>https://doi.org/10.1515/9781474429429</v>
      </c>
      <c r="AH1159" t="str">
        <f>HYPERLINK("http://www.degruyter.com/isbn/9781474429429")</f>
        <v>http://www.degruyter.com/isbn/9781474429429</v>
      </c>
      <c r="AI1159" t="s">
        <v>46</v>
      </c>
      <c r="AL1159" t="s">
        <v>15</v>
      </c>
      <c r="AM1159">
        <v>1</v>
      </c>
      <c r="AN1159" s="2">
        <v>9781474429405</v>
      </c>
    </row>
    <row r="1160" spans="1:40" x14ac:dyDescent="0.3">
      <c r="A1160" t="s">
        <v>5765</v>
      </c>
      <c r="B1160" t="s">
        <v>1</v>
      </c>
      <c r="C1160" t="s">
        <v>5766</v>
      </c>
      <c r="E1160" t="s">
        <v>5767</v>
      </c>
      <c r="F1160" t="s">
        <v>5</v>
      </c>
      <c r="G1160" t="s">
        <v>6</v>
      </c>
      <c r="L1160" t="s">
        <v>7</v>
      </c>
      <c r="M1160">
        <v>1997</v>
      </c>
      <c r="N1160" s="1">
        <v>44607</v>
      </c>
      <c r="O1160" t="s">
        <v>5768</v>
      </c>
      <c r="P1160">
        <v>1</v>
      </c>
      <c r="S1160">
        <v>217.95</v>
      </c>
      <c r="T1160">
        <v>250</v>
      </c>
      <c r="U1160">
        <v>190</v>
      </c>
      <c r="V1160" t="s">
        <v>20</v>
      </c>
      <c r="W1160" t="s">
        <v>21</v>
      </c>
      <c r="X1160" t="s">
        <v>22</v>
      </c>
      <c r="Y1160" t="s">
        <v>1345</v>
      </c>
      <c r="AF1160" t="s">
        <v>13</v>
      </c>
      <c r="AG1160" t="str">
        <f>HYPERLINK("https://doi.org/10.1515/9781474471121")</f>
        <v>https://doi.org/10.1515/9781474471121</v>
      </c>
      <c r="AH1160" t="str">
        <f>HYPERLINK("http://www.degruyter.com/isbn/9781474471121")</f>
        <v>http://www.degruyter.com/isbn/9781474471121</v>
      </c>
      <c r="AI1160" t="s">
        <v>24</v>
      </c>
      <c r="AL1160" t="s">
        <v>15</v>
      </c>
      <c r="AM1160">
        <v>1</v>
      </c>
      <c r="AN1160" s="2">
        <v>9781853311376</v>
      </c>
    </row>
    <row r="1161" spans="1:40" x14ac:dyDescent="0.3">
      <c r="A1161" t="s">
        <v>5769</v>
      </c>
      <c r="B1161" t="s">
        <v>1</v>
      </c>
      <c r="C1161" t="s">
        <v>5770</v>
      </c>
      <c r="E1161" t="s">
        <v>5771</v>
      </c>
      <c r="F1161" t="s">
        <v>5</v>
      </c>
      <c r="G1161" t="s">
        <v>6</v>
      </c>
      <c r="L1161" t="s">
        <v>7</v>
      </c>
      <c r="M1161">
        <v>2009</v>
      </c>
      <c r="N1161" s="1">
        <v>40086</v>
      </c>
      <c r="O1161" t="s">
        <v>5772</v>
      </c>
      <c r="P1161">
        <v>1</v>
      </c>
      <c r="Q1161" t="s">
        <v>5773</v>
      </c>
      <c r="S1161">
        <v>253.95</v>
      </c>
      <c r="T1161">
        <v>290</v>
      </c>
      <c r="U1161">
        <v>220</v>
      </c>
      <c r="V1161" t="s">
        <v>526</v>
      </c>
      <c r="W1161" t="s">
        <v>5774</v>
      </c>
      <c r="X1161" t="s">
        <v>5774</v>
      </c>
      <c r="Y1161" t="s">
        <v>5775</v>
      </c>
      <c r="AF1161" t="s">
        <v>13</v>
      </c>
      <c r="AG1161" t="str">
        <f>HYPERLINK("https://doi.org/10.1515/9781474469821")</f>
        <v>https://doi.org/10.1515/9781474469821</v>
      </c>
      <c r="AH1161" t="str">
        <f>HYPERLINK("http://www.degruyter.com/isbn/9781474469821")</f>
        <v>http://www.degruyter.com/isbn/9781474469821</v>
      </c>
      <c r="AI1161" t="s">
        <v>529</v>
      </c>
      <c r="AL1161" t="s">
        <v>530</v>
      </c>
      <c r="AM1161">
        <v>1</v>
      </c>
      <c r="AN1161" s="2">
        <v>9780748639700</v>
      </c>
    </row>
    <row r="1162" spans="1:40" x14ac:dyDescent="0.3">
      <c r="A1162" t="s">
        <v>5776</v>
      </c>
      <c r="B1162" t="s">
        <v>1</v>
      </c>
      <c r="C1162" t="s">
        <v>5777</v>
      </c>
      <c r="D1162" t="s">
        <v>5778</v>
      </c>
      <c r="E1162" t="s">
        <v>5779</v>
      </c>
      <c r="F1162" t="s">
        <v>5</v>
      </c>
      <c r="G1162" t="s">
        <v>6</v>
      </c>
      <c r="L1162" t="s">
        <v>7</v>
      </c>
      <c r="M1162">
        <v>2007</v>
      </c>
      <c r="N1162" s="1">
        <v>39373</v>
      </c>
      <c r="O1162" t="s">
        <v>5780</v>
      </c>
      <c r="P1162">
        <v>1</v>
      </c>
      <c r="S1162">
        <v>243.95</v>
      </c>
      <c r="T1162">
        <v>280</v>
      </c>
      <c r="U1162">
        <v>210</v>
      </c>
      <c r="V1162" t="s">
        <v>9</v>
      </c>
      <c r="W1162" t="s">
        <v>10</v>
      </c>
      <c r="X1162" t="s">
        <v>11</v>
      </c>
      <c r="Y1162" t="s">
        <v>12</v>
      </c>
      <c r="AF1162" t="s">
        <v>13</v>
      </c>
      <c r="AG1162" t="str">
        <f>HYPERLINK("https://doi.org/10.1515/9780748629176?locatt=mode:legacy")</f>
        <v>https://doi.org/10.1515/9780748629176?locatt=mode:legacy</v>
      </c>
      <c r="AH1162" t="str">
        <f>HYPERLINK("http://www.degruyter.com/isbn/9780748629176")</f>
        <v>http://www.degruyter.com/isbn/9780748629176</v>
      </c>
      <c r="AI1162" t="s">
        <v>68</v>
      </c>
      <c r="AL1162" t="s">
        <v>15</v>
      </c>
      <c r="AM1162">
        <v>1</v>
      </c>
      <c r="AN1162" s="2">
        <v>9780748620425</v>
      </c>
    </row>
    <row r="1163" spans="1:40" x14ac:dyDescent="0.3">
      <c r="A1163" t="s">
        <v>5781</v>
      </c>
      <c r="B1163" t="s">
        <v>1</v>
      </c>
      <c r="C1163" t="s">
        <v>5782</v>
      </c>
      <c r="E1163" t="s">
        <v>5783</v>
      </c>
      <c r="F1163" t="s">
        <v>5</v>
      </c>
      <c r="G1163" t="s">
        <v>6</v>
      </c>
      <c r="L1163" t="s">
        <v>7</v>
      </c>
      <c r="M1163">
        <v>2006</v>
      </c>
      <c r="N1163" s="1">
        <v>38778</v>
      </c>
      <c r="O1163" t="s">
        <v>5784</v>
      </c>
      <c r="P1163">
        <v>1</v>
      </c>
      <c r="S1163">
        <v>287.95</v>
      </c>
      <c r="T1163">
        <v>330</v>
      </c>
      <c r="U1163">
        <v>250</v>
      </c>
      <c r="V1163" t="s">
        <v>79</v>
      </c>
      <c r="W1163" t="s">
        <v>209</v>
      </c>
      <c r="X1163" t="s">
        <v>209</v>
      </c>
      <c r="Y1163" t="s">
        <v>510</v>
      </c>
      <c r="AF1163" t="s">
        <v>13</v>
      </c>
      <c r="AG1163" t="str">
        <f>HYPERLINK("https://doi.org/10.1515/9781474465960")</f>
        <v>https://doi.org/10.1515/9781474465960</v>
      </c>
      <c r="AH1163" t="str">
        <f>HYPERLINK("http://www.degruyter.com/isbn/9781474465960")</f>
        <v>http://www.degruyter.com/isbn/9781474465960</v>
      </c>
      <c r="AI1163" t="s">
        <v>68</v>
      </c>
      <c r="AL1163" t="s">
        <v>83</v>
      </c>
      <c r="AM1163">
        <v>1</v>
      </c>
      <c r="AN1163" s="2">
        <v>9780748620579</v>
      </c>
    </row>
    <row r="1164" spans="1:40" x14ac:dyDescent="0.3">
      <c r="A1164" t="s">
        <v>5785</v>
      </c>
      <c r="B1164" t="s">
        <v>1</v>
      </c>
      <c r="C1164" t="s">
        <v>5786</v>
      </c>
      <c r="D1164" t="s">
        <v>5787</v>
      </c>
      <c r="E1164" t="s">
        <v>5788</v>
      </c>
      <c r="F1164" t="s">
        <v>5</v>
      </c>
      <c r="G1164" t="s">
        <v>6</v>
      </c>
      <c r="L1164" t="s">
        <v>7</v>
      </c>
      <c r="M1164">
        <v>2016</v>
      </c>
      <c r="N1164" s="1">
        <v>42549</v>
      </c>
      <c r="O1164" t="s">
        <v>5789</v>
      </c>
      <c r="P1164">
        <v>1</v>
      </c>
      <c r="S1164">
        <v>331.95</v>
      </c>
      <c r="T1164">
        <v>380</v>
      </c>
      <c r="U1164">
        <v>290</v>
      </c>
      <c r="V1164" t="s">
        <v>20</v>
      </c>
      <c r="W1164" t="s">
        <v>21</v>
      </c>
      <c r="X1164" t="s">
        <v>839</v>
      </c>
      <c r="Y1164" t="s">
        <v>2469</v>
      </c>
      <c r="AF1164" t="s">
        <v>13</v>
      </c>
      <c r="AG1164" t="str">
        <f>HYPERLINK("https://doi.org/10.1515/9780748669578")</f>
        <v>https://doi.org/10.1515/9780748669578</v>
      </c>
      <c r="AH1164" t="str">
        <f>HYPERLINK("http://www.degruyter.com/isbn/9780748669578")</f>
        <v>http://www.degruyter.com/isbn/9780748669578</v>
      </c>
      <c r="AI1164" t="s">
        <v>180</v>
      </c>
      <c r="AJ1164" t="s">
        <v>35</v>
      </c>
      <c r="AL1164" t="s">
        <v>1346</v>
      </c>
      <c r="AM1164">
        <v>1</v>
      </c>
      <c r="AN1164" s="2">
        <v>9780748669561</v>
      </c>
    </row>
    <row r="1165" spans="1:40" x14ac:dyDescent="0.3">
      <c r="A1165" t="s">
        <v>5790</v>
      </c>
      <c r="B1165" t="s">
        <v>1</v>
      </c>
      <c r="C1165" t="s">
        <v>5791</v>
      </c>
      <c r="E1165" t="s">
        <v>5792</v>
      </c>
      <c r="F1165" t="s">
        <v>5</v>
      </c>
      <c r="G1165" t="s">
        <v>6</v>
      </c>
      <c r="L1165" t="s">
        <v>7</v>
      </c>
      <c r="M1165">
        <v>2011</v>
      </c>
      <c r="N1165" s="1">
        <v>40707</v>
      </c>
      <c r="O1165" t="s">
        <v>5793</v>
      </c>
      <c r="P1165">
        <v>1</v>
      </c>
      <c r="Q1165" t="s">
        <v>5794</v>
      </c>
      <c r="S1165">
        <v>191.95</v>
      </c>
      <c r="T1165">
        <v>220</v>
      </c>
      <c r="U1165">
        <v>170</v>
      </c>
      <c r="V1165" t="s">
        <v>98</v>
      </c>
      <c r="W1165" t="s">
        <v>1513</v>
      </c>
      <c r="X1165" t="s">
        <v>1514</v>
      </c>
      <c r="Y1165" t="s">
        <v>1515</v>
      </c>
      <c r="AF1165" t="s">
        <v>13</v>
      </c>
      <c r="AG1165" t="str">
        <f>HYPERLINK("https://doi.org/10.1515/9780748636853")</f>
        <v>https://doi.org/10.1515/9780748636853</v>
      </c>
      <c r="AH1165" t="str">
        <f>HYPERLINK("http://www.degruyter.com/isbn/9780748636853")</f>
        <v>http://www.degruyter.com/isbn/9780748636853</v>
      </c>
      <c r="AI1165" t="s">
        <v>68</v>
      </c>
      <c r="AL1165" t="s">
        <v>102</v>
      </c>
      <c r="AM1165">
        <v>1</v>
      </c>
      <c r="AN1165" s="2">
        <v>9780748636839</v>
      </c>
    </row>
    <row r="1166" spans="1:40" x14ac:dyDescent="0.3">
      <c r="A1166" t="s">
        <v>5795</v>
      </c>
      <c r="B1166" t="s">
        <v>1</v>
      </c>
      <c r="C1166" t="s">
        <v>5796</v>
      </c>
      <c r="E1166" t="s">
        <v>5797</v>
      </c>
      <c r="F1166" t="s">
        <v>5</v>
      </c>
      <c r="G1166" t="s">
        <v>6</v>
      </c>
      <c r="L1166" t="s">
        <v>7</v>
      </c>
      <c r="M1166">
        <v>2005</v>
      </c>
      <c r="N1166" s="1">
        <v>38544</v>
      </c>
      <c r="O1166" t="s">
        <v>5798</v>
      </c>
      <c r="P1166">
        <v>1</v>
      </c>
      <c r="S1166">
        <v>305.95</v>
      </c>
      <c r="T1166">
        <v>350</v>
      </c>
      <c r="U1166">
        <v>270</v>
      </c>
      <c r="V1166" t="s">
        <v>329</v>
      </c>
      <c r="W1166" t="s">
        <v>330</v>
      </c>
      <c r="X1166" t="s">
        <v>331</v>
      </c>
      <c r="Y1166" t="s">
        <v>1035</v>
      </c>
      <c r="AF1166" t="s">
        <v>13</v>
      </c>
      <c r="AG1166" t="str">
        <f>HYPERLINK("https://doi.org/10.1515/9781474468275")</f>
        <v>https://doi.org/10.1515/9781474468275</v>
      </c>
      <c r="AH1166" t="str">
        <f>HYPERLINK("http://www.degruyter.com/isbn/9781474468275")</f>
        <v>http://www.degruyter.com/isbn/9781474468275</v>
      </c>
      <c r="AI1166" t="s">
        <v>68</v>
      </c>
      <c r="AL1166" t="s">
        <v>333</v>
      </c>
      <c r="AM1166">
        <v>1</v>
      </c>
      <c r="AN1166" s="2">
        <v>9780748621200</v>
      </c>
    </row>
    <row r="1167" spans="1:40" x14ac:dyDescent="0.3">
      <c r="A1167" t="s">
        <v>5799</v>
      </c>
      <c r="B1167" t="s">
        <v>1</v>
      </c>
      <c r="C1167" t="s">
        <v>5800</v>
      </c>
      <c r="D1167" t="s">
        <v>5801</v>
      </c>
      <c r="E1167" t="s">
        <v>5802</v>
      </c>
      <c r="F1167" t="s">
        <v>5</v>
      </c>
      <c r="G1167" t="s">
        <v>6</v>
      </c>
      <c r="L1167" t="s">
        <v>7</v>
      </c>
      <c r="M1167">
        <v>2016</v>
      </c>
      <c r="N1167" s="1">
        <v>42402</v>
      </c>
      <c r="O1167" t="s">
        <v>5803</v>
      </c>
      <c r="P1167">
        <v>1</v>
      </c>
      <c r="S1167">
        <v>217.95</v>
      </c>
      <c r="T1167">
        <v>250</v>
      </c>
      <c r="U1167">
        <v>190</v>
      </c>
      <c r="V1167" t="s">
        <v>42</v>
      </c>
      <c r="W1167" t="s">
        <v>107</v>
      </c>
      <c r="X1167" t="s">
        <v>108</v>
      </c>
      <c r="Y1167" t="s">
        <v>109</v>
      </c>
      <c r="AF1167" t="s">
        <v>13</v>
      </c>
      <c r="AG1167" t="str">
        <f>HYPERLINK("https://doi.org/10.1515/9781474402439")</f>
        <v>https://doi.org/10.1515/9781474402439</v>
      </c>
      <c r="AH1167" t="str">
        <f>HYPERLINK("http://www.degruyter.com/isbn/9781474402439")</f>
        <v>http://www.degruyter.com/isbn/9781474402439</v>
      </c>
      <c r="AI1167" t="s">
        <v>180</v>
      </c>
      <c r="AL1167" t="s">
        <v>47</v>
      </c>
      <c r="AM1167">
        <v>1</v>
      </c>
      <c r="AN1167" s="2">
        <v>9781474402422</v>
      </c>
    </row>
    <row r="1168" spans="1:40" x14ac:dyDescent="0.3">
      <c r="A1168" t="s">
        <v>5804</v>
      </c>
      <c r="B1168" t="s">
        <v>1</v>
      </c>
      <c r="C1168" t="s">
        <v>5805</v>
      </c>
      <c r="D1168" t="s">
        <v>5806</v>
      </c>
      <c r="E1168" t="s">
        <v>5807</v>
      </c>
      <c r="F1168" t="s">
        <v>5</v>
      </c>
      <c r="G1168" t="s">
        <v>6</v>
      </c>
      <c r="L1168" t="s">
        <v>7</v>
      </c>
      <c r="M1168">
        <v>2015</v>
      </c>
      <c r="N1168" s="1">
        <v>42062</v>
      </c>
      <c r="O1168" t="s">
        <v>5808</v>
      </c>
      <c r="P1168">
        <v>1</v>
      </c>
      <c r="S1168">
        <v>217.95</v>
      </c>
      <c r="T1168">
        <v>250</v>
      </c>
      <c r="U1168">
        <v>190</v>
      </c>
      <c r="V1168" t="s">
        <v>42</v>
      </c>
      <c r="W1168" t="s">
        <v>43</v>
      </c>
      <c r="X1168" t="s">
        <v>44</v>
      </c>
      <c r="Y1168" t="s">
        <v>45</v>
      </c>
      <c r="AF1168" t="s">
        <v>13</v>
      </c>
      <c r="AG1168" t="str">
        <f>HYPERLINK("https://doi.org/10.1515/9780748692453")</f>
        <v>https://doi.org/10.1515/9780748692453</v>
      </c>
      <c r="AH1168" t="str">
        <f>HYPERLINK("http://www.degruyter.com/isbn/9780748692453")</f>
        <v>http://www.degruyter.com/isbn/9780748692453</v>
      </c>
      <c r="AI1168" t="s">
        <v>34</v>
      </c>
      <c r="AJ1168" t="s">
        <v>35</v>
      </c>
      <c r="AL1168" t="s">
        <v>520</v>
      </c>
      <c r="AM1168">
        <v>1</v>
      </c>
      <c r="AN1168" s="2">
        <v>9780748692446</v>
      </c>
    </row>
    <row r="1169" spans="1:40" x14ac:dyDescent="0.3">
      <c r="A1169" t="s">
        <v>5809</v>
      </c>
      <c r="B1169" t="s">
        <v>1</v>
      </c>
      <c r="C1169" t="s">
        <v>5810</v>
      </c>
      <c r="E1169" t="s">
        <v>5811</v>
      </c>
      <c r="F1169" t="s">
        <v>5</v>
      </c>
      <c r="G1169" t="s">
        <v>6</v>
      </c>
      <c r="L1169" t="s">
        <v>7</v>
      </c>
      <c r="M1169">
        <v>2016</v>
      </c>
      <c r="N1169" s="1">
        <v>42690</v>
      </c>
      <c r="O1169" t="s">
        <v>2243</v>
      </c>
      <c r="P1169">
        <v>1</v>
      </c>
      <c r="S1169">
        <v>217.95</v>
      </c>
      <c r="T1169">
        <v>250</v>
      </c>
      <c r="U1169">
        <v>190</v>
      </c>
      <c r="V1169" t="s">
        <v>268</v>
      </c>
      <c r="W1169" t="s">
        <v>269</v>
      </c>
      <c r="X1169" t="s">
        <v>269</v>
      </c>
      <c r="Y1169" t="s">
        <v>360</v>
      </c>
      <c r="AF1169" t="s">
        <v>13</v>
      </c>
      <c r="AG1169" t="str">
        <f>HYPERLINK("https://doi.org/10.1515/9781474413169")</f>
        <v>https://doi.org/10.1515/9781474413169</v>
      </c>
      <c r="AH1169" t="str">
        <f>HYPERLINK("http://www.degruyter.com/isbn/9781474413169")</f>
        <v>http://www.degruyter.com/isbn/9781474413169</v>
      </c>
      <c r="AI1169" t="s">
        <v>1411</v>
      </c>
      <c r="AL1169" t="s">
        <v>272</v>
      </c>
      <c r="AM1169">
        <v>1</v>
      </c>
      <c r="AN1169" s="2">
        <v>9781474413152</v>
      </c>
    </row>
    <row r="1170" spans="1:40" x14ac:dyDescent="0.3">
      <c r="A1170" t="s">
        <v>5812</v>
      </c>
      <c r="B1170" t="s">
        <v>1</v>
      </c>
      <c r="C1170" t="s">
        <v>5813</v>
      </c>
      <c r="D1170" t="s">
        <v>5814</v>
      </c>
      <c r="E1170" t="s">
        <v>5815</v>
      </c>
      <c r="F1170" t="s">
        <v>5</v>
      </c>
      <c r="G1170" t="s">
        <v>6</v>
      </c>
      <c r="L1170" t="s">
        <v>7</v>
      </c>
      <c r="M1170">
        <v>2017</v>
      </c>
      <c r="N1170" s="1">
        <v>42822</v>
      </c>
      <c r="O1170" t="s">
        <v>5816</v>
      </c>
      <c r="P1170">
        <v>1</v>
      </c>
      <c r="S1170">
        <v>417.95</v>
      </c>
      <c r="T1170">
        <v>480</v>
      </c>
      <c r="U1170">
        <v>370</v>
      </c>
      <c r="V1170" t="s">
        <v>89</v>
      </c>
      <c r="W1170" t="s">
        <v>90</v>
      </c>
      <c r="X1170" t="s">
        <v>91</v>
      </c>
      <c r="Y1170" t="s">
        <v>717</v>
      </c>
      <c r="AF1170" t="s">
        <v>13</v>
      </c>
      <c r="AG1170" t="str">
        <f>HYPERLINK("https://doi.org/10.1515/9781474417136")</f>
        <v>https://doi.org/10.1515/9781474417136</v>
      </c>
      <c r="AH1170" t="str">
        <f>HYPERLINK("http://www.degruyter.com/isbn/9781474417136")</f>
        <v>http://www.degruyter.com/isbn/9781474417136</v>
      </c>
      <c r="AI1170" t="s">
        <v>222</v>
      </c>
      <c r="AJ1170" t="s">
        <v>35</v>
      </c>
      <c r="AL1170" t="s">
        <v>718</v>
      </c>
      <c r="AM1170">
        <v>1</v>
      </c>
      <c r="AN1170" s="2">
        <v>9781474417129</v>
      </c>
    </row>
    <row r="1171" spans="1:40" x14ac:dyDescent="0.3">
      <c r="A1171" t="s">
        <v>5817</v>
      </c>
      <c r="B1171" t="s">
        <v>1</v>
      </c>
      <c r="C1171" t="s">
        <v>5818</v>
      </c>
      <c r="E1171" t="s">
        <v>5819</v>
      </c>
      <c r="F1171" t="s">
        <v>5</v>
      </c>
      <c r="G1171" t="s">
        <v>6</v>
      </c>
      <c r="L1171" t="s">
        <v>7</v>
      </c>
      <c r="M1171">
        <v>2019</v>
      </c>
      <c r="N1171" s="1">
        <v>44644</v>
      </c>
      <c r="O1171" t="s">
        <v>1725</v>
      </c>
      <c r="P1171">
        <v>1</v>
      </c>
      <c r="S1171">
        <v>253.95</v>
      </c>
      <c r="T1171">
        <v>290</v>
      </c>
      <c r="U1171">
        <v>220</v>
      </c>
      <c r="V1171" t="s">
        <v>79</v>
      </c>
      <c r="W1171" t="s">
        <v>783</v>
      </c>
      <c r="X1171" t="s">
        <v>783</v>
      </c>
      <c r="Y1171" t="s">
        <v>784</v>
      </c>
      <c r="AF1171" t="s">
        <v>13</v>
      </c>
      <c r="AG1171" t="str">
        <f>HYPERLINK("https://doi.org/10.1515/9781474445344?locatt=mode:legacy")</f>
        <v>https://doi.org/10.1515/9781474445344?locatt=mode:legacy</v>
      </c>
      <c r="AH1171" t="str">
        <f>HYPERLINK("http://www.degruyter.com/isbn/9781474445344")</f>
        <v>http://www.degruyter.com/isbn/9781474445344</v>
      </c>
      <c r="AI1171" t="s">
        <v>280</v>
      </c>
      <c r="AL1171" t="s">
        <v>83</v>
      </c>
      <c r="AM1171">
        <v>1</v>
      </c>
      <c r="AN1171" s="2">
        <v>9781474445320</v>
      </c>
    </row>
    <row r="1172" spans="1:40" x14ac:dyDescent="0.3">
      <c r="A1172" t="s">
        <v>5820</v>
      </c>
      <c r="B1172" t="s">
        <v>1</v>
      </c>
      <c r="C1172" t="s">
        <v>5821</v>
      </c>
      <c r="E1172" t="s">
        <v>5822</v>
      </c>
      <c r="F1172" t="s">
        <v>5</v>
      </c>
      <c r="G1172" t="s">
        <v>6</v>
      </c>
      <c r="L1172" t="s">
        <v>7</v>
      </c>
      <c r="M1172">
        <v>2021</v>
      </c>
      <c r="N1172" s="1">
        <v>44644</v>
      </c>
      <c r="O1172" t="s">
        <v>5823</v>
      </c>
      <c r="P1172">
        <v>1</v>
      </c>
      <c r="S1172">
        <v>209.95</v>
      </c>
      <c r="T1172">
        <v>240</v>
      </c>
      <c r="U1172">
        <v>180</v>
      </c>
      <c r="V1172" t="s">
        <v>305</v>
      </c>
      <c r="W1172" t="s">
        <v>2566</v>
      </c>
      <c r="X1172" t="s">
        <v>2567</v>
      </c>
      <c r="Y1172" t="s">
        <v>5824</v>
      </c>
      <c r="AF1172" t="s">
        <v>13</v>
      </c>
      <c r="AG1172" t="str">
        <f>HYPERLINK("https://doi.org/10.1515/9781474490481")</f>
        <v>https://doi.org/10.1515/9781474490481</v>
      </c>
      <c r="AH1172" t="str">
        <f>HYPERLINK("http://www.degruyter.com/isbn/9781474490481")</f>
        <v>http://www.degruyter.com/isbn/9781474490481</v>
      </c>
      <c r="AI1172" t="s">
        <v>851</v>
      </c>
      <c r="AL1172" t="s">
        <v>308</v>
      </c>
      <c r="AM1172">
        <v>1</v>
      </c>
      <c r="AN1172" s="2">
        <v>9781474490467</v>
      </c>
    </row>
    <row r="1173" spans="1:40" x14ac:dyDescent="0.3">
      <c r="A1173" t="s">
        <v>5825</v>
      </c>
      <c r="B1173" t="s">
        <v>1</v>
      </c>
      <c r="C1173" t="s">
        <v>5826</v>
      </c>
      <c r="D1173" t="s">
        <v>5827</v>
      </c>
      <c r="E1173" t="s">
        <v>5828</v>
      </c>
      <c r="F1173" t="s">
        <v>5</v>
      </c>
      <c r="G1173" t="s">
        <v>6</v>
      </c>
      <c r="L1173" t="s">
        <v>7</v>
      </c>
      <c r="M1173">
        <v>2010</v>
      </c>
      <c r="N1173" s="1">
        <v>40434</v>
      </c>
      <c r="O1173" t="s">
        <v>5829</v>
      </c>
      <c r="P1173">
        <v>1</v>
      </c>
      <c r="S1173">
        <v>243.95</v>
      </c>
      <c r="T1173">
        <v>280</v>
      </c>
      <c r="U1173">
        <v>210</v>
      </c>
      <c r="V1173" t="s">
        <v>42</v>
      </c>
      <c r="W1173" t="s">
        <v>43</v>
      </c>
      <c r="X1173" t="s">
        <v>44</v>
      </c>
      <c r="Y1173" t="s">
        <v>45</v>
      </c>
      <c r="AF1173" t="s">
        <v>13</v>
      </c>
      <c r="AG1173" t="str">
        <f>HYPERLINK("https://doi.org/10.1515/9780748643233")</f>
        <v>https://doi.org/10.1515/9780748643233</v>
      </c>
      <c r="AH1173" t="str">
        <f>HYPERLINK("http://www.degruyter.com/isbn/9780748643233")</f>
        <v>http://www.degruyter.com/isbn/9780748643233</v>
      </c>
      <c r="AI1173" t="s">
        <v>68</v>
      </c>
      <c r="AL1173" t="s">
        <v>47</v>
      </c>
      <c r="AM1173">
        <v>1</v>
      </c>
      <c r="AN1173" s="2">
        <v>9780748641024</v>
      </c>
    </row>
    <row r="1174" spans="1:40" x14ac:dyDescent="0.3">
      <c r="A1174" t="s">
        <v>5830</v>
      </c>
      <c r="B1174" t="s">
        <v>1</v>
      </c>
      <c r="C1174" t="s">
        <v>5831</v>
      </c>
      <c r="D1174" t="s">
        <v>5832</v>
      </c>
      <c r="E1174" t="s">
        <v>5833</v>
      </c>
      <c r="F1174" t="s">
        <v>5</v>
      </c>
      <c r="G1174" t="s">
        <v>6</v>
      </c>
      <c r="K1174" t="s">
        <v>929</v>
      </c>
      <c r="L1174" t="s">
        <v>7</v>
      </c>
      <c r="M1174">
        <v>2016</v>
      </c>
      <c r="N1174" s="1">
        <v>42612</v>
      </c>
      <c r="O1174" t="s">
        <v>1280</v>
      </c>
      <c r="P1174">
        <v>1</v>
      </c>
      <c r="V1174" t="s">
        <v>268</v>
      </c>
      <c r="W1174" t="s">
        <v>705</v>
      </c>
      <c r="X1174" t="s">
        <v>706</v>
      </c>
      <c r="Y1174" t="s">
        <v>707</v>
      </c>
      <c r="AF1174" t="s">
        <v>13</v>
      </c>
      <c r="AG1174" t="str">
        <f>HYPERLINK("https://doi.org/10.1515/9781474408837?locatt=mode:legacy")</f>
        <v>https://doi.org/10.1515/9781474408837?locatt=mode:legacy</v>
      </c>
      <c r="AH1174" t="str">
        <f>HYPERLINK("http://www.degruyter.com/isbn/9781474408837")</f>
        <v>http://www.degruyter.com/isbn/9781474408837</v>
      </c>
      <c r="AI1174" t="s">
        <v>180</v>
      </c>
      <c r="AM1174">
        <v>1</v>
      </c>
      <c r="AN1174" s="2"/>
    </row>
    <row r="1175" spans="1:40" x14ac:dyDescent="0.3">
      <c r="A1175" t="s">
        <v>5834</v>
      </c>
      <c r="B1175" t="s">
        <v>1</v>
      </c>
      <c r="C1175" t="s">
        <v>5835</v>
      </c>
      <c r="E1175" t="s">
        <v>5836</v>
      </c>
      <c r="F1175" t="s">
        <v>5</v>
      </c>
      <c r="G1175" t="s">
        <v>6</v>
      </c>
      <c r="L1175" t="s">
        <v>7</v>
      </c>
      <c r="M1175">
        <v>2021</v>
      </c>
      <c r="N1175" s="1">
        <v>44607</v>
      </c>
      <c r="O1175" t="s">
        <v>5837</v>
      </c>
      <c r="P1175">
        <v>1</v>
      </c>
      <c r="S1175">
        <v>305.95</v>
      </c>
      <c r="T1175">
        <v>350</v>
      </c>
      <c r="U1175">
        <v>270</v>
      </c>
      <c r="V1175" t="s">
        <v>268</v>
      </c>
      <c r="W1175" t="s">
        <v>269</v>
      </c>
      <c r="X1175" t="s">
        <v>269</v>
      </c>
      <c r="Y1175" t="s">
        <v>5838</v>
      </c>
      <c r="AF1175" t="s">
        <v>13</v>
      </c>
      <c r="AG1175" t="str">
        <f>HYPERLINK("https://doi.org/10.1515/9781474450201")</f>
        <v>https://doi.org/10.1515/9781474450201</v>
      </c>
      <c r="AH1175" t="str">
        <f>HYPERLINK("http://www.degruyter.com/isbn/9781474450201")</f>
        <v>http://www.degruyter.com/isbn/9781474450201</v>
      </c>
      <c r="AI1175" t="s">
        <v>1971</v>
      </c>
      <c r="AL1175" t="s">
        <v>272</v>
      </c>
      <c r="AM1175">
        <v>1</v>
      </c>
      <c r="AN1175" s="2">
        <v>9781474450188</v>
      </c>
    </row>
    <row r="1176" spans="1:40" x14ac:dyDescent="0.3">
      <c r="A1176" t="s">
        <v>5839</v>
      </c>
      <c r="B1176" t="s">
        <v>1</v>
      </c>
      <c r="C1176" t="s">
        <v>5840</v>
      </c>
      <c r="D1176" t="s">
        <v>2691</v>
      </c>
      <c r="E1176" t="s">
        <v>5841</v>
      </c>
      <c r="F1176" t="s">
        <v>5</v>
      </c>
      <c r="G1176" t="s">
        <v>6</v>
      </c>
      <c r="L1176" t="s">
        <v>7</v>
      </c>
      <c r="M1176">
        <v>2006</v>
      </c>
      <c r="N1176" s="1">
        <v>38946</v>
      </c>
      <c r="O1176" t="s">
        <v>5842</v>
      </c>
      <c r="P1176">
        <v>1</v>
      </c>
      <c r="S1176">
        <v>261.95</v>
      </c>
      <c r="T1176">
        <v>300</v>
      </c>
      <c r="U1176">
        <v>230</v>
      </c>
      <c r="V1176" t="s">
        <v>79</v>
      </c>
      <c r="W1176" t="s">
        <v>209</v>
      </c>
      <c r="X1176" t="s">
        <v>209</v>
      </c>
      <c r="Y1176" t="s">
        <v>3051</v>
      </c>
      <c r="AF1176" t="s">
        <v>13</v>
      </c>
      <c r="AG1176" t="str">
        <f>HYPERLINK("https://doi.org/10.1515/9781474471404")</f>
        <v>https://doi.org/10.1515/9781474471404</v>
      </c>
      <c r="AH1176" t="str">
        <f>HYPERLINK("http://www.degruyter.com/isbn/9781474471404")</f>
        <v>http://www.degruyter.com/isbn/9781474471404</v>
      </c>
      <c r="AI1176" t="s">
        <v>68</v>
      </c>
      <c r="AL1176" t="s">
        <v>83</v>
      </c>
      <c r="AM1176">
        <v>1</v>
      </c>
      <c r="AN1176" s="2">
        <v>9780748615544</v>
      </c>
    </row>
    <row r="1177" spans="1:40" x14ac:dyDescent="0.3">
      <c r="A1177" t="s">
        <v>5843</v>
      </c>
      <c r="B1177" t="s">
        <v>1</v>
      </c>
      <c r="C1177" t="s">
        <v>5844</v>
      </c>
      <c r="D1177" t="s">
        <v>5845</v>
      </c>
      <c r="E1177" t="s">
        <v>5846</v>
      </c>
      <c r="F1177" t="s">
        <v>5</v>
      </c>
      <c r="G1177" t="s">
        <v>6</v>
      </c>
      <c r="L1177" t="s">
        <v>7</v>
      </c>
      <c r="M1177">
        <v>2009</v>
      </c>
      <c r="N1177" s="1">
        <v>39945</v>
      </c>
      <c r="O1177" t="s">
        <v>5847</v>
      </c>
      <c r="P1177">
        <v>1</v>
      </c>
      <c r="S1177">
        <v>253.95</v>
      </c>
      <c r="T1177">
        <v>290</v>
      </c>
      <c r="U1177">
        <v>220</v>
      </c>
      <c r="V1177" t="s">
        <v>58</v>
      </c>
      <c r="W1177" t="s">
        <v>59</v>
      </c>
      <c r="X1177" t="s">
        <v>60</v>
      </c>
      <c r="Y1177" t="s">
        <v>169</v>
      </c>
      <c r="AF1177" t="s">
        <v>13</v>
      </c>
      <c r="AG1177" t="str">
        <f>HYPERLINK("https://doi.org/10.1515/9780748640218")</f>
        <v>https://doi.org/10.1515/9780748640218</v>
      </c>
      <c r="AH1177" t="str">
        <f>HYPERLINK("http://www.degruyter.com/isbn/9780748640218")</f>
        <v>http://www.degruyter.com/isbn/9780748640218</v>
      </c>
      <c r="AI1177" t="s">
        <v>68</v>
      </c>
      <c r="AL1177" t="s">
        <v>62</v>
      </c>
      <c r="AM1177">
        <v>1</v>
      </c>
      <c r="AN1177" s="2">
        <v>9780748637324</v>
      </c>
    </row>
    <row r="1178" spans="1:40" x14ac:dyDescent="0.3">
      <c r="A1178" t="s">
        <v>5848</v>
      </c>
      <c r="B1178" t="s">
        <v>1</v>
      </c>
      <c r="C1178" t="s">
        <v>5849</v>
      </c>
      <c r="D1178" t="s">
        <v>2223</v>
      </c>
      <c r="E1178" t="s">
        <v>5850</v>
      </c>
      <c r="F1178" t="s">
        <v>5</v>
      </c>
      <c r="G1178" t="s">
        <v>6</v>
      </c>
      <c r="L1178" t="s">
        <v>7</v>
      </c>
      <c r="M1178">
        <v>2015</v>
      </c>
      <c r="N1178" s="1">
        <v>42176</v>
      </c>
      <c r="O1178" t="s">
        <v>5851</v>
      </c>
      <c r="P1178">
        <v>1</v>
      </c>
      <c r="S1178">
        <v>217.95</v>
      </c>
      <c r="T1178">
        <v>250</v>
      </c>
      <c r="U1178">
        <v>190</v>
      </c>
      <c r="V1178" t="s">
        <v>42</v>
      </c>
      <c r="W1178" t="s">
        <v>290</v>
      </c>
      <c r="X1178" t="s">
        <v>290</v>
      </c>
      <c r="Y1178" t="s">
        <v>515</v>
      </c>
      <c r="AF1178" t="s">
        <v>13</v>
      </c>
      <c r="AG1178" t="str">
        <f>HYPERLINK("https://doi.org/10.1515/9781474402200")</f>
        <v>https://doi.org/10.1515/9781474402200</v>
      </c>
      <c r="AH1178" t="str">
        <f>HYPERLINK("http://www.degruyter.com/isbn/9781474402200")</f>
        <v>http://www.degruyter.com/isbn/9781474402200</v>
      </c>
      <c r="AI1178" t="s">
        <v>34</v>
      </c>
      <c r="AL1178" t="s">
        <v>47</v>
      </c>
      <c r="AM1178">
        <v>1</v>
      </c>
      <c r="AN1178" s="2">
        <v>9781474402194</v>
      </c>
    </row>
    <row r="1179" spans="1:40" x14ac:dyDescent="0.3">
      <c r="A1179" t="s">
        <v>5852</v>
      </c>
      <c r="B1179" t="s">
        <v>1</v>
      </c>
      <c r="C1179" t="s">
        <v>5853</v>
      </c>
      <c r="E1179" t="s">
        <v>5854</v>
      </c>
      <c r="F1179" t="s">
        <v>5</v>
      </c>
      <c r="G1179" t="s">
        <v>6</v>
      </c>
      <c r="L1179" t="s">
        <v>7</v>
      </c>
      <c r="M1179">
        <v>2021</v>
      </c>
      <c r="N1179" s="1">
        <v>44656</v>
      </c>
      <c r="O1179" t="s">
        <v>5855</v>
      </c>
      <c r="P1179">
        <v>1</v>
      </c>
      <c r="S1179">
        <v>217.95</v>
      </c>
      <c r="T1179">
        <v>250</v>
      </c>
      <c r="U1179">
        <v>190</v>
      </c>
      <c r="V1179" t="s">
        <v>305</v>
      </c>
      <c r="W1179" t="s">
        <v>2566</v>
      </c>
      <c r="X1179" t="s">
        <v>2567</v>
      </c>
      <c r="Y1179" t="s">
        <v>2568</v>
      </c>
      <c r="AF1179" t="s">
        <v>13</v>
      </c>
      <c r="AG1179" t="str">
        <f>HYPERLINK("https://doi.org/10.1515/9781474463300")</f>
        <v>https://doi.org/10.1515/9781474463300</v>
      </c>
      <c r="AH1179" t="str">
        <f>HYPERLINK("http://www.degruyter.com/isbn/9781474463300")</f>
        <v>http://www.degruyter.com/isbn/9781474463300</v>
      </c>
      <c r="AI1179" t="s">
        <v>908</v>
      </c>
      <c r="AL1179" t="s">
        <v>308</v>
      </c>
      <c r="AM1179">
        <v>1</v>
      </c>
      <c r="AN1179" s="2">
        <v>9781474463287</v>
      </c>
    </row>
    <row r="1180" spans="1:40" x14ac:dyDescent="0.3">
      <c r="A1180" t="s">
        <v>5856</v>
      </c>
      <c r="B1180" t="s">
        <v>1</v>
      </c>
      <c r="C1180" t="s">
        <v>5857</v>
      </c>
      <c r="E1180" t="s">
        <v>5858</v>
      </c>
      <c r="F1180" t="s">
        <v>5</v>
      </c>
      <c r="G1180" t="s">
        <v>6</v>
      </c>
      <c r="L1180" t="s">
        <v>7</v>
      </c>
      <c r="M1180">
        <v>2012</v>
      </c>
      <c r="N1180" s="1">
        <v>41080</v>
      </c>
      <c r="O1180" t="s">
        <v>4177</v>
      </c>
      <c r="P1180">
        <v>1</v>
      </c>
      <c r="S1180">
        <v>227.95</v>
      </c>
      <c r="T1180">
        <v>260</v>
      </c>
      <c r="U1180">
        <v>200</v>
      </c>
      <c r="V1180" t="s">
        <v>79</v>
      </c>
      <c r="W1180" t="s">
        <v>209</v>
      </c>
      <c r="X1180" t="s">
        <v>209</v>
      </c>
      <c r="Y1180" t="s">
        <v>510</v>
      </c>
      <c r="AF1180" t="s">
        <v>13</v>
      </c>
      <c r="AG1180" t="str">
        <f>HYPERLINK("https://doi.org/10.1515/9780748644810")</f>
        <v>https://doi.org/10.1515/9780748644810</v>
      </c>
      <c r="AH1180" t="str">
        <f>HYPERLINK("http://www.degruyter.com/isbn/9780748644810")</f>
        <v>http://www.degruyter.com/isbn/9780748644810</v>
      </c>
      <c r="AI1180" t="s">
        <v>68</v>
      </c>
      <c r="AL1180" t="s">
        <v>83</v>
      </c>
      <c r="AM1180">
        <v>1</v>
      </c>
      <c r="AN1180" s="2">
        <v>9780748644803</v>
      </c>
    </row>
    <row r="1181" spans="1:40" x14ac:dyDescent="0.3">
      <c r="A1181" t="s">
        <v>5859</v>
      </c>
      <c r="B1181" t="s">
        <v>1</v>
      </c>
      <c r="C1181" t="s">
        <v>5860</v>
      </c>
      <c r="D1181" t="s">
        <v>5861</v>
      </c>
      <c r="E1181" t="s">
        <v>5862</v>
      </c>
      <c r="F1181" t="s">
        <v>5</v>
      </c>
      <c r="G1181" t="s">
        <v>6</v>
      </c>
      <c r="K1181" t="s">
        <v>929</v>
      </c>
      <c r="L1181" t="s">
        <v>7</v>
      </c>
      <c r="M1181">
        <v>2019</v>
      </c>
      <c r="N1181" s="1">
        <v>43717</v>
      </c>
      <c r="O1181" t="s">
        <v>5863</v>
      </c>
      <c r="P1181">
        <v>1</v>
      </c>
      <c r="V1181" t="s">
        <v>42</v>
      </c>
      <c r="W1181" t="s">
        <v>107</v>
      </c>
      <c r="X1181" t="s">
        <v>108</v>
      </c>
      <c r="Y1181" t="s">
        <v>2244</v>
      </c>
      <c r="AF1181" t="s">
        <v>13</v>
      </c>
      <c r="AG1181" t="str">
        <f>HYPERLINK("https://doi.org/10.1515/9781474455602?locatt=mode:legacy")</f>
        <v>https://doi.org/10.1515/9781474455602?locatt=mode:legacy</v>
      </c>
      <c r="AH1181" t="str">
        <f>HYPERLINK("http://www.degruyter.com/isbn/9781474455602")</f>
        <v>http://www.degruyter.com/isbn/9781474455602</v>
      </c>
      <c r="AI1181" t="s">
        <v>280</v>
      </c>
      <c r="AM1181">
        <v>1</v>
      </c>
      <c r="AN1181" s="2"/>
    </row>
    <row r="1182" spans="1:40" x14ac:dyDescent="0.3">
      <c r="A1182" t="s">
        <v>5864</v>
      </c>
      <c r="B1182" t="s">
        <v>1</v>
      </c>
      <c r="C1182" t="s">
        <v>5865</v>
      </c>
      <c r="E1182" t="s">
        <v>5866</v>
      </c>
      <c r="F1182" t="s">
        <v>5</v>
      </c>
      <c r="G1182" t="s">
        <v>6</v>
      </c>
      <c r="L1182" t="s">
        <v>7</v>
      </c>
      <c r="M1182">
        <v>1998</v>
      </c>
      <c r="N1182" s="1">
        <v>44656</v>
      </c>
      <c r="O1182" t="s">
        <v>97</v>
      </c>
      <c r="P1182">
        <v>1</v>
      </c>
      <c r="S1182">
        <v>217.95</v>
      </c>
      <c r="T1182">
        <v>250</v>
      </c>
      <c r="U1182">
        <v>190</v>
      </c>
      <c r="V1182" t="s">
        <v>329</v>
      </c>
      <c r="W1182" t="s">
        <v>4080</v>
      </c>
      <c r="X1182" t="s">
        <v>4080</v>
      </c>
      <c r="Y1182" t="s">
        <v>4081</v>
      </c>
      <c r="AF1182" t="s">
        <v>13</v>
      </c>
      <c r="AG1182" t="str">
        <f>HYPERLINK("https://doi.org/10.1515/9780585159126")</f>
        <v>https://doi.org/10.1515/9780585159126</v>
      </c>
      <c r="AH1182" t="str">
        <f>HYPERLINK("http://www.degruyter.com/isbn/9780585159126")</f>
        <v>http://www.degruyter.com/isbn/9780585159126</v>
      </c>
      <c r="AI1182" t="s">
        <v>24</v>
      </c>
      <c r="AL1182" t="s">
        <v>333</v>
      </c>
      <c r="AM1182">
        <v>1</v>
      </c>
      <c r="AN1182" s="2">
        <v>9780748610600</v>
      </c>
    </row>
    <row r="1183" spans="1:40" x14ac:dyDescent="0.3">
      <c r="A1183" t="s">
        <v>5867</v>
      </c>
      <c r="B1183" t="s">
        <v>1</v>
      </c>
      <c r="C1183" t="s">
        <v>5868</v>
      </c>
      <c r="D1183" t="s">
        <v>5869</v>
      </c>
      <c r="E1183" t="s">
        <v>5870</v>
      </c>
      <c r="F1183" t="s">
        <v>5</v>
      </c>
      <c r="G1183" t="s">
        <v>6</v>
      </c>
      <c r="L1183" t="s">
        <v>7</v>
      </c>
      <c r="M1183">
        <v>2020</v>
      </c>
      <c r="N1183" s="1">
        <v>44644</v>
      </c>
      <c r="O1183" t="s">
        <v>5871</v>
      </c>
      <c r="P1183">
        <v>1</v>
      </c>
      <c r="S1183">
        <v>217.95</v>
      </c>
      <c r="T1183">
        <v>250</v>
      </c>
      <c r="U1183">
        <v>190</v>
      </c>
      <c r="V1183" t="s">
        <v>42</v>
      </c>
      <c r="W1183" t="s">
        <v>107</v>
      </c>
      <c r="X1183" t="s">
        <v>108</v>
      </c>
      <c r="Y1183" t="s">
        <v>109</v>
      </c>
      <c r="AF1183" t="s">
        <v>13</v>
      </c>
      <c r="AG1183" t="str">
        <f>HYPERLINK("https://doi.org/10.1515/9781474426190")</f>
        <v>https://doi.org/10.1515/9781474426190</v>
      </c>
      <c r="AH1183" t="str">
        <f>HYPERLINK("http://www.degruyter.com/isbn/9781474426190")</f>
        <v>http://www.degruyter.com/isbn/9781474426190</v>
      </c>
      <c r="AI1183" t="s">
        <v>14</v>
      </c>
      <c r="AL1183" t="s">
        <v>47</v>
      </c>
      <c r="AM1183">
        <v>1</v>
      </c>
      <c r="AN1183" s="2">
        <v>9781474426176</v>
      </c>
    </row>
    <row r="1184" spans="1:40" x14ac:dyDescent="0.3">
      <c r="A1184" t="s">
        <v>5872</v>
      </c>
      <c r="B1184" t="s">
        <v>1</v>
      </c>
      <c r="C1184" t="s">
        <v>5873</v>
      </c>
      <c r="D1184" t="s">
        <v>5874</v>
      </c>
      <c r="E1184" t="s">
        <v>5875</v>
      </c>
      <c r="F1184" t="s">
        <v>5</v>
      </c>
      <c r="G1184" t="s">
        <v>6</v>
      </c>
      <c r="L1184" t="s">
        <v>7</v>
      </c>
      <c r="M1184">
        <v>2018</v>
      </c>
      <c r="N1184" s="1">
        <v>44644</v>
      </c>
      <c r="O1184" t="s">
        <v>5876</v>
      </c>
      <c r="P1184">
        <v>1</v>
      </c>
      <c r="S1184">
        <v>217.95</v>
      </c>
      <c r="T1184">
        <v>250</v>
      </c>
      <c r="U1184">
        <v>190</v>
      </c>
      <c r="V1184" t="s">
        <v>20</v>
      </c>
      <c r="W1184" t="s">
        <v>21</v>
      </c>
      <c r="X1184" t="s">
        <v>418</v>
      </c>
      <c r="Y1184" t="s">
        <v>419</v>
      </c>
      <c r="AF1184" t="s">
        <v>13</v>
      </c>
      <c r="AG1184" t="str">
        <f>HYPERLINK("https://doi.org/10.1515/9781474436120?locatt=mode:legacy")</f>
        <v>https://doi.org/10.1515/9781474436120?locatt=mode:legacy</v>
      </c>
      <c r="AH1184" t="str">
        <f>HYPERLINK("http://www.degruyter.com/isbn/9781474436120")</f>
        <v>http://www.degruyter.com/isbn/9781474436120</v>
      </c>
      <c r="AI1184" t="s">
        <v>46</v>
      </c>
      <c r="AL1184" t="s">
        <v>15</v>
      </c>
      <c r="AM1184">
        <v>1</v>
      </c>
      <c r="AN1184" s="2">
        <v>9781474436113</v>
      </c>
    </row>
    <row r="1185" spans="1:40" x14ac:dyDescent="0.3">
      <c r="A1185" t="s">
        <v>5877</v>
      </c>
      <c r="B1185" t="s">
        <v>1</v>
      </c>
      <c r="C1185" t="s">
        <v>5878</v>
      </c>
      <c r="D1185" t="s">
        <v>5879</v>
      </c>
      <c r="E1185" t="s">
        <v>5880</v>
      </c>
      <c r="F1185" t="s">
        <v>5</v>
      </c>
      <c r="G1185" t="s">
        <v>6</v>
      </c>
      <c r="K1185" t="s">
        <v>929</v>
      </c>
      <c r="L1185" t="s">
        <v>7</v>
      </c>
      <c r="M1185">
        <v>2012</v>
      </c>
      <c r="N1185" s="1">
        <v>41113</v>
      </c>
      <c r="O1185" t="s">
        <v>5881</v>
      </c>
      <c r="P1185">
        <v>1</v>
      </c>
      <c r="V1185" t="s">
        <v>297</v>
      </c>
      <c r="W1185" t="s">
        <v>20</v>
      </c>
      <c r="X1185" t="s">
        <v>20</v>
      </c>
      <c r="Y1185" t="s">
        <v>1914</v>
      </c>
      <c r="AF1185" t="s">
        <v>13</v>
      </c>
      <c r="AG1185" t="str">
        <f>HYPERLINK("https://doi.org/10.1515/9780748645084")</f>
        <v>https://doi.org/10.1515/9780748645084</v>
      </c>
      <c r="AH1185" t="str">
        <f>HYPERLINK("http://www.degruyter.com/isbn/9780748645084")</f>
        <v>http://www.degruyter.com/isbn/9780748645084</v>
      </c>
      <c r="AI1185" t="s">
        <v>68</v>
      </c>
      <c r="AM1185">
        <v>1</v>
      </c>
      <c r="AN1185" s="2"/>
    </row>
    <row r="1186" spans="1:40" x14ac:dyDescent="0.3">
      <c r="A1186" t="s">
        <v>5882</v>
      </c>
      <c r="B1186" t="s">
        <v>1</v>
      </c>
      <c r="C1186" t="s">
        <v>5883</v>
      </c>
      <c r="E1186" t="s">
        <v>5884</v>
      </c>
      <c r="F1186" t="s">
        <v>5</v>
      </c>
      <c r="G1186" t="s">
        <v>6</v>
      </c>
      <c r="L1186" t="s">
        <v>7</v>
      </c>
      <c r="M1186">
        <v>2020</v>
      </c>
      <c r="N1186" s="1">
        <v>44644</v>
      </c>
      <c r="O1186" t="s">
        <v>5422</v>
      </c>
      <c r="P1186">
        <v>1</v>
      </c>
      <c r="S1186">
        <v>217.95</v>
      </c>
      <c r="T1186">
        <v>250</v>
      </c>
      <c r="U1186">
        <v>190</v>
      </c>
      <c r="V1186" t="s">
        <v>20</v>
      </c>
      <c r="W1186" t="s">
        <v>21</v>
      </c>
      <c r="X1186" t="s">
        <v>22</v>
      </c>
      <c r="Y1186" t="s">
        <v>23</v>
      </c>
      <c r="AF1186" t="s">
        <v>13</v>
      </c>
      <c r="AG1186" t="str">
        <f>HYPERLINK("https://doi.org/10.1515/9781474448567")</f>
        <v>https://doi.org/10.1515/9781474448567</v>
      </c>
      <c r="AH1186" t="str">
        <f>HYPERLINK("http://www.degruyter.com/isbn/9781474448567")</f>
        <v>http://www.degruyter.com/isbn/9781474448567</v>
      </c>
      <c r="AI1186" t="s">
        <v>14</v>
      </c>
      <c r="AL1186" t="s">
        <v>15</v>
      </c>
      <c r="AM1186">
        <v>1</v>
      </c>
      <c r="AN1186" s="2">
        <v>9781474448543</v>
      </c>
    </row>
    <row r="1187" spans="1:40" x14ac:dyDescent="0.3">
      <c r="A1187" t="s">
        <v>5885</v>
      </c>
      <c r="B1187" t="s">
        <v>1</v>
      </c>
      <c r="C1187" t="s">
        <v>5886</v>
      </c>
      <c r="D1187" t="s">
        <v>5887</v>
      </c>
      <c r="E1187" t="s">
        <v>5888</v>
      </c>
      <c r="F1187" t="s">
        <v>5</v>
      </c>
      <c r="G1187" t="s">
        <v>6</v>
      </c>
      <c r="L1187" t="s">
        <v>7</v>
      </c>
      <c r="M1187">
        <v>2021</v>
      </c>
      <c r="N1187" s="1">
        <v>44656</v>
      </c>
      <c r="O1187" t="s">
        <v>3327</v>
      </c>
      <c r="P1187">
        <v>1</v>
      </c>
      <c r="S1187">
        <v>321.95</v>
      </c>
      <c r="T1187">
        <v>370</v>
      </c>
      <c r="U1187">
        <v>280</v>
      </c>
      <c r="V1187" t="s">
        <v>42</v>
      </c>
      <c r="W1187" t="s">
        <v>116</v>
      </c>
      <c r="X1187" t="s">
        <v>116</v>
      </c>
      <c r="Y1187" t="s">
        <v>117</v>
      </c>
      <c r="AF1187" t="s">
        <v>13</v>
      </c>
      <c r="AG1187" t="str">
        <f>HYPERLINK("https://doi.org/10.1515/9781474481335")</f>
        <v>https://doi.org/10.1515/9781474481335</v>
      </c>
      <c r="AH1187" t="str">
        <f>HYPERLINK("http://www.degruyter.com/isbn/9781474481335")</f>
        <v>http://www.degruyter.com/isbn/9781474481335</v>
      </c>
      <c r="AI1187" t="s">
        <v>110</v>
      </c>
      <c r="AL1187" t="s">
        <v>47</v>
      </c>
      <c r="AM1187">
        <v>1</v>
      </c>
      <c r="AN1187" s="2">
        <v>9781474481328</v>
      </c>
    </row>
    <row r="1188" spans="1:40" x14ac:dyDescent="0.3">
      <c r="A1188" t="s">
        <v>5889</v>
      </c>
      <c r="B1188" t="s">
        <v>1</v>
      </c>
      <c r="C1188" t="s">
        <v>5890</v>
      </c>
      <c r="D1188" t="s">
        <v>5891</v>
      </c>
      <c r="E1188" t="s">
        <v>5892</v>
      </c>
      <c r="F1188" t="s">
        <v>5</v>
      </c>
      <c r="G1188" t="s">
        <v>6</v>
      </c>
      <c r="L1188" t="s">
        <v>7</v>
      </c>
      <c r="M1188">
        <v>2019</v>
      </c>
      <c r="N1188" s="1">
        <v>44644</v>
      </c>
      <c r="O1188" t="s">
        <v>5893</v>
      </c>
      <c r="P1188">
        <v>1</v>
      </c>
      <c r="S1188">
        <v>227.95</v>
      </c>
      <c r="T1188">
        <v>260</v>
      </c>
      <c r="U1188">
        <v>200</v>
      </c>
      <c r="V1188" t="s">
        <v>42</v>
      </c>
      <c r="W1188" t="s">
        <v>43</v>
      </c>
      <c r="X1188" t="s">
        <v>178</v>
      </c>
      <c r="Y1188" t="s">
        <v>1745</v>
      </c>
      <c r="AF1188" t="s">
        <v>13</v>
      </c>
      <c r="AG1188" t="str">
        <f>HYPERLINK("https://doi.org/10.1515/9781474435703?locatt=mode:legacy")</f>
        <v>https://doi.org/10.1515/9781474435703?locatt=mode:legacy</v>
      </c>
      <c r="AH1188" t="str">
        <f>HYPERLINK("http://www.degruyter.com/isbn/9781474435703")</f>
        <v>http://www.degruyter.com/isbn/9781474435703</v>
      </c>
      <c r="AI1188" t="s">
        <v>280</v>
      </c>
      <c r="AL1188" t="s">
        <v>47</v>
      </c>
      <c r="AM1188">
        <v>1</v>
      </c>
      <c r="AN1188" s="2">
        <v>9781474435680</v>
      </c>
    </row>
    <row r="1189" spans="1:40" x14ac:dyDescent="0.3">
      <c r="A1189" t="s">
        <v>5894</v>
      </c>
      <c r="B1189" t="s">
        <v>1</v>
      </c>
      <c r="C1189" t="s">
        <v>5895</v>
      </c>
      <c r="D1189" t="s">
        <v>5896</v>
      </c>
      <c r="E1189" t="s">
        <v>5897</v>
      </c>
      <c r="F1189" t="s">
        <v>5</v>
      </c>
      <c r="G1189" t="s">
        <v>6</v>
      </c>
      <c r="L1189" t="s">
        <v>7</v>
      </c>
      <c r="M1189">
        <v>2000</v>
      </c>
      <c r="N1189" s="1">
        <v>36856</v>
      </c>
      <c r="O1189" t="s">
        <v>1960</v>
      </c>
      <c r="P1189">
        <v>1</v>
      </c>
      <c r="S1189">
        <v>295.95</v>
      </c>
      <c r="T1189">
        <v>340</v>
      </c>
      <c r="U1189">
        <v>260</v>
      </c>
      <c r="V1189" t="s">
        <v>9</v>
      </c>
      <c r="W1189" t="s">
        <v>10</v>
      </c>
      <c r="X1189" t="s">
        <v>11</v>
      </c>
      <c r="Y1189" t="s">
        <v>12</v>
      </c>
      <c r="AF1189" t="s">
        <v>13</v>
      </c>
      <c r="AG1189" t="str">
        <f>HYPERLINK("https://doi.org/10.1515/9781474471473")</f>
        <v>https://doi.org/10.1515/9781474471473</v>
      </c>
      <c r="AH1189" t="str">
        <f>HYPERLINK("http://www.degruyter.com/isbn/9781474471473")</f>
        <v>http://www.degruyter.com/isbn/9781474471473</v>
      </c>
      <c r="AI1189" t="s">
        <v>1661</v>
      </c>
      <c r="AL1189" t="s">
        <v>15</v>
      </c>
      <c r="AM1189">
        <v>1</v>
      </c>
      <c r="AN1189" s="2">
        <v>9780748612826</v>
      </c>
    </row>
    <row r="1190" spans="1:40" x14ac:dyDescent="0.3">
      <c r="A1190" t="s">
        <v>5898</v>
      </c>
      <c r="B1190" t="s">
        <v>1</v>
      </c>
      <c r="C1190" t="s">
        <v>5899</v>
      </c>
      <c r="E1190" t="s">
        <v>5900</v>
      </c>
      <c r="F1190" t="s">
        <v>5</v>
      </c>
      <c r="G1190" t="s">
        <v>6</v>
      </c>
      <c r="L1190" t="s">
        <v>7</v>
      </c>
      <c r="M1190">
        <v>2015</v>
      </c>
      <c r="N1190" s="1">
        <v>42143</v>
      </c>
      <c r="O1190" t="s">
        <v>5901</v>
      </c>
      <c r="P1190">
        <v>1</v>
      </c>
      <c r="S1190">
        <v>87.95</v>
      </c>
      <c r="T1190">
        <v>99.95</v>
      </c>
      <c r="U1190">
        <v>72</v>
      </c>
      <c r="V1190" t="s">
        <v>20</v>
      </c>
      <c r="W1190" t="s">
        <v>21</v>
      </c>
      <c r="X1190" t="s">
        <v>575</v>
      </c>
      <c r="Y1190" t="s">
        <v>576</v>
      </c>
      <c r="AF1190" t="s">
        <v>13</v>
      </c>
      <c r="AG1190" t="str">
        <f>HYPERLINK("https://doi.org/10.1515/9780748679164")</f>
        <v>https://doi.org/10.1515/9780748679164</v>
      </c>
      <c r="AH1190" t="str">
        <f>HYPERLINK("http://www.degruyter.com/isbn/9780748679164")</f>
        <v>http://www.degruyter.com/isbn/9780748679164</v>
      </c>
      <c r="AI1190" t="s">
        <v>34</v>
      </c>
      <c r="AL1190" t="s">
        <v>15</v>
      </c>
      <c r="AM1190">
        <v>1</v>
      </c>
      <c r="AN1190" s="2">
        <v>9780748679157</v>
      </c>
    </row>
    <row r="1191" spans="1:40" x14ac:dyDescent="0.3">
      <c r="A1191" t="s">
        <v>5902</v>
      </c>
      <c r="B1191" t="s">
        <v>1</v>
      </c>
      <c r="C1191" t="s">
        <v>5903</v>
      </c>
      <c r="D1191" t="s">
        <v>5904</v>
      </c>
      <c r="E1191" t="s">
        <v>5905</v>
      </c>
      <c r="F1191" t="s">
        <v>5</v>
      </c>
      <c r="G1191" t="s">
        <v>6</v>
      </c>
      <c r="L1191" t="s">
        <v>7</v>
      </c>
      <c r="M1191">
        <v>2020</v>
      </c>
      <c r="N1191" s="1">
        <v>44656</v>
      </c>
      <c r="O1191" t="s">
        <v>5906</v>
      </c>
      <c r="P1191">
        <v>1</v>
      </c>
      <c r="S1191">
        <v>227.95</v>
      </c>
      <c r="T1191">
        <v>260</v>
      </c>
      <c r="U1191">
        <v>200</v>
      </c>
      <c r="V1191" t="s">
        <v>42</v>
      </c>
      <c r="W1191" t="s">
        <v>161</v>
      </c>
      <c r="X1191" t="s">
        <v>162</v>
      </c>
      <c r="Y1191" t="s">
        <v>393</v>
      </c>
      <c r="AF1191" t="s">
        <v>13</v>
      </c>
      <c r="AG1191" t="str">
        <f>HYPERLINK("https://doi.org/10.1515/9781474467063?locatt=mode:legacy")</f>
        <v>https://doi.org/10.1515/9781474467063?locatt=mode:legacy</v>
      </c>
      <c r="AH1191" t="str">
        <f>HYPERLINK("http://www.degruyter.com/isbn/9781474467063")</f>
        <v>http://www.degruyter.com/isbn/9781474467063</v>
      </c>
      <c r="AI1191" t="s">
        <v>14</v>
      </c>
      <c r="AL1191" t="s">
        <v>47</v>
      </c>
      <c r="AM1191">
        <v>1</v>
      </c>
      <c r="AN1191" s="2">
        <v>9781474467032</v>
      </c>
    </row>
    <row r="1192" spans="1:40" x14ac:dyDescent="0.3">
      <c r="A1192" t="s">
        <v>5907</v>
      </c>
      <c r="B1192" t="s">
        <v>1</v>
      </c>
      <c r="C1192" t="s">
        <v>5908</v>
      </c>
      <c r="E1192" t="s">
        <v>5909</v>
      </c>
      <c r="F1192" t="s">
        <v>5</v>
      </c>
      <c r="G1192" t="s">
        <v>6</v>
      </c>
      <c r="L1192" t="s">
        <v>7</v>
      </c>
      <c r="M1192">
        <v>2019</v>
      </c>
      <c r="N1192" s="1">
        <v>44656</v>
      </c>
      <c r="O1192" t="s">
        <v>5910</v>
      </c>
      <c r="P1192">
        <v>1</v>
      </c>
      <c r="Q1192" t="s">
        <v>5911</v>
      </c>
      <c r="S1192">
        <v>227.95</v>
      </c>
      <c r="T1192">
        <v>260</v>
      </c>
      <c r="U1192">
        <v>200</v>
      </c>
      <c r="V1192" t="s">
        <v>329</v>
      </c>
      <c r="W1192" t="s">
        <v>330</v>
      </c>
      <c r="X1192" t="s">
        <v>331</v>
      </c>
      <c r="Y1192" t="s">
        <v>4770</v>
      </c>
      <c r="AF1192" t="s">
        <v>13</v>
      </c>
      <c r="AG1192" t="str">
        <f>HYPERLINK("https://doi.org/10.1515/9781474425759")</f>
        <v>https://doi.org/10.1515/9781474425759</v>
      </c>
      <c r="AH1192" t="str">
        <f>HYPERLINK("http://www.degruyter.com/isbn/9781474425759")</f>
        <v>http://www.degruyter.com/isbn/9781474425759</v>
      </c>
      <c r="AI1192" t="s">
        <v>280</v>
      </c>
      <c r="AL1192" t="s">
        <v>333</v>
      </c>
      <c r="AM1192">
        <v>1</v>
      </c>
      <c r="AN1192" s="2">
        <v>9781474425735</v>
      </c>
    </row>
    <row r="1193" spans="1:40" x14ac:dyDescent="0.3">
      <c r="A1193" t="s">
        <v>5912</v>
      </c>
      <c r="B1193" t="s">
        <v>1</v>
      </c>
      <c r="C1193" t="s">
        <v>5913</v>
      </c>
      <c r="D1193" t="s">
        <v>5914</v>
      </c>
      <c r="E1193" t="s">
        <v>5915</v>
      </c>
      <c r="F1193" t="s">
        <v>5</v>
      </c>
      <c r="G1193" t="s">
        <v>6</v>
      </c>
      <c r="L1193" t="s">
        <v>7</v>
      </c>
      <c r="M1193">
        <v>2007</v>
      </c>
      <c r="N1193" s="1">
        <v>39238</v>
      </c>
      <c r="O1193" t="s">
        <v>5916</v>
      </c>
      <c r="P1193">
        <v>1</v>
      </c>
      <c r="S1193">
        <v>261.95</v>
      </c>
      <c r="T1193">
        <v>300</v>
      </c>
      <c r="U1193">
        <v>230</v>
      </c>
      <c r="V1193" t="s">
        <v>42</v>
      </c>
      <c r="W1193" t="s">
        <v>116</v>
      </c>
      <c r="X1193" t="s">
        <v>116</v>
      </c>
      <c r="Y1193" t="s">
        <v>117</v>
      </c>
      <c r="AF1193" t="s">
        <v>13</v>
      </c>
      <c r="AG1193" t="str">
        <f>HYPERLINK("https://doi.org/10.1515/9780748631223")</f>
        <v>https://doi.org/10.1515/9780748631223</v>
      </c>
      <c r="AH1193" t="str">
        <f>HYPERLINK("http://www.degruyter.com/isbn/9780748631223")</f>
        <v>http://www.degruyter.com/isbn/9780748631223</v>
      </c>
      <c r="AI1193" t="s">
        <v>68</v>
      </c>
      <c r="AL1193" t="s">
        <v>47</v>
      </c>
      <c r="AM1193">
        <v>1</v>
      </c>
      <c r="AN1193" s="2">
        <v>9780748625642</v>
      </c>
    </row>
    <row r="1194" spans="1:40" x14ac:dyDescent="0.3">
      <c r="A1194" t="s">
        <v>5917</v>
      </c>
      <c r="B1194" t="s">
        <v>1</v>
      </c>
      <c r="C1194" t="s">
        <v>5918</v>
      </c>
      <c r="D1194" t="s">
        <v>5919</v>
      </c>
      <c r="E1194" t="s">
        <v>5920</v>
      </c>
      <c r="F1194" t="s">
        <v>5</v>
      </c>
      <c r="G1194" t="s">
        <v>6</v>
      </c>
      <c r="L1194" t="s">
        <v>7</v>
      </c>
      <c r="M1194">
        <v>2019</v>
      </c>
      <c r="N1194" s="1">
        <v>44599</v>
      </c>
      <c r="O1194" t="s">
        <v>5921</v>
      </c>
      <c r="P1194">
        <v>1</v>
      </c>
      <c r="S1194">
        <v>217.95</v>
      </c>
      <c r="T1194">
        <v>250</v>
      </c>
      <c r="U1194">
        <v>190</v>
      </c>
      <c r="V1194" t="s">
        <v>58</v>
      </c>
      <c r="W1194" t="s">
        <v>1135</v>
      </c>
      <c r="X1194" t="s">
        <v>1136</v>
      </c>
      <c r="Y1194" t="s">
        <v>5922</v>
      </c>
      <c r="AF1194" t="s">
        <v>13</v>
      </c>
      <c r="AG1194" t="str">
        <f>HYPERLINK("https://doi.org/10.1515/9781474443128")</f>
        <v>https://doi.org/10.1515/9781474443128</v>
      </c>
      <c r="AH1194" t="str">
        <f>HYPERLINK("http://www.degruyter.com/isbn/9781474443128")</f>
        <v>http://www.degruyter.com/isbn/9781474443128</v>
      </c>
      <c r="AI1194" t="s">
        <v>280</v>
      </c>
      <c r="AL1194" t="s">
        <v>62</v>
      </c>
      <c r="AM1194">
        <v>1</v>
      </c>
      <c r="AN1194" s="2">
        <v>9781474443111</v>
      </c>
    </row>
    <row r="1195" spans="1:40" x14ac:dyDescent="0.3">
      <c r="A1195" t="s">
        <v>5923</v>
      </c>
      <c r="B1195" t="s">
        <v>1</v>
      </c>
      <c r="C1195" t="s">
        <v>5924</v>
      </c>
      <c r="D1195" t="s">
        <v>5925</v>
      </c>
      <c r="E1195" t="s">
        <v>5926</v>
      </c>
      <c r="F1195" t="s">
        <v>5</v>
      </c>
      <c r="G1195" t="s">
        <v>6</v>
      </c>
      <c r="L1195" t="s">
        <v>7</v>
      </c>
      <c r="M1195">
        <v>2019</v>
      </c>
      <c r="N1195" s="1">
        <v>44656</v>
      </c>
      <c r="O1195" t="s">
        <v>1110</v>
      </c>
      <c r="P1195">
        <v>1</v>
      </c>
      <c r="S1195">
        <v>227.95</v>
      </c>
      <c r="T1195">
        <v>260</v>
      </c>
      <c r="U1195">
        <v>200</v>
      </c>
      <c r="V1195" t="s">
        <v>20</v>
      </c>
      <c r="W1195" t="s">
        <v>470</v>
      </c>
      <c r="X1195" t="s">
        <v>2114</v>
      </c>
      <c r="Y1195" t="s">
        <v>5927</v>
      </c>
      <c r="AF1195" t="s">
        <v>13</v>
      </c>
      <c r="AG1195" t="str">
        <f>HYPERLINK("https://doi.org/10.1515/9781474448680")</f>
        <v>https://doi.org/10.1515/9781474448680</v>
      </c>
      <c r="AH1195" t="str">
        <f>HYPERLINK("http://www.degruyter.com/isbn/9781474448680")</f>
        <v>http://www.degruyter.com/isbn/9781474448680</v>
      </c>
      <c r="AI1195" t="s">
        <v>280</v>
      </c>
      <c r="AL1195" t="s">
        <v>15</v>
      </c>
      <c r="AM1195">
        <v>1</v>
      </c>
      <c r="AN1195" s="2">
        <v>9781474448666</v>
      </c>
    </row>
    <row r="1196" spans="1:40" x14ac:dyDescent="0.3">
      <c r="A1196" t="s">
        <v>5928</v>
      </c>
      <c r="B1196" t="s">
        <v>1</v>
      </c>
      <c r="C1196" t="s">
        <v>5929</v>
      </c>
      <c r="D1196" t="s">
        <v>5930</v>
      </c>
      <c r="E1196" t="s">
        <v>5931</v>
      </c>
      <c r="F1196" t="s">
        <v>5</v>
      </c>
      <c r="G1196" t="s">
        <v>6</v>
      </c>
      <c r="L1196" t="s">
        <v>7</v>
      </c>
      <c r="M1196">
        <v>2020</v>
      </c>
      <c r="N1196" s="1">
        <v>44644</v>
      </c>
      <c r="O1196" t="s">
        <v>5932</v>
      </c>
      <c r="P1196">
        <v>1</v>
      </c>
      <c r="S1196">
        <v>227.95</v>
      </c>
      <c r="T1196">
        <v>260</v>
      </c>
      <c r="U1196">
        <v>200</v>
      </c>
      <c r="V1196" t="s">
        <v>42</v>
      </c>
      <c r="W1196" t="s">
        <v>116</v>
      </c>
      <c r="X1196" t="s">
        <v>116</v>
      </c>
      <c r="Y1196" t="s">
        <v>5933</v>
      </c>
      <c r="AF1196" t="s">
        <v>13</v>
      </c>
      <c r="AG1196" t="str">
        <f>HYPERLINK("https://doi.org/10.1515/9781474462686")</f>
        <v>https://doi.org/10.1515/9781474462686</v>
      </c>
      <c r="AH1196" t="str">
        <f>HYPERLINK("http://www.degruyter.com/isbn/9781474462686")</f>
        <v>http://www.degruyter.com/isbn/9781474462686</v>
      </c>
      <c r="AI1196" t="s">
        <v>14</v>
      </c>
      <c r="AL1196" t="s">
        <v>47</v>
      </c>
      <c r="AM1196">
        <v>1</v>
      </c>
      <c r="AN1196" s="2">
        <v>9781474462662</v>
      </c>
    </row>
    <row r="1197" spans="1:40" x14ac:dyDescent="0.3">
      <c r="A1197" t="s">
        <v>5934</v>
      </c>
      <c r="B1197" t="s">
        <v>1</v>
      </c>
      <c r="C1197" t="s">
        <v>5935</v>
      </c>
      <c r="D1197" t="s">
        <v>2122</v>
      </c>
      <c r="E1197" t="s">
        <v>5936</v>
      </c>
      <c r="F1197" t="s">
        <v>5</v>
      </c>
      <c r="G1197" t="s">
        <v>6</v>
      </c>
      <c r="L1197" t="s">
        <v>7</v>
      </c>
      <c r="M1197">
        <v>2015</v>
      </c>
      <c r="N1197" s="1">
        <v>42191</v>
      </c>
      <c r="O1197" t="s">
        <v>5937</v>
      </c>
      <c r="P1197">
        <v>1</v>
      </c>
      <c r="S1197">
        <v>209.95</v>
      </c>
      <c r="T1197">
        <v>240</v>
      </c>
      <c r="U1197">
        <v>180</v>
      </c>
      <c r="V1197" t="s">
        <v>42</v>
      </c>
      <c r="W1197" t="s">
        <v>116</v>
      </c>
      <c r="X1197" t="s">
        <v>116</v>
      </c>
      <c r="Y1197" t="s">
        <v>117</v>
      </c>
      <c r="AF1197" t="s">
        <v>13</v>
      </c>
      <c r="AG1197" t="str">
        <f>HYPERLINK("https://doi.org/10.1515/9780748685691")</f>
        <v>https://doi.org/10.1515/9780748685691</v>
      </c>
      <c r="AH1197" t="str">
        <f>HYPERLINK("http://www.degruyter.com/isbn/9780748685691")</f>
        <v>http://www.degruyter.com/isbn/9780748685691</v>
      </c>
      <c r="AI1197" t="s">
        <v>34</v>
      </c>
      <c r="AL1197" t="s">
        <v>47</v>
      </c>
      <c r="AM1197">
        <v>1</v>
      </c>
      <c r="AN1197" s="2">
        <v>9780748685677</v>
      </c>
    </row>
    <row r="1198" spans="1:40" x14ac:dyDescent="0.3">
      <c r="A1198" t="s">
        <v>5938</v>
      </c>
      <c r="B1198" t="s">
        <v>1</v>
      </c>
      <c r="C1198" t="s">
        <v>5939</v>
      </c>
      <c r="E1198" t="s">
        <v>5940</v>
      </c>
      <c r="F1198" t="s">
        <v>5</v>
      </c>
      <c r="G1198" t="s">
        <v>6</v>
      </c>
      <c r="L1198" t="s">
        <v>7</v>
      </c>
      <c r="M1198">
        <v>2010</v>
      </c>
      <c r="N1198" s="1">
        <v>40209</v>
      </c>
      <c r="O1198" t="s">
        <v>4266</v>
      </c>
      <c r="P1198">
        <v>1</v>
      </c>
      <c r="S1198">
        <v>217.95</v>
      </c>
      <c r="T1198">
        <v>250</v>
      </c>
      <c r="U1198">
        <v>190</v>
      </c>
      <c r="V1198" t="s">
        <v>20</v>
      </c>
      <c r="W1198" t="s">
        <v>21</v>
      </c>
      <c r="X1198" t="s">
        <v>22</v>
      </c>
      <c r="Y1198" t="s">
        <v>23</v>
      </c>
      <c r="AF1198" t="s">
        <v>13</v>
      </c>
      <c r="AG1198" t="str">
        <f>HYPERLINK("https://doi.org/10.1515/9780748642168?locatt=mode:legacy")</f>
        <v>https://doi.org/10.1515/9780748642168?locatt=mode:legacy</v>
      </c>
      <c r="AH1198" t="str">
        <f>HYPERLINK("http://www.degruyter.com/isbn/9780748642168")</f>
        <v>http://www.degruyter.com/isbn/9780748642168</v>
      </c>
      <c r="AI1198" t="s">
        <v>68</v>
      </c>
      <c r="AL1198" t="s">
        <v>15</v>
      </c>
      <c r="AM1198">
        <v>1</v>
      </c>
      <c r="AN1198" s="2">
        <v>9780748639588</v>
      </c>
    </row>
    <row r="1199" spans="1:40" x14ac:dyDescent="0.3">
      <c r="A1199" t="s">
        <v>5941</v>
      </c>
      <c r="B1199" t="s">
        <v>1</v>
      </c>
      <c r="C1199" t="s">
        <v>5942</v>
      </c>
      <c r="E1199" t="s">
        <v>5943</v>
      </c>
      <c r="F1199" t="s">
        <v>5</v>
      </c>
      <c r="G1199" t="s">
        <v>6</v>
      </c>
      <c r="L1199" t="s">
        <v>7</v>
      </c>
      <c r="M1199">
        <v>2009</v>
      </c>
      <c r="N1199" s="1">
        <v>39987</v>
      </c>
      <c r="O1199" t="s">
        <v>5944</v>
      </c>
      <c r="P1199">
        <v>1</v>
      </c>
      <c r="S1199">
        <v>227.95</v>
      </c>
      <c r="T1199">
        <v>260</v>
      </c>
      <c r="U1199">
        <v>200</v>
      </c>
      <c r="V1199" t="s">
        <v>42</v>
      </c>
      <c r="W1199" t="s">
        <v>107</v>
      </c>
      <c r="X1199" t="s">
        <v>108</v>
      </c>
      <c r="Y1199" t="s">
        <v>109</v>
      </c>
      <c r="AF1199" t="s">
        <v>13</v>
      </c>
      <c r="AG1199" t="str">
        <f>HYPERLINK("https://doi.org/10.1515/9780748640935?locatt=mode:legacy")</f>
        <v>https://doi.org/10.1515/9780748640935?locatt=mode:legacy</v>
      </c>
      <c r="AH1199" t="str">
        <f>HYPERLINK("http://www.degruyter.com/isbn/9780748640935")</f>
        <v>http://www.degruyter.com/isbn/9780748640935</v>
      </c>
      <c r="AI1199" t="s">
        <v>68</v>
      </c>
      <c r="AL1199" t="s">
        <v>47</v>
      </c>
      <c r="AM1199">
        <v>1</v>
      </c>
      <c r="AN1199" s="2">
        <v>9780748638123</v>
      </c>
    </row>
    <row r="1200" spans="1:40" x14ac:dyDescent="0.3">
      <c r="A1200" t="s">
        <v>5945</v>
      </c>
      <c r="B1200" t="s">
        <v>1</v>
      </c>
      <c r="C1200" t="s">
        <v>5946</v>
      </c>
      <c r="E1200" t="s">
        <v>5947</v>
      </c>
      <c r="F1200" t="s">
        <v>5</v>
      </c>
      <c r="G1200" t="s">
        <v>6</v>
      </c>
      <c r="L1200" t="s">
        <v>7</v>
      </c>
      <c r="M1200">
        <v>2008</v>
      </c>
      <c r="N1200" s="1">
        <v>39727</v>
      </c>
      <c r="O1200" t="s">
        <v>5948</v>
      </c>
      <c r="P1200">
        <v>1</v>
      </c>
      <c r="S1200">
        <v>243.95</v>
      </c>
      <c r="T1200">
        <v>280</v>
      </c>
      <c r="U1200">
        <v>210</v>
      </c>
      <c r="V1200" t="s">
        <v>9</v>
      </c>
      <c r="W1200" t="s">
        <v>10</v>
      </c>
      <c r="X1200" t="s">
        <v>596</v>
      </c>
      <c r="Y1200" t="s">
        <v>4327</v>
      </c>
      <c r="AF1200" t="s">
        <v>13</v>
      </c>
      <c r="AG1200" t="str">
        <f>HYPERLINK("https://doi.org/10.1515/9780748631797?locatt=mode:legacy")</f>
        <v>https://doi.org/10.1515/9780748631797?locatt=mode:legacy</v>
      </c>
      <c r="AH1200" t="str">
        <f>HYPERLINK("http://www.degruyter.com/isbn/9780748631797")</f>
        <v>http://www.degruyter.com/isbn/9780748631797</v>
      </c>
      <c r="AI1200" t="s">
        <v>68</v>
      </c>
      <c r="AL1200" t="s">
        <v>15</v>
      </c>
      <c r="AM1200">
        <v>1</v>
      </c>
      <c r="AN1200" s="2">
        <v>9780748627974</v>
      </c>
    </row>
    <row r="1201" spans="1:40" x14ac:dyDescent="0.3">
      <c r="A1201" t="s">
        <v>5949</v>
      </c>
      <c r="B1201" t="s">
        <v>1</v>
      </c>
      <c r="C1201" t="s">
        <v>5950</v>
      </c>
      <c r="D1201" t="s">
        <v>5951</v>
      </c>
      <c r="E1201" t="s">
        <v>5952</v>
      </c>
      <c r="F1201" t="s">
        <v>5</v>
      </c>
      <c r="G1201" t="s">
        <v>6</v>
      </c>
      <c r="L1201" t="s">
        <v>7</v>
      </c>
      <c r="M1201">
        <v>2019</v>
      </c>
      <c r="N1201" s="1">
        <v>44656</v>
      </c>
      <c r="O1201" t="s">
        <v>5953</v>
      </c>
      <c r="P1201">
        <v>1</v>
      </c>
      <c r="S1201">
        <v>217.95</v>
      </c>
      <c r="T1201">
        <v>250</v>
      </c>
      <c r="U1201">
        <v>190</v>
      </c>
      <c r="V1201" t="s">
        <v>1325</v>
      </c>
      <c r="W1201" t="s">
        <v>5954</v>
      </c>
      <c r="X1201" t="s">
        <v>5954</v>
      </c>
      <c r="Y1201" t="s">
        <v>5955</v>
      </c>
      <c r="AF1201" t="s">
        <v>13</v>
      </c>
      <c r="AG1201" t="str">
        <f>HYPERLINK("https://doi.org/10.1515/9781474453424?locatt=mode:legacy")</f>
        <v>https://doi.org/10.1515/9781474453424?locatt=mode:legacy</v>
      </c>
      <c r="AH1201" t="str">
        <f>HYPERLINK("http://www.degruyter.com/isbn/9781474453424")</f>
        <v>http://www.degruyter.com/isbn/9781474453424</v>
      </c>
      <c r="AI1201" t="s">
        <v>280</v>
      </c>
      <c r="AL1201" t="s">
        <v>1328</v>
      </c>
      <c r="AM1201">
        <v>1</v>
      </c>
      <c r="AN1201" s="2">
        <v>9781474453400</v>
      </c>
    </row>
    <row r="1202" spans="1:40" x14ac:dyDescent="0.3">
      <c r="A1202" t="s">
        <v>5956</v>
      </c>
      <c r="B1202" t="s">
        <v>1</v>
      </c>
      <c r="C1202" t="s">
        <v>5957</v>
      </c>
      <c r="E1202" t="s">
        <v>5958</v>
      </c>
      <c r="F1202" t="s">
        <v>5</v>
      </c>
      <c r="G1202" t="s">
        <v>6</v>
      </c>
      <c r="L1202" t="s">
        <v>7</v>
      </c>
      <c r="M1202">
        <v>1996</v>
      </c>
      <c r="N1202" s="1">
        <v>44672</v>
      </c>
      <c r="O1202" t="s">
        <v>5959</v>
      </c>
      <c r="P1202">
        <v>1</v>
      </c>
      <c r="S1202">
        <v>217.95</v>
      </c>
      <c r="T1202">
        <v>250</v>
      </c>
      <c r="U1202">
        <v>190</v>
      </c>
      <c r="V1202" t="s">
        <v>79</v>
      </c>
      <c r="W1202" t="s">
        <v>227</v>
      </c>
      <c r="X1202" t="s">
        <v>228</v>
      </c>
      <c r="Y1202" t="s">
        <v>229</v>
      </c>
      <c r="AF1202" t="s">
        <v>13</v>
      </c>
      <c r="AG1202" t="str">
        <f>HYPERLINK("https://doi.org/10.1515/9780585060804")</f>
        <v>https://doi.org/10.1515/9780585060804</v>
      </c>
      <c r="AH1202" t="str">
        <f>HYPERLINK("http://www.degruyter.com/isbn/9780585060804")</f>
        <v>http://www.degruyter.com/isbn/9780585060804</v>
      </c>
      <c r="AI1202" t="s">
        <v>24</v>
      </c>
      <c r="AL1202" t="s">
        <v>83</v>
      </c>
      <c r="AM1202">
        <v>1</v>
      </c>
      <c r="AN1202" s="2">
        <v>9780748607884</v>
      </c>
    </row>
    <row r="1203" spans="1:40" x14ac:dyDescent="0.3">
      <c r="A1203" t="s">
        <v>5960</v>
      </c>
      <c r="B1203" t="s">
        <v>1</v>
      </c>
      <c r="C1203" t="s">
        <v>5961</v>
      </c>
      <c r="E1203" t="s">
        <v>5962</v>
      </c>
      <c r="F1203" t="s">
        <v>5</v>
      </c>
      <c r="G1203" t="s">
        <v>6</v>
      </c>
      <c r="L1203" t="s">
        <v>7</v>
      </c>
      <c r="M1203">
        <v>2003</v>
      </c>
      <c r="N1203" s="1">
        <v>37865</v>
      </c>
      <c r="O1203" t="s">
        <v>5963</v>
      </c>
      <c r="P1203">
        <v>1</v>
      </c>
      <c r="S1203">
        <v>305.95</v>
      </c>
      <c r="T1203">
        <v>350</v>
      </c>
      <c r="U1203">
        <v>270</v>
      </c>
      <c r="V1203" t="s">
        <v>1155</v>
      </c>
      <c r="W1203" t="s">
        <v>5616</v>
      </c>
      <c r="X1203" t="s">
        <v>5616</v>
      </c>
      <c r="Y1203" t="s">
        <v>5617</v>
      </c>
      <c r="AF1203" t="s">
        <v>13</v>
      </c>
      <c r="AG1203" t="str">
        <f>HYPERLINK("https://doi.org/10.1515/9781474465922")</f>
        <v>https://doi.org/10.1515/9781474465922</v>
      </c>
      <c r="AH1203" t="str">
        <f>HYPERLINK("http://www.degruyter.com/isbn/9781474465922")</f>
        <v>http://www.degruyter.com/isbn/9781474465922</v>
      </c>
      <c r="AI1203" t="s">
        <v>68</v>
      </c>
      <c r="AL1203" t="s">
        <v>498</v>
      </c>
      <c r="AM1203">
        <v>1</v>
      </c>
      <c r="AN1203" s="2">
        <v>9780748614127</v>
      </c>
    </row>
    <row r="1204" spans="1:40" x14ac:dyDescent="0.3">
      <c r="A1204" t="s">
        <v>5964</v>
      </c>
      <c r="B1204" t="s">
        <v>1</v>
      </c>
      <c r="C1204" t="s">
        <v>5965</v>
      </c>
      <c r="E1204" t="s">
        <v>5966</v>
      </c>
      <c r="F1204" t="s">
        <v>5</v>
      </c>
      <c r="G1204" t="s">
        <v>6</v>
      </c>
      <c r="L1204" t="s">
        <v>7</v>
      </c>
      <c r="M1204">
        <v>1998</v>
      </c>
      <c r="N1204" s="1">
        <v>44719</v>
      </c>
      <c r="O1204" t="s">
        <v>2748</v>
      </c>
      <c r="P1204">
        <v>1</v>
      </c>
      <c r="S1204">
        <v>279.95</v>
      </c>
      <c r="T1204">
        <v>320</v>
      </c>
      <c r="U1204">
        <v>240</v>
      </c>
      <c r="V1204" t="s">
        <v>79</v>
      </c>
      <c r="W1204" t="s">
        <v>783</v>
      </c>
      <c r="X1204" t="s">
        <v>783</v>
      </c>
      <c r="Y1204" t="s">
        <v>784</v>
      </c>
      <c r="AF1204" t="s">
        <v>13</v>
      </c>
      <c r="AG1204" t="str">
        <f>HYPERLINK("https://doi.org/10.1515/9781474473057")</f>
        <v>https://doi.org/10.1515/9781474473057</v>
      </c>
      <c r="AH1204" t="str">
        <f>HYPERLINK("http://www.degruyter.com/isbn/9781474473057")</f>
        <v>http://www.degruyter.com/isbn/9781474473057</v>
      </c>
      <c r="AI1204" t="s">
        <v>24</v>
      </c>
      <c r="AL1204" t="s">
        <v>83</v>
      </c>
      <c r="AM1204">
        <v>1</v>
      </c>
      <c r="AN1204" s="2">
        <v>9780748610426</v>
      </c>
    </row>
    <row r="1205" spans="1:40" x14ac:dyDescent="0.3">
      <c r="A1205" t="s">
        <v>5967</v>
      </c>
      <c r="B1205" t="s">
        <v>1</v>
      </c>
      <c r="C1205" t="s">
        <v>5968</v>
      </c>
      <c r="D1205" t="s">
        <v>5969</v>
      </c>
      <c r="E1205" t="s">
        <v>5970</v>
      </c>
      <c r="F1205" t="s">
        <v>5</v>
      </c>
      <c r="G1205" t="s">
        <v>6</v>
      </c>
      <c r="L1205" t="s">
        <v>7</v>
      </c>
      <c r="M1205">
        <v>2021</v>
      </c>
      <c r="N1205" s="1">
        <v>44656</v>
      </c>
      <c r="O1205" t="s">
        <v>5971</v>
      </c>
      <c r="P1205">
        <v>1</v>
      </c>
      <c r="S1205">
        <v>217.95</v>
      </c>
      <c r="T1205">
        <v>250</v>
      </c>
      <c r="U1205">
        <v>190</v>
      </c>
      <c r="V1205" t="s">
        <v>42</v>
      </c>
      <c r="W1205" t="s">
        <v>107</v>
      </c>
      <c r="X1205" t="s">
        <v>108</v>
      </c>
      <c r="Y1205" t="s">
        <v>109</v>
      </c>
      <c r="AF1205" t="s">
        <v>13</v>
      </c>
      <c r="AG1205" t="str">
        <f>HYPERLINK("https://doi.org/10.1515/9781474435949")</f>
        <v>https://doi.org/10.1515/9781474435949</v>
      </c>
      <c r="AH1205" t="str">
        <f>HYPERLINK("http://www.degruyter.com/isbn/9781474435949")</f>
        <v>http://www.degruyter.com/isbn/9781474435949</v>
      </c>
      <c r="AI1205" t="s">
        <v>110</v>
      </c>
      <c r="AL1205" t="s">
        <v>47</v>
      </c>
      <c r="AM1205">
        <v>1</v>
      </c>
      <c r="AN1205" s="2">
        <v>9781474435925</v>
      </c>
    </row>
    <row r="1206" spans="1:40" x14ac:dyDescent="0.3">
      <c r="A1206" t="s">
        <v>5972</v>
      </c>
      <c r="B1206" t="s">
        <v>1</v>
      </c>
      <c r="C1206" t="s">
        <v>5973</v>
      </c>
      <c r="D1206" t="s">
        <v>5974</v>
      </c>
      <c r="E1206" t="s">
        <v>5975</v>
      </c>
      <c r="F1206" t="s">
        <v>5</v>
      </c>
      <c r="G1206" t="s">
        <v>6</v>
      </c>
      <c r="L1206" t="s">
        <v>7</v>
      </c>
      <c r="M1206">
        <v>2009</v>
      </c>
      <c r="N1206" s="1">
        <v>40063</v>
      </c>
      <c r="O1206" t="s">
        <v>5976</v>
      </c>
      <c r="P1206">
        <v>1</v>
      </c>
      <c r="S1206">
        <v>217.95</v>
      </c>
      <c r="T1206">
        <v>250</v>
      </c>
      <c r="U1206">
        <v>190</v>
      </c>
      <c r="V1206" t="s">
        <v>42</v>
      </c>
      <c r="W1206" t="s">
        <v>740</v>
      </c>
      <c r="X1206" t="s">
        <v>741</v>
      </c>
      <c r="Y1206" t="s">
        <v>742</v>
      </c>
      <c r="AF1206" t="s">
        <v>13</v>
      </c>
      <c r="AG1206" t="str">
        <f>HYPERLINK("https://doi.org/10.1515/9780748640904")</f>
        <v>https://doi.org/10.1515/9780748640904</v>
      </c>
      <c r="AH1206" t="str">
        <f>HYPERLINK("http://www.degruyter.com/isbn/9780748640904")</f>
        <v>http://www.degruyter.com/isbn/9780748640904</v>
      </c>
      <c r="AI1206" t="s">
        <v>68</v>
      </c>
      <c r="AL1206" t="s">
        <v>47</v>
      </c>
      <c r="AM1206">
        <v>1</v>
      </c>
      <c r="AN1206" s="2">
        <v>9780748639403</v>
      </c>
    </row>
    <row r="1207" spans="1:40" x14ac:dyDescent="0.3">
      <c r="A1207" t="s">
        <v>5977</v>
      </c>
      <c r="B1207" t="s">
        <v>1</v>
      </c>
      <c r="C1207" t="s">
        <v>133</v>
      </c>
      <c r="D1207" t="s">
        <v>5978</v>
      </c>
      <c r="E1207" t="s">
        <v>135</v>
      </c>
      <c r="F1207" t="s">
        <v>5</v>
      </c>
      <c r="G1207" t="s">
        <v>6</v>
      </c>
      <c r="L1207" t="s">
        <v>7</v>
      </c>
      <c r="M1207">
        <v>2003</v>
      </c>
      <c r="N1207" s="1">
        <v>37669</v>
      </c>
      <c r="O1207" t="s">
        <v>5979</v>
      </c>
      <c r="P1207">
        <v>1</v>
      </c>
      <c r="S1207">
        <v>287.95</v>
      </c>
      <c r="T1207">
        <v>330</v>
      </c>
      <c r="U1207">
        <v>250</v>
      </c>
      <c r="V1207" t="s">
        <v>89</v>
      </c>
      <c r="W1207" t="s">
        <v>137</v>
      </c>
      <c r="X1207" t="s">
        <v>138</v>
      </c>
      <c r="Y1207" t="s">
        <v>139</v>
      </c>
      <c r="AF1207" t="s">
        <v>13</v>
      </c>
      <c r="AG1207" t="str">
        <f>HYPERLINK("https://doi.org/10.1515/9781474469951")</f>
        <v>https://doi.org/10.1515/9781474469951</v>
      </c>
      <c r="AH1207" t="str">
        <f>HYPERLINK("http://www.degruyter.com/isbn/9781474469951")</f>
        <v>http://www.degruyter.com/isbn/9781474469951</v>
      </c>
      <c r="AI1207" t="s">
        <v>68</v>
      </c>
      <c r="AL1207" t="s">
        <v>83</v>
      </c>
      <c r="AM1207">
        <v>1</v>
      </c>
      <c r="AN1207" s="2">
        <v>9780748615216</v>
      </c>
    </row>
    <row r="1208" spans="1:40" x14ac:dyDescent="0.3">
      <c r="A1208" t="s">
        <v>5980</v>
      </c>
      <c r="B1208" t="s">
        <v>1</v>
      </c>
      <c r="C1208" t="s">
        <v>5981</v>
      </c>
      <c r="E1208" t="s">
        <v>5982</v>
      </c>
      <c r="F1208" t="s">
        <v>5</v>
      </c>
      <c r="G1208" t="s">
        <v>6</v>
      </c>
      <c r="L1208" t="s">
        <v>7</v>
      </c>
      <c r="M1208">
        <v>2018</v>
      </c>
      <c r="N1208" s="1">
        <v>44644</v>
      </c>
      <c r="O1208" t="s">
        <v>5983</v>
      </c>
      <c r="P1208">
        <v>1</v>
      </c>
      <c r="S1208">
        <v>227.95</v>
      </c>
      <c r="T1208">
        <v>260</v>
      </c>
      <c r="U1208">
        <v>200</v>
      </c>
      <c r="V1208" t="s">
        <v>42</v>
      </c>
      <c r="W1208" t="s">
        <v>107</v>
      </c>
      <c r="X1208" t="s">
        <v>108</v>
      </c>
      <c r="Y1208" t="s">
        <v>109</v>
      </c>
      <c r="AF1208" t="s">
        <v>13</v>
      </c>
      <c r="AG1208" t="str">
        <f>HYPERLINK("https://doi.org/10.1515/9781474418225?locatt=mode:legacy")</f>
        <v>https://doi.org/10.1515/9781474418225?locatt=mode:legacy</v>
      </c>
      <c r="AH1208" t="str">
        <f>HYPERLINK("http://www.degruyter.com/isbn/9781474418225")</f>
        <v>http://www.degruyter.com/isbn/9781474418225</v>
      </c>
      <c r="AI1208" t="s">
        <v>46</v>
      </c>
      <c r="AL1208" t="s">
        <v>47</v>
      </c>
      <c r="AM1208">
        <v>1</v>
      </c>
      <c r="AN1208" s="2">
        <v>9781474418218</v>
      </c>
    </row>
    <row r="1209" spans="1:40" x14ac:dyDescent="0.3">
      <c r="A1209" t="s">
        <v>5984</v>
      </c>
      <c r="B1209" t="s">
        <v>1</v>
      </c>
      <c r="C1209" t="s">
        <v>5985</v>
      </c>
      <c r="D1209" t="s">
        <v>5986</v>
      </c>
      <c r="E1209" t="s">
        <v>5987</v>
      </c>
      <c r="F1209" t="s">
        <v>5</v>
      </c>
      <c r="G1209" t="s">
        <v>6</v>
      </c>
      <c r="L1209" t="s">
        <v>7</v>
      </c>
      <c r="M1209">
        <v>2011</v>
      </c>
      <c r="N1209" s="1">
        <v>40693</v>
      </c>
      <c r="O1209" t="s">
        <v>5988</v>
      </c>
      <c r="P1209">
        <v>1</v>
      </c>
      <c r="S1209">
        <v>79.95</v>
      </c>
      <c r="T1209">
        <v>89.95</v>
      </c>
      <c r="U1209">
        <v>69.98</v>
      </c>
      <c r="V1209" t="s">
        <v>20</v>
      </c>
      <c r="W1209" t="s">
        <v>21</v>
      </c>
      <c r="X1209" t="s">
        <v>575</v>
      </c>
      <c r="Y1209" t="s">
        <v>576</v>
      </c>
      <c r="AF1209" t="s">
        <v>13</v>
      </c>
      <c r="AG1209" t="str">
        <f>HYPERLINK("https://doi.org/10.1515/9781474471930")</f>
        <v>https://doi.org/10.1515/9781474471930</v>
      </c>
      <c r="AH1209" t="str">
        <f>HYPERLINK("http://www.degruyter.com/isbn/9781474471930")</f>
        <v>http://www.degruyter.com/isbn/9781474471930</v>
      </c>
      <c r="AI1209" t="s">
        <v>68</v>
      </c>
      <c r="AL1209" t="s">
        <v>15</v>
      </c>
      <c r="AM1209">
        <v>1</v>
      </c>
      <c r="AN1209" s="2">
        <v>9781845860592</v>
      </c>
    </row>
    <row r="1210" spans="1:40" x14ac:dyDescent="0.3">
      <c r="A1210" t="s">
        <v>5989</v>
      </c>
      <c r="B1210" t="s">
        <v>1</v>
      </c>
      <c r="C1210" t="s">
        <v>5990</v>
      </c>
      <c r="D1210" t="s">
        <v>5991</v>
      </c>
      <c r="E1210" t="s">
        <v>5992</v>
      </c>
      <c r="F1210" t="s">
        <v>5</v>
      </c>
      <c r="G1210" t="s">
        <v>6</v>
      </c>
      <c r="L1210" t="s">
        <v>7</v>
      </c>
      <c r="M1210">
        <v>2014</v>
      </c>
      <c r="N1210" s="1">
        <v>41841</v>
      </c>
      <c r="O1210" t="s">
        <v>5993</v>
      </c>
      <c r="P1210">
        <v>1</v>
      </c>
      <c r="S1210">
        <v>209.95</v>
      </c>
      <c r="T1210">
        <v>240</v>
      </c>
      <c r="U1210">
        <v>180</v>
      </c>
      <c r="V1210" t="s">
        <v>20</v>
      </c>
      <c r="W1210" t="s">
        <v>21</v>
      </c>
      <c r="X1210" t="s">
        <v>22</v>
      </c>
      <c r="Y1210" t="s">
        <v>23</v>
      </c>
      <c r="AF1210" t="s">
        <v>13</v>
      </c>
      <c r="AG1210" t="str">
        <f>HYPERLINK("https://doi.org/10.1515/9780748681426")</f>
        <v>https://doi.org/10.1515/9780748681426</v>
      </c>
      <c r="AH1210" t="str">
        <f>HYPERLINK("http://www.degruyter.com/isbn/9780748681426")</f>
        <v>http://www.degruyter.com/isbn/9780748681426</v>
      </c>
      <c r="AI1210" t="s">
        <v>34</v>
      </c>
      <c r="AL1210" t="s">
        <v>15</v>
      </c>
      <c r="AM1210">
        <v>1</v>
      </c>
      <c r="AN1210" s="2">
        <v>9780748681402</v>
      </c>
    </row>
    <row r="1211" spans="1:40" x14ac:dyDescent="0.3">
      <c r="A1211" t="s">
        <v>5994</v>
      </c>
      <c r="B1211" t="s">
        <v>1</v>
      </c>
      <c r="C1211" t="s">
        <v>5995</v>
      </c>
      <c r="D1211" t="s">
        <v>5996</v>
      </c>
      <c r="E1211" t="s">
        <v>5997</v>
      </c>
      <c r="F1211" t="s">
        <v>5</v>
      </c>
      <c r="G1211" t="s">
        <v>6</v>
      </c>
      <c r="L1211" t="s">
        <v>7</v>
      </c>
      <c r="M1211">
        <v>2010</v>
      </c>
      <c r="N1211" s="1">
        <v>44693</v>
      </c>
      <c r="O1211" t="s">
        <v>5998</v>
      </c>
      <c r="P1211">
        <v>1</v>
      </c>
      <c r="S1211">
        <v>217.95</v>
      </c>
      <c r="T1211">
        <v>250</v>
      </c>
      <c r="U1211">
        <v>190</v>
      </c>
      <c r="V1211" t="s">
        <v>20</v>
      </c>
      <c r="W1211" t="s">
        <v>21</v>
      </c>
      <c r="X1211" t="s">
        <v>575</v>
      </c>
      <c r="Y1211" t="s">
        <v>576</v>
      </c>
      <c r="AF1211" t="s">
        <v>13</v>
      </c>
      <c r="AG1211" t="str">
        <f>HYPERLINK("https://doi.org/10.1515/9781474472982")</f>
        <v>https://doi.org/10.1515/9781474472982</v>
      </c>
      <c r="AH1211" t="str">
        <f>HYPERLINK("http://www.degruyter.com/isbn/9781474472982")</f>
        <v>http://www.degruyter.com/isbn/9781474472982</v>
      </c>
      <c r="AI1211" t="s">
        <v>68</v>
      </c>
      <c r="AL1211" t="s">
        <v>15</v>
      </c>
      <c r="AM1211">
        <v>1</v>
      </c>
      <c r="AN1211" s="2">
        <v>9781845860608</v>
      </c>
    </row>
    <row r="1212" spans="1:40" x14ac:dyDescent="0.3">
      <c r="A1212" t="s">
        <v>5999</v>
      </c>
      <c r="B1212" t="s">
        <v>1</v>
      </c>
      <c r="C1212" t="s">
        <v>6000</v>
      </c>
      <c r="D1212" t="s">
        <v>6001</v>
      </c>
      <c r="E1212" t="s">
        <v>6002</v>
      </c>
      <c r="F1212" t="s">
        <v>5</v>
      </c>
      <c r="G1212" t="s">
        <v>6</v>
      </c>
      <c r="L1212" t="s">
        <v>7</v>
      </c>
      <c r="M1212">
        <v>2002</v>
      </c>
      <c r="N1212" s="1">
        <v>44719</v>
      </c>
      <c r="O1212" t="s">
        <v>424</v>
      </c>
      <c r="P1212">
        <v>1</v>
      </c>
      <c r="S1212">
        <v>217.95</v>
      </c>
      <c r="T1212">
        <v>250</v>
      </c>
      <c r="U1212">
        <v>190</v>
      </c>
      <c r="V1212" t="s">
        <v>98</v>
      </c>
      <c r="W1212" t="s">
        <v>99</v>
      </c>
      <c r="X1212" t="s">
        <v>100</v>
      </c>
      <c r="Y1212" t="s">
        <v>937</v>
      </c>
      <c r="AF1212" t="s">
        <v>13</v>
      </c>
      <c r="AG1212" t="str">
        <f>HYPERLINK("https://doi.org/10.1515/9781474472937")</f>
        <v>https://doi.org/10.1515/9781474472937</v>
      </c>
      <c r="AH1212" t="str">
        <f>HYPERLINK("http://www.degruyter.com/isbn/9781474472937")</f>
        <v>http://www.degruyter.com/isbn/9781474472937</v>
      </c>
      <c r="AI1212" t="s">
        <v>68</v>
      </c>
      <c r="AJ1212" t="s">
        <v>2012</v>
      </c>
      <c r="AL1212" t="s">
        <v>102</v>
      </c>
      <c r="AM1212">
        <v>1</v>
      </c>
      <c r="AN1212" s="2">
        <v>9780748617074</v>
      </c>
    </row>
    <row r="1213" spans="1:40" x14ac:dyDescent="0.3">
      <c r="A1213" t="s">
        <v>6003</v>
      </c>
      <c r="B1213" t="s">
        <v>1</v>
      </c>
      <c r="C1213" t="s">
        <v>6004</v>
      </c>
      <c r="D1213" t="s">
        <v>27</v>
      </c>
      <c r="E1213" t="s">
        <v>6005</v>
      </c>
      <c r="F1213" t="s">
        <v>5</v>
      </c>
      <c r="G1213" t="s">
        <v>6</v>
      </c>
      <c r="L1213" t="s">
        <v>7</v>
      </c>
      <c r="M1213">
        <v>2001</v>
      </c>
      <c r="N1213" s="1">
        <v>44607</v>
      </c>
      <c r="O1213" t="s">
        <v>6006</v>
      </c>
      <c r="P1213">
        <v>1</v>
      </c>
      <c r="S1213">
        <v>217.95</v>
      </c>
      <c r="T1213">
        <v>250</v>
      </c>
      <c r="U1213">
        <v>190</v>
      </c>
      <c r="V1213" t="s">
        <v>20</v>
      </c>
      <c r="W1213" t="s">
        <v>21</v>
      </c>
      <c r="X1213" t="s">
        <v>22</v>
      </c>
      <c r="Y1213" t="s">
        <v>23</v>
      </c>
      <c r="AF1213" t="s">
        <v>13</v>
      </c>
      <c r="AG1213" t="str">
        <f>HYPERLINK("https://doi.org/10.1515/9781474470377")</f>
        <v>https://doi.org/10.1515/9781474470377</v>
      </c>
      <c r="AH1213" t="str">
        <f>HYPERLINK("http://www.degruyter.com/isbn/9781474470377")</f>
        <v>http://www.degruyter.com/isbn/9781474470377</v>
      </c>
      <c r="AI1213" t="s">
        <v>68</v>
      </c>
      <c r="AL1213" t="s">
        <v>15</v>
      </c>
      <c r="AM1213">
        <v>1</v>
      </c>
      <c r="AN1213" s="2">
        <v>9780748612871</v>
      </c>
    </row>
    <row r="1214" spans="1:40" x14ac:dyDescent="0.3">
      <c r="A1214" t="s">
        <v>6007</v>
      </c>
      <c r="B1214" t="s">
        <v>1</v>
      </c>
      <c r="C1214" t="s">
        <v>6008</v>
      </c>
      <c r="D1214" t="s">
        <v>6009</v>
      </c>
      <c r="E1214" t="s">
        <v>6010</v>
      </c>
      <c r="F1214" t="s">
        <v>5</v>
      </c>
      <c r="G1214" t="s">
        <v>6</v>
      </c>
      <c r="L1214" t="s">
        <v>7</v>
      </c>
      <c r="M1214">
        <v>2012</v>
      </c>
      <c r="N1214" s="1">
        <v>41185</v>
      </c>
      <c r="O1214" t="s">
        <v>1075</v>
      </c>
      <c r="P1214">
        <v>1</v>
      </c>
      <c r="S1214">
        <v>217.95</v>
      </c>
      <c r="T1214">
        <v>250</v>
      </c>
      <c r="U1214">
        <v>190</v>
      </c>
      <c r="V1214" t="s">
        <v>42</v>
      </c>
      <c r="W1214" t="s">
        <v>116</v>
      </c>
      <c r="X1214" t="s">
        <v>116</v>
      </c>
      <c r="Y1214" t="s">
        <v>117</v>
      </c>
      <c r="AF1214" t="s">
        <v>13</v>
      </c>
      <c r="AG1214" t="str">
        <f>HYPERLINK("https://doi.org/10.1515/9781474468558")</f>
        <v>https://doi.org/10.1515/9781474468558</v>
      </c>
      <c r="AH1214" t="str">
        <f>HYPERLINK("http://www.degruyter.com/isbn/9781474468558")</f>
        <v>http://www.degruyter.com/isbn/9781474468558</v>
      </c>
      <c r="AI1214" t="s">
        <v>68</v>
      </c>
      <c r="AL1214" t="s">
        <v>47</v>
      </c>
      <c r="AM1214">
        <v>1</v>
      </c>
      <c r="AN1214" s="2">
        <v>9780748665709</v>
      </c>
    </row>
    <row r="1215" spans="1:40" x14ac:dyDescent="0.3">
      <c r="A1215" t="s">
        <v>6011</v>
      </c>
      <c r="B1215" t="s">
        <v>1</v>
      </c>
      <c r="C1215" t="s">
        <v>6012</v>
      </c>
      <c r="E1215" t="s">
        <v>6013</v>
      </c>
      <c r="F1215" t="s">
        <v>5</v>
      </c>
      <c r="G1215" t="s">
        <v>6</v>
      </c>
      <c r="L1215" t="s">
        <v>7</v>
      </c>
      <c r="M1215">
        <v>2018</v>
      </c>
      <c r="N1215" s="1">
        <v>44656</v>
      </c>
      <c r="O1215" t="s">
        <v>177</v>
      </c>
      <c r="P1215">
        <v>1</v>
      </c>
      <c r="S1215">
        <v>217.95</v>
      </c>
      <c r="T1215">
        <v>250</v>
      </c>
      <c r="U1215">
        <v>190</v>
      </c>
      <c r="V1215" t="s">
        <v>42</v>
      </c>
      <c r="W1215" t="s">
        <v>43</v>
      </c>
      <c r="X1215" t="s">
        <v>178</v>
      </c>
      <c r="Y1215" t="s">
        <v>4382</v>
      </c>
      <c r="AF1215" t="s">
        <v>13</v>
      </c>
      <c r="AG1215" t="str">
        <f>HYPERLINK("https://doi.org/10.1515/9781474432931")</f>
        <v>https://doi.org/10.1515/9781474432931</v>
      </c>
      <c r="AH1215" t="str">
        <f>HYPERLINK("http://www.degruyter.com/isbn/9781474432931")</f>
        <v>http://www.degruyter.com/isbn/9781474432931</v>
      </c>
      <c r="AI1215" t="s">
        <v>46</v>
      </c>
      <c r="AL1215" t="s">
        <v>47</v>
      </c>
      <c r="AM1215">
        <v>1</v>
      </c>
      <c r="AN1215" s="2">
        <v>9781474432917</v>
      </c>
    </row>
    <row r="1216" spans="1:40" x14ac:dyDescent="0.3">
      <c r="A1216" t="s">
        <v>6014</v>
      </c>
      <c r="B1216" t="s">
        <v>1</v>
      </c>
      <c r="C1216" t="s">
        <v>6015</v>
      </c>
      <c r="E1216" t="s">
        <v>6016</v>
      </c>
      <c r="F1216" t="s">
        <v>5</v>
      </c>
      <c r="G1216" t="s">
        <v>6</v>
      </c>
      <c r="L1216" t="s">
        <v>7</v>
      </c>
      <c r="M1216">
        <v>2019</v>
      </c>
      <c r="N1216" s="1">
        <v>44644</v>
      </c>
      <c r="O1216" t="s">
        <v>6017</v>
      </c>
      <c r="P1216">
        <v>1</v>
      </c>
      <c r="S1216">
        <v>253.95</v>
      </c>
      <c r="T1216">
        <v>290</v>
      </c>
      <c r="U1216">
        <v>220</v>
      </c>
      <c r="V1216" t="s">
        <v>42</v>
      </c>
      <c r="W1216" t="s">
        <v>1379</v>
      </c>
      <c r="X1216" t="s">
        <v>1380</v>
      </c>
      <c r="Y1216" t="s">
        <v>1381</v>
      </c>
      <c r="AF1216" t="s">
        <v>13</v>
      </c>
      <c r="AG1216" t="str">
        <f>HYPERLINK("https://doi.org/10.1515/9781474430715")</f>
        <v>https://doi.org/10.1515/9781474430715</v>
      </c>
      <c r="AH1216" t="str">
        <f>HYPERLINK("http://www.degruyter.com/isbn/9781474430715")</f>
        <v>http://www.degruyter.com/isbn/9781474430715</v>
      </c>
      <c r="AI1216" t="s">
        <v>280</v>
      </c>
      <c r="AL1216" t="s">
        <v>47</v>
      </c>
      <c r="AM1216">
        <v>1</v>
      </c>
      <c r="AN1216" s="2">
        <v>9781474430692</v>
      </c>
    </row>
    <row r="1217" spans="1:40" x14ac:dyDescent="0.3">
      <c r="A1217" t="s">
        <v>6018</v>
      </c>
      <c r="B1217" t="s">
        <v>1</v>
      </c>
      <c r="C1217" t="s">
        <v>6019</v>
      </c>
      <c r="D1217" t="s">
        <v>6020</v>
      </c>
      <c r="E1217" t="s">
        <v>6021</v>
      </c>
      <c r="F1217" t="s">
        <v>5</v>
      </c>
      <c r="G1217" t="s">
        <v>6</v>
      </c>
      <c r="L1217" t="s">
        <v>7</v>
      </c>
      <c r="M1217">
        <v>2014</v>
      </c>
      <c r="N1217" s="1">
        <v>41982</v>
      </c>
      <c r="O1217" t="s">
        <v>6022</v>
      </c>
      <c r="P1217">
        <v>1</v>
      </c>
      <c r="S1217">
        <v>209.95</v>
      </c>
      <c r="T1217">
        <v>240</v>
      </c>
      <c r="U1217">
        <v>180</v>
      </c>
      <c r="V1217" t="s">
        <v>42</v>
      </c>
      <c r="W1217" t="s">
        <v>116</v>
      </c>
      <c r="X1217" t="s">
        <v>116</v>
      </c>
      <c r="Y1217" t="s">
        <v>1129</v>
      </c>
      <c r="AF1217" t="s">
        <v>13</v>
      </c>
      <c r="AG1217" t="str">
        <f>HYPERLINK("https://doi.org/10.1515/9780748692156")</f>
        <v>https://doi.org/10.1515/9780748692156</v>
      </c>
      <c r="AH1217" t="str">
        <f>HYPERLINK("http://www.degruyter.com/isbn/9780748692156")</f>
        <v>http://www.degruyter.com/isbn/9780748692156</v>
      </c>
      <c r="AI1217" t="s">
        <v>34</v>
      </c>
      <c r="AL1217" t="s">
        <v>47</v>
      </c>
      <c r="AM1217">
        <v>1</v>
      </c>
      <c r="AN1217" s="2">
        <v>9780748692132</v>
      </c>
    </row>
    <row r="1218" spans="1:40" x14ac:dyDescent="0.3">
      <c r="A1218" t="s">
        <v>6023</v>
      </c>
      <c r="B1218" t="s">
        <v>1</v>
      </c>
      <c r="C1218" t="s">
        <v>6024</v>
      </c>
      <c r="D1218" t="s">
        <v>6025</v>
      </c>
      <c r="E1218" t="s">
        <v>6026</v>
      </c>
      <c r="F1218" t="s">
        <v>5</v>
      </c>
      <c r="G1218" t="s">
        <v>6</v>
      </c>
      <c r="L1218" t="s">
        <v>7</v>
      </c>
      <c r="M1218">
        <v>2013</v>
      </c>
      <c r="N1218" s="1">
        <v>41477</v>
      </c>
      <c r="O1218" t="s">
        <v>424</v>
      </c>
      <c r="P1218">
        <v>1</v>
      </c>
      <c r="S1218">
        <v>253.95</v>
      </c>
      <c r="T1218">
        <v>290</v>
      </c>
      <c r="U1218">
        <v>220</v>
      </c>
      <c r="V1218" t="s">
        <v>98</v>
      </c>
      <c r="W1218" t="s">
        <v>99</v>
      </c>
      <c r="X1218" t="s">
        <v>386</v>
      </c>
      <c r="Y1218" t="s">
        <v>387</v>
      </c>
      <c r="AF1218" t="s">
        <v>13</v>
      </c>
      <c r="AG1218" t="str">
        <f>HYPERLINK("https://doi.org/10.1515/9780748680320")</f>
        <v>https://doi.org/10.1515/9780748680320</v>
      </c>
      <c r="AH1218" t="str">
        <f>HYPERLINK("http://www.degruyter.com/isbn/9780748680320")</f>
        <v>http://www.degruyter.com/isbn/9780748680320</v>
      </c>
      <c r="AI1218" t="s">
        <v>3007</v>
      </c>
      <c r="AL1218" t="s">
        <v>102</v>
      </c>
      <c r="AM1218">
        <v>1</v>
      </c>
      <c r="AN1218" s="2">
        <v>9780748637409</v>
      </c>
    </row>
    <row r="1219" spans="1:40" x14ac:dyDescent="0.3">
      <c r="A1219" t="s">
        <v>6027</v>
      </c>
      <c r="B1219" t="s">
        <v>1</v>
      </c>
      <c r="C1219" t="s">
        <v>6028</v>
      </c>
      <c r="D1219" t="s">
        <v>6029</v>
      </c>
      <c r="E1219" t="s">
        <v>6030</v>
      </c>
      <c r="F1219" t="s">
        <v>5</v>
      </c>
      <c r="G1219" t="s">
        <v>6</v>
      </c>
      <c r="L1219" t="s">
        <v>7</v>
      </c>
      <c r="M1219">
        <v>1999</v>
      </c>
      <c r="N1219" s="1">
        <v>44719</v>
      </c>
      <c r="O1219" t="s">
        <v>6031</v>
      </c>
      <c r="P1219">
        <v>1</v>
      </c>
      <c r="S1219">
        <v>217.95</v>
      </c>
      <c r="T1219">
        <v>250</v>
      </c>
      <c r="U1219">
        <v>190</v>
      </c>
      <c r="V1219" t="s">
        <v>58</v>
      </c>
      <c r="W1219" t="s">
        <v>129</v>
      </c>
      <c r="X1219" t="s">
        <v>130</v>
      </c>
      <c r="Y1219" t="s">
        <v>131</v>
      </c>
      <c r="AF1219" t="s">
        <v>13</v>
      </c>
      <c r="AG1219" t="str">
        <f>HYPERLINK("https://doi.org/10.1515/9781474469456")</f>
        <v>https://doi.org/10.1515/9781474469456</v>
      </c>
      <c r="AH1219" t="str">
        <f>HYPERLINK("http://www.degruyter.com/isbn/9781474469456")</f>
        <v>http://www.degruyter.com/isbn/9781474469456</v>
      </c>
      <c r="AI1219" t="s">
        <v>24</v>
      </c>
      <c r="AL1219" t="s">
        <v>62</v>
      </c>
      <c r="AM1219">
        <v>1</v>
      </c>
      <c r="AN1219" s="2">
        <v>9780748611751</v>
      </c>
    </row>
    <row r="1220" spans="1:40" x14ac:dyDescent="0.3">
      <c r="A1220" t="s">
        <v>6032</v>
      </c>
      <c r="B1220" t="s">
        <v>1</v>
      </c>
      <c r="C1220" t="s">
        <v>6033</v>
      </c>
      <c r="D1220" t="s">
        <v>6034</v>
      </c>
      <c r="E1220" t="s">
        <v>6035</v>
      </c>
      <c r="F1220" t="s">
        <v>5</v>
      </c>
      <c r="G1220" t="s">
        <v>6</v>
      </c>
      <c r="L1220" t="s">
        <v>7</v>
      </c>
      <c r="M1220">
        <v>2012</v>
      </c>
      <c r="N1220" s="1">
        <v>40926</v>
      </c>
      <c r="O1220" t="s">
        <v>6036</v>
      </c>
      <c r="P1220">
        <v>1</v>
      </c>
      <c r="S1220">
        <v>217.95</v>
      </c>
      <c r="T1220">
        <v>250</v>
      </c>
      <c r="U1220">
        <v>190</v>
      </c>
      <c r="V1220" t="s">
        <v>42</v>
      </c>
      <c r="W1220" t="s">
        <v>161</v>
      </c>
      <c r="X1220" t="s">
        <v>162</v>
      </c>
      <c r="Y1220" t="s">
        <v>393</v>
      </c>
      <c r="AF1220" t="s">
        <v>13</v>
      </c>
      <c r="AG1220" t="str">
        <f>HYPERLINK("https://doi.org/10.1515/9780748645039")</f>
        <v>https://doi.org/10.1515/9780748645039</v>
      </c>
      <c r="AH1220" t="str">
        <f>HYPERLINK("http://www.degruyter.com/isbn/9780748645039")</f>
        <v>http://www.degruyter.com/isbn/9780748645039</v>
      </c>
      <c r="AI1220" t="s">
        <v>68</v>
      </c>
      <c r="AL1220" t="s">
        <v>47</v>
      </c>
      <c r="AM1220">
        <v>1</v>
      </c>
      <c r="AN1220" s="2">
        <v>9780748645022</v>
      </c>
    </row>
    <row r="1221" spans="1:40" x14ac:dyDescent="0.3">
      <c r="A1221" t="s">
        <v>6037</v>
      </c>
      <c r="B1221" t="s">
        <v>1</v>
      </c>
      <c r="C1221" t="s">
        <v>6038</v>
      </c>
      <c r="E1221" t="s">
        <v>6039</v>
      </c>
      <c r="F1221" t="s">
        <v>5</v>
      </c>
      <c r="G1221" t="s">
        <v>6</v>
      </c>
      <c r="L1221" t="s">
        <v>7</v>
      </c>
      <c r="M1221">
        <v>2017</v>
      </c>
      <c r="N1221" s="1">
        <v>42982</v>
      </c>
      <c r="O1221" t="s">
        <v>6040</v>
      </c>
      <c r="P1221">
        <v>1</v>
      </c>
      <c r="S1221">
        <v>227.95</v>
      </c>
      <c r="T1221">
        <v>260</v>
      </c>
      <c r="U1221">
        <v>200</v>
      </c>
      <c r="V1221" t="s">
        <v>42</v>
      </c>
      <c r="W1221" t="s">
        <v>116</v>
      </c>
      <c r="X1221" t="s">
        <v>116</v>
      </c>
      <c r="Y1221" t="s">
        <v>1129</v>
      </c>
      <c r="AF1221" t="s">
        <v>13</v>
      </c>
      <c r="AG1221" t="str">
        <f>HYPERLINK("https://doi.org/10.1515/9781474427838?locatt=mode:legacy")</f>
        <v>https://doi.org/10.1515/9781474427838?locatt=mode:legacy</v>
      </c>
      <c r="AH1221" t="str">
        <f>HYPERLINK("http://www.degruyter.com/isbn/9781474427838")</f>
        <v>http://www.degruyter.com/isbn/9781474427838</v>
      </c>
      <c r="AI1221" t="s">
        <v>222</v>
      </c>
      <c r="AL1221" t="s">
        <v>47</v>
      </c>
      <c r="AM1221">
        <v>1</v>
      </c>
      <c r="AN1221" s="2">
        <v>9781474427814</v>
      </c>
    </row>
    <row r="1222" spans="1:40" x14ac:dyDescent="0.3">
      <c r="A1222" t="s">
        <v>6041</v>
      </c>
      <c r="B1222" t="s">
        <v>1</v>
      </c>
      <c r="C1222" t="s">
        <v>6042</v>
      </c>
      <c r="D1222" t="s">
        <v>6043</v>
      </c>
      <c r="E1222" t="s">
        <v>6044</v>
      </c>
      <c r="F1222" t="s">
        <v>5</v>
      </c>
      <c r="G1222" t="s">
        <v>6</v>
      </c>
      <c r="L1222" t="s">
        <v>7</v>
      </c>
      <c r="M1222">
        <v>2009</v>
      </c>
      <c r="N1222" s="1">
        <v>39958</v>
      </c>
      <c r="O1222" t="s">
        <v>545</v>
      </c>
      <c r="P1222">
        <v>1</v>
      </c>
      <c r="S1222">
        <v>79.95</v>
      </c>
      <c r="T1222">
        <v>89.95</v>
      </c>
      <c r="U1222">
        <v>69.98</v>
      </c>
      <c r="V1222" t="s">
        <v>58</v>
      </c>
      <c r="W1222" t="s">
        <v>59</v>
      </c>
      <c r="X1222" t="s">
        <v>60</v>
      </c>
      <c r="Y1222" t="s">
        <v>615</v>
      </c>
      <c r="AF1222" t="s">
        <v>13</v>
      </c>
      <c r="AG1222" t="str">
        <f>HYPERLINK("https://doi.org/10.1515/9780748637676")</f>
        <v>https://doi.org/10.1515/9780748637676</v>
      </c>
      <c r="AH1222" t="str">
        <f>HYPERLINK("http://www.degruyter.com/isbn/9780748637676")</f>
        <v>http://www.degruyter.com/isbn/9780748637676</v>
      </c>
      <c r="AI1222" t="s">
        <v>68</v>
      </c>
      <c r="AL1222" t="s">
        <v>62</v>
      </c>
      <c r="AM1222">
        <v>1</v>
      </c>
      <c r="AN1222" s="2">
        <v>9780748637669</v>
      </c>
    </row>
    <row r="1223" spans="1:40" x14ac:dyDescent="0.3">
      <c r="A1223" t="s">
        <v>6045</v>
      </c>
      <c r="B1223" t="s">
        <v>1</v>
      </c>
      <c r="C1223" t="s">
        <v>6046</v>
      </c>
      <c r="D1223" t="s">
        <v>6047</v>
      </c>
      <c r="E1223" t="s">
        <v>6048</v>
      </c>
      <c r="F1223" t="s">
        <v>5</v>
      </c>
      <c r="G1223" t="s">
        <v>6</v>
      </c>
      <c r="L1223" t="s">
        <v>7</v>
      </c>
      <c r="M1223">
        <v>2017</v>
      </c>
      <c r="N1223" s="1">
        <v>43045</v>
      </c>
      <c r="O1223" t="s">
        <v>6049</v>
      </c>
      <c r="P1223">
        <v>1</v>
      </c>
      <c r="S1223">
        <v>217.95</v>
      </c>
      <c r="T1223">
        <v>250</v>
      </c>
      <c r="U1223">
        <v>190</v>
      </c>
      <c r="V1223" t="s">
        <v>42</v>
      </c>
      <c r="W1223" t="s">
        <v>43</v>
      </c>
      <c r="X1223" t="s">
        <v>178</v>
      </c>
      <c r="Y1223" t="s">
        <v>3750</v>
      </c>
      <c r="AF1223" t="s">
        <v>13</v>
      </c>
      <c r="AG1223" t="str">
        <f>HYPERLINK("https://doi.org/10.1515/9781474430197")</f>
        <v>https://doi.org/10.1515/9781474430197</v>
      </c>
      <c r="AH1223" t="str">
        <f>HYPERLINK("http://www.degruyter.com/isbn/9781474430197")</f>
        <v>http://www.degruyter.com/isbn/9781474430197</v>
      </c>
      <c r="AI1223" t="s">
        <v>222</v>
      </c>
      <c r="AL1223" t="s">
        <v>47</v>
      </c>
      <c r="AM1223">
        <v>1</v>
      </c>
      <c r="AN1223" s="2">
        <v>9781474430173</v>
      </c>
    </row>
    <row r="1224" spans="1:40" x14ac:dyDescent="0.3">
      <c r="A1224" t="s">
        <v>6050</v>
      </c>
      <c r="B1224" t="s">
        <v>1</v>
      </c>
      <c r="C1224" t="s">
        <v>6051</v>
      </c>
      <c r="E1224" t="s">
        <v>6052</v>
      </c>
      <c r="F1224" t="s">
        <v>5</v>
      </c>
      <c r="G1224" t="s">
        <v>6</v>
      </c>
      <c r="L1224" t="s">
        <v>7</v>
      </c>
      <c r="M1224">
        <v>2009</v>
      </c>
      <c r="N1224" s="1">
        <v>39958</v>
      </c>
      <c r="O1224" t="s">
        <v>6053</v>
      </c>
      <c r="P1224">
        <v>1</v>
      </c>
      <c r="S1224">
        <v>217.95</v>
      </c>
      <c r="T1224">
        <v>250</v>
      </c>
      <c r="U1224">
        <v>190</v>
      </c>
      <c r="V1224" t="s">
        <v>42</v>
      </c>
      <c r="W1224" t="s">
        <v>116</v>
      </c>
      <c r="X1224" t="s">
        <v>116</v>
      </c>
      <c r="Y1224" t="s">
        <v>1129</v>
      </c>
      <c r="AF1224" t="s">
        <v>13</v>
      </c>
      <c r="AG1224" t="str">
        <f>HYPERLINK("https://doi.org/10.1515/9780748635283?locatt=mode:legacy")</f>
        <v>https://doi.org/10.1515/9780748635283?locatt=mode:legacy</v>
      </c>
      <c r="AH1224" t="str">
        <f>HYPERLINK("http://www.degruyter.com/isbn/9780748635283")</f>
        <v>http://www.degruyter.com/isbn/9780748635283</v>
      </c>
      <c r="AI1224" t="s">
        <v>68</v>
      </c>
      <c r="AL1224" t="s">
        <v>47</v>
      </c>
      <c r="AM1224">
        <v>1</v>
      </c>
      <c r="AN1224" s="2">
        <v>9780748635276</v>
      </c>
    </row>
    <row r="1225" spans="1:40" x14ac:dyDescent="0.3">
      <c r="A1225" t="s">
        <v>6054</v>
      </c>
      <c r="B1225" t="s">
        <v>1</v>
      </c>
      <c r="C1225" t="s">
        <v>6055</v>
      </c>
      <c r="D1225" t="s">
        <v>6056</v>
      </c>
      <c r="E1225" t="s">
        <v>6057</v>
      </c>
      <c r="F1225" t="s">
        <v>5</v>
      </c>
      <c r="G1225" t="s">
        <v>6</v>
      </c>
      <c r="L1225" t="s">
        <v>7</v>
      </c>
      <c r="M1225">
        <v>2011</v>
      </c>
      <c r="N1225" s="1">
        <v>40884</v>
      </c>
      <c r="O1225" t="s">
        <v>6058</v>
      </c>
      <c r="P1225">
        <v>1</v>
      </c>
      <c r="S1225">
        <v>243.95</v>
      </c>
      <c r="T1225">
        <v>280</v>
      </c>
      <c r="U1225">
        <v>210</v>
      </c>
      <c r="V1225" t="s">
        <v>79</v>
      </c>
      <c r="W1225" t="s">
        <v>209</v>
      </c>
      <c r="X1225" t="s">
        <v>209</v>
      </c>
      <c r="Y1225" t="s">
        <v>699</v>
      </c>
      <c r="AF1225" t="s">
        <v>13</v>
      </c>
      <c r="AG1225" t="str">
        <f>HYPERLINK("https://doi.org/10.1515/9780748637584")</f>
        <v>https://doi.org/10.1515/9780748637584</v>
      </c>
      <c r="AH1225" t="str">
        <f>HYPERLINK("http://www.degruyter.com/isbn/9780748637584")</f>
        <v>http://www.degruyter.com/isbn/9780748637584</v>
      </c>
      <c r="AI1225" t="s">
        <v>68</v>
      </c>
      <c r="AL1225" t="s">
        <v>83</v>
      </c>
      <c r="AM1225">
        <v>1</v>
      </c>
      <c r="AN1225" s="2">
        <v>9780748637577</v>
      </c>
    </row>
    <row r="1226" spans="1:40" x14ac:dyDescent="0.3">
      <c r="A1226" t="s">
        <v>6059</v>
      </c>
      <c r="B1226" t="s">
        <v>1</v>
      </c>
      <c r="C1226" t="s">
        <v>6060</v>
      </c>
      <c r="D1226" t="s">
        <v>6061</v>
      </c>
      <c r="E1226" t="s">
        <v>6062</v>
      </c>
      <c r="F1226" t="s">
        <v>5</v>
      </c>
      <c r="G1226" t="s">
        <v>6</v>
      </c>
      <c r="L1226" t="s">
        <v>7</v>
      </c>
      <c r="M1226">
        <v>2005</v>
      </c>
      <c r="N1226" s="1">
        <v>38455</v>
      </c>
      <c r="O1226" t="s">
        <v>6063</v>
      </c>
      <c r="P1226">
        <v>1</v>
      </c>
      <c r="S1226">
        <v>227.95</v>
      </c>
      <c r="T1226">
        <v>260</v>
      </c>
      <c r="U1226">
        <v>200</v>
      </c>
      <c r="V1226" t="s">
        <v>79</v>
      </c>
      <c r="W1226" t="s">
        <v>734</v>
      </c>
      <c r="X1226" t="s">
        <v>734</v>
      </c>
      <c r="Y1226" t="s">
        <v>6064</v>
      </c>
      <c r="AF1226" t="s">
        <v>13</v>
      </c>
      <c r="AG1226" t="str">
        <f>HYPERLINK("https://doi.org/10.1515/9781474468473")</f>
        <v>https://doi.org/10.1515/9781474468473</v>
      </c>
      <c r="AH1226" t="str">
        <f>HYPERLINK("http://www.degruyter.com/isbn/9781474468473")</f>
        <v>http://www.degruyter.com/isbn/9781474468473</v>
      </c>
      <c r="AI1226" t="s">
        <v>68</v>
      </c>
      <c r="AL1226" t="s">
        <v>83</v>
      </c>
      <c r="AM1226">
        <v>1</v>
      </c>
      <c r="AN1226" s="2">
        <v>9780748614981</v>
      </c>
    </row>
    <row r="1227" spans="1:40" x14ac:dyDescent="0.3">
      <c r="A1227" t="s">
        <v>6065</v>
      </c>
      <c r="B1227" t="s">
        <v>1</v>
      </c>
      <c r="C1227" t="s">
        <v>6066</v>
      </c>
      <c r="E1227" t="s">
        <v>6067</v>
      </c>
      <c r="F1227" t="s">
        <v>5</v>
      </c>
      <c r="G1227" t="s">
        <v>6</v>
      </c>
      <c r="L1227" t="s">
        <v>7</v>
      </c>
      <c r="M1227">
        <v>2016</v>
      </c>
      <c r="N1227" s="1">
        <v>42690</v>
      </c>
      <c r="O1227" t="s">
        <v>6068</v>
      </c>
      <c r="P1227">
        <v>1</v>
      </c>
      <c r="S1227">
        <v>253.95</v>
      </c>
      <c r="T1227">
        <v>290</v>
      </c>
      <c r="U1227">
        <v>220</v>
      </c>
      <c r="V1227" t="s">
        <v>305</v>
      </c>
      <c r="W1227" t="s">
        <v>2566</v>
      </c>
      <c r="X1227" t="s">
        <v>2567</v>
      </c>
      <c r="Y1227" t="s">
        <v>2568</v>
      </c>
      <c r="AF1227" t="s">
        <v>13</v>
      </c>
      <c r="AG1227" t="str">
        <f>HYPERLINK("https://doi.org/10.1515/9780748699919")</f>
        <v>https://doi.org/10.1515/9780748699919</v>
      </c>
      <c r="AH1227" t="str">
        <f>HYPERLINK("http://www.degruyter.com/isbn/9780748699919")</f>
        <v>http://www.degruyter.com/isbn/9780748699919</v>
      </c>
      <c r="AI1227" t="s">
        <v>180</v>
      </c>
      <c r="AL1227" t="s">
        <v>308</v>
      </c>
      <c r="AM1227">
        <v>1</v>
      </c>
      <c r="AN1227" s="2">
        <v>9780748699902</v>
      </c>
    </row>
    <row r="1228" spans="1:40" x14ac:dyDescent="0.3">
      <c r="A1228" t="s">
        <v>6069</v>
      </c>
      <c r="B1228" t="s">
        <v>1</v>
      </c>
      <c r="C1228" t="s">
        <v>1998</v>
      </c>
      <c r="D1228" t="s">
        <v>6070</v>
      </c>
      <c r="E1228" t="s">
        <v>2000</v>
      </c>
      <c r="F1228" t="s">
        <v>5</v>
      </c>
      <c r="G1228" t="s">
        <v>6</v>
      </c>
      <c r="L1228" t="s">
        <v>7</v>
      </c>
      <c r="M1228">
        <v>2006</v>
      </c>
      <c r="N1228" s="1">
        <v>44719</v>
      </c>
      <c r="O1228" t="s">
        <v>6071</v>
      </c>
      <c r="P1228">
        <v>1</v>
      </c>
      <c r="S1228">
        <v>217.95</v>
      </c>
      <c r="T1228">
        <v>250</v>
      </c>
      <c r="U1228">
        <v>190</v>
      </c>
      <c r="V1228" t="s">
        <v>20</v>
      </c>
      <c r="W1228" t="s">
        <v>21</v>
      </c>
      <c r="X1228" t="s">
        <v>575</v>
      </c>
      <c r="Y1228" t="s">
        <v>576</v>
      </c>
      <c r="AF1228" t="s">
        <v>13</v>
      </c>
      <c r="AG1228" t="str">
        <f>HYPERLINK("https://www.degruyter.com/isbn/9781474468886")</f>
        <v>https://www.degruyter.com/isbn/9781474468886</v>
      </c>
      <c r="AH1228" t="str">
        <f>HYPERLINK("http://www.degruyter.com/isbn/9781474468886")</f>
        <v>http://www.degruyter.com/isbn/9781474468886</v>
      </c>
      <c r="AI1228" t="s">
        <v>68</v>
      </c>
      <c r="AL1228" t="s">
        <v>15</v>
      </c>
      <c r="AM1228">
        <v>1</v>
      </c>
      <c r="AN1228" s="2">
        <v>9781845860059</v>
      </c>
    </row>
    <row r="1229" spans="1:40" x14ac:dyDescent="0.3">
      <c r="A1229" t="s">
        <v>6072</v>
      </c>
      <c r="B1229" t="s">
        <v>1</v>
      </c>
      <c r="C1229" t="s">
        <v>6073</v>
      </c>
      <c r="E1229" t="s">
        <v>6074</v>
      </c>
      <c r="F1229" t="s">
        <v>5</v>
      </c>
      <c r="G1229" t="s">
        <v>6</v>
      </c>
      <c r="L1229" t="s">
        <v>7</v>
      </c>
      <c r="M1229">
        <v>2001</v>
      </c>
      <c r="N1229" s="1">
        <v>37049</v>
      </c>
      <c r="O1229" t="s">
        <v>6075</v>
      </c>
      <c r="P1229">
        <v>1</v>
      </c>
      <c r="S1229">
        <v>347.95</v>
      </c>
      <c r="T1229">
        <v>400</v>
      </c>
      <c r="U1229">
        <v>310</v>
      </c>
      <c r="V1229" t="s">
        <v>58</v>
      </c>
      <c r="W1229" t="s">
        <v>59</v>
      </c>
      <c r="X1229" t="s">
        <v>60</v>
      </c>
      <c r="Y1229" t="s">
        <v>145</v>
      </c>
      <c r="AF1229" t="s">
        <v>13</v>
      </c>
      <c r="AG1229" t="str">
        <f>HYPERLINK("https://doi.org/10.1515/9781474468107")</f>
        <v>https://doi.org/10.1515/9781474468107</v>
      </c>
      <c r="AH1229" t="str">
        <f>HYPERLINK("http://www.degruyter.com/isbn/9781474468107")</f>
        <v>http://www.degruyter.com/isbn/9781474468107</v>
      </c>
      <c r="AI1229" t="s">
        <v>68</v>
      </c>
      <c r="AL1229" t="s">
        <v>62</v>
      </c>
      <c r="AM1229">
        <v>1</v>
      </c>
      <c r="AN1229" s="2">
        <v>9780748613595</v>
      </c>
    </row>
    <row r="1230" spans="1:40" x14ac:dyDescent="0.3">
      <c r="A1230" t="s">
        <v>6076</v>
      </c>
      <c r="B1230" t="s">
        <v>1</v>
      </c>
      <c r="C1230" t="s">
        <v>6077</v>
      </c>
      <c r="D1230" t="s">
        <v>6078</v>
      </c>
      <c r="E1230" t="s">
        <v>6079</v>
      </c>
      <c r="F1230" t="s">
        <v>5</v>
      </c>
      <c r="G1230" t="s">
        <v>6</v>
      </c>
      <c r="L1230" t="s">
        <v>7</v>
      </c>
      <c r="M1230">
        <v>2020</v>
      </c>
      <c r="N1230" s="1">
        <v>44644</v>
      </c>
      <c r="O1230" t="s">
        <v>6080</v>
      </c>
      <c r="P1230">
        <v>1</v>
      </c>
      <c r="S1230">
        <v>227.95</v>
      </c>
      <c r="T1230">
        <v>260</v>
      </c>
      <c r="U1230">
        <v>200</v>
      </c>
      <c r="V1230" t="s">
        <v>89</v>
      </c>
      <c r="W1230" t="s">
        <v>90</v>
      </c>
      <c r="X1230" t="s">
        <v>91</v>
      </c>
      <c r="Y1230" t="s">
        <v>717</v>
      </c>
      <c r="AF1230" t="s">
        <v>13</v>
      </c>
      <c r="AG1230" t="str">
        <f>HYPERLINK("https://doi.org/10.1515/9781474441810")</f>
        <v>https://doi.org/10.1515/9781474441810</v>
      </c>
      <c r="AH1230" t="str">
        <f>HYPERLINK("http://www.degruyter.com/isbn/9781474441810")</f>
        <v>http://www.degruyter.com/isbn/9781474441810</v>
      </c>
      <c r="AI1230" t="s">
        <v>14</v>
      </c>
      <c r="AL1230" t="s">
        <v>83</v>
      </c>
      <c r="AM1230">
        <v>1</v>
      </c>
      <c r="AN1230" s="2">
        <v>9781474441797</v>
      </c>
    </row>
    <row r="1231" spans="1:40" x14ac:dyDescent="0.3">
      <c r="A1231" t="s">
        <v>6081</v>
      </c>
      <c r="B1231" t="s">
        <v>1</v>
      </c>
      <c r="C1231" t="s">
        <v>6082</v>
      </c>
      <c r="D1231" t="s">
        <v>6083</v>
      </c>
      <c r="E1231" t="s">
        <v>6084</v>
      </c>
      <c r="F1231" t="s">
        <v>5</v>
      </c>
      <c r="G1231" t="s">
        <v>6</v>
      </c>
      <c r="L1231" t="s">
        <v>7</v>
      </c>
      <c r="M1231">
        <v>2019</v>
      </c>
      <c r="N1231" s="1">
        <v>44656</v>
      </c>
      <c r="O1231" t="s">
        <v>6085</v>
      </c>
      <c r="P1231">
        <v>1</v>
      </c>
      <c r="S1231">
        <v>243.95</v>
      </c>
      <c r="T1231">
        <v>280</v>
      </c>
      <c r="U1231">
        <v>210</v>
      </c>
      <c r="V1231" t="s">
        <v>42</v>
      </c>
      <c r="W1231" t="s">
        <v>107</v>
      </c>
      <c r="X1231" t="s">
        <v>108</v>
      </c>
      <c r="Y1231" t="s">
        <v>109</v>
      </c>
      <c r="AF1231" t="s">
        <v>13</v>
      </c>
      <c r="AG1231" t="str">
        <f>HYPERLINK("https://doi.org/10.1515/9781474432467")</f>
        <v>https://doi.org/10.1515/9781474432467</v>
      </c>
      <c r="AH1231" t="str">
        <f>HYPERLINK("http://www.degruyter.com/isbn/9781474432467")</f>
        <v>http://www.degruyter.com/isbn/9781474432467</v>
      </c>
      <c r="AI1231" t="s">
        <v>280</v>
      </c>
      <c r="AL1231" t="s">
        <v>47</v>
      </c>
      <c r="AM1231">
        <v>1</v>
      </c>
      <c r="AN1231" s="2">
        <v>9781474432436</v>
      </c>
    </row>
    <row r="1232" spans="1:40" x14ac:dyDescent="0.3">
      <c r="A1232" t="s">
        <v>6086</v>
      </c>
      <c r="B1232" t="s">
        <v>1</v>
      </c>
      <c r="C1232" t="s">
        <v>6087</v>
      </c>
      <c r="D1232" t="s">
        <v>6088</v>
      </c>
      <c r="E1232" t="s">
        <v>6089</v>
      </c>
      <c r="F1232" t="s">
        <v>5</v>
      </c>
      <c r="G1232" t="s">
        <v>6</v>
      </c>
      <c r="L1232" t="s">
        <v>7</v>
      </c>
      <c r="M1232">
        <v>2010</v>
      </c>
      <c r="N1232" s="1">
        <v>44622</v>
      </c>
      <c r="O1232" t="s">
        <v>6090</v>
      </c>
      <c r="P1232">
        <v>1</v>
      </c>
      <c r="S1232">
        <v>217.95</v>
      </c>
      <c r="T1232">
        <v>250</v>
      </c>
      <c r="U1232">
        <v>190</v>
      </c>
      <c r="V1232" t="s">
        <v>268</v>
      </c>
      <c r="W1232" t="s">
        <v>269</v>
      </c>
      <c r="X1232" t="s">
        <v>269</v>
      </c>
      <c r="Y1232" t="s">
        <v>6091</v>
      </c>
      <c r="AF1232" t="s">
        <v>13</v>
      </c>
      <c r="AG1232" t="str">
        <f>HYPERLINK("https://doi.org/10.1515/9780748698523")</f>
        <v>https://doi.org/10.1515/9780748698523</v>
      </c>
      <c r="AH1232" t="str">
        <f>HYPERLINK("http://www.degruyter.com/isbn/9780748698523")</f>
        <v>http://www.degruyter.com/isbn/9780748698523</v>
      </c>
      <c r="AI1232" t="s">
        <v>6092</v>
      </c>
      <c r="AL1232" t="s">
        <v>272</v>
      </c>
      <c r="AM1232">
        <v>1</v>
      </c>
      <c r="AN1232" s="2">
        <v>9781845860936</v>
      </c>
    </row>
    <row r="1233" spans="1:40" x14ac:dyDescent="0.3">
      <c r="A1233" t="s">
        <v>6093</v>
      </c>
      <c r="B1233" t="s">
        <v>1</v>
      </c>
      <c r="C1233" t="s">
        <v>6094</v>
      </c>
      <c r="D1233" t="s">
        <v>6095</v>
      </c>
      <c r="E1233" t="s">
        <v>6096</v>
      </c>
      <c r="F1233" t="s">
        <v>5</v>
      </c>
      <c r="G1233" t="s">
        <v>6</v>
      </c>
      <c r="L1233" t="s">
        <v>7</v>
      </c>
      <c r="M1233">
        <v>2020</v>
      </c>
      <c r="N1233" s="1">
        <v>44644</v>
      </c>
      <c r="O1233" t="s">
        <v>6097</v>
      </c>
      <c r="P1233">
        <v>1</v>
      </c>
      <c r="S1233">
        <v>227.95</v>
      </c>
      <c r="T1233">
        <v>260</v>
      </c>
      <c r="U1233">
        <v>200</v>
      </c>
      <c r="V1233" t="s">
        <v>42</v>
      </c>
      <c r="W1233" t="s">
        <v>107</v>
      </c>
      <c r="X1233" t="s">
        <v>108</v>
      </c>
      <c r="Y1233" t="s">
        <v>221</v>
      </c>
      <c r="AF1233" t="s">
        <v>13</v>
      </c>
      <c r="AG1233" t="str">
        <f>HYPERLINK("https://doi.org/10.1515/9781474423885")</f>
        <v>https://doi.org/10.1515/9781474423885</v>
      </c>
      <c r="AH1233" t="str">
        <f>HYPERLINK("http://www.degruyter.com/isbn/9781474423885")</f>
        <v>http://www.degruyter.com/isbn/9781474423885</v>
      </c>
      <c r="AI1233" t="s">
        <v>14</v>
      </c>
      <c r="AL1233" t="s">
        <v>47</v>
      </c>
      <c r="AM1233">
        <v>1</v>
      </c>
      <c r="AN1233" s="2">
        <v>9781474423878</v>
      </c>
    </row>
    <row r="1234" spans="1:40" x14ac:dyDescent="0.3">
      <c r="A1234" t="s">
        <v>6098</v>
      </c>
      <c r="B1234" t="s">
        <v>1</v>
      </c>
      <c r="C1234" t="s">
        <v>6099</v>
      </c>
      <c r="E1234" t="s">
        <v>6100</v>
      </c>
      <c r="F1234" t="s">
        <v>5</v>
      </c>
      <c r="G1234" t="s">
        <v>6</v>
      </c>
      <c r="L1234" t="s">
        <v>7</v>
      </c>
      <c r="M1234">
        <v>2001</v>
      </c>
      <c r="N1234" s="1">
        <v>44607</v>
      </c>
      <c r="O1234" t="s">
        <v>6101</v>
      </c>
      <c r="P1234">
        <v>1</v>
      </c>
      <c r="S1234">
        <v>217.95</v>
      </c>
      <c r="T1234">
        <v>250</v>
      </c>
      <c r="U1234">
        <v>190</v>
      </c>
      <c r="V1234" t="s">
        <v>79</v>
      </c>
      <c r="W1234" t="s">
        <v>123</v>
      </c>
      <c r="X1234" t="s">
        <v>123</v>
      </c>
      <c r="Y1234" t="s">
        <v>124</v>
      </c>
      <c r="AF1234" t="s">
        <v>13</v>
      </c>
      <c r="AG1234" t="str">
        <f>HYPERLINK("https://doi.org/10.1515/9781474472784")</f>
        <v>https://doi.org/10.1515/9781474472784</v>
      </c>
      <c r="AH1234" t="str">
        <f>HYPERLINK("http://www.degruyter.com/isbn/9781474472784")</f>
        <v>http://www.degruyter.com/isbn/9781474472784</v>
      </c>
      <c r="AI1234" t="s">
        <v>68</v>
      </c>
      <c r="AL1234" t="s">
        <v>83</v>
      </c>
      <c r="AM1234">
        <v>1</v>
      </c>
      <c r="AN1234" s="2">
        <v>9780748611089</v>
      </c>
    </row>
    <row r="1235" spans="1:40" x14ac:dyDescent="0.3">
      <c r="A1235" t="s">
        <v>6102</v>
      </c>
      <c r="B1235" t="s">
        <v>1</v>
      </c>
      <c r="C1235" t="s">
        <v>6103</v>
      </c>
      <c r="D1235" t="s">
        <v>6104</v>
      </c>
      <c r="E1235" t="s">
        <v>6105</v>
      </c>
      <c r="F1235" t="s">
        <v>5</v>
      </c>
      <c r="G1235" t="s">
        <v>6</v>
      </c>
      <c r="L1235" t="s">
        <v>7</v>
      </c>
      <c r="M1235">
        <v>2017</v>
      </c>
      <c r="N1235" s="1">
        <v>42914</v>
      </c>
      <c r="O1235" t="s">
        <v>6106</v>
      </c>
      <c r="P1235">
        <v>1</v>
      </c>
      <c r="S1235">
        <v>217.95</v>
      </c>
      <c r="T1235">
        <v>250</v>
      </c>
      <c r="U1235">
        <v>190</v>
      </c>
      <c r="V1235" t="s">
        <v>42</v>
      </c>
      <c r="W1235" t="s">
        <v>116</v>
      </c>
      <c r="X1235" t="s">
        <v>116</v>
      </c>
      <c r="Y1235" t="s">
        <v>117</v>
      </c>
      <c r="AF1235" t="s">
        <v>13</v>
      </c>
      <c r="AG1235" t="str">
        <f>HYPERLINK("https://doi.org/10.1515/9781474424721?locatt=mode:legacy")</f>
        <v>https://doi.org/10.1515/9781474424721?locatt=mode:legacy</v>
      </c>
      <c r="AH1235" t="str">
        <f>HYPERLINK("http://www.degruyter.com/isbn/9781474424721")</f>
        <v>http://www.degruyter.com/isbn/9781474424721</v>
      </c>
      <c r="AI1235" t="s">
        <v>222</v>
      </c>
      <c r="AL1235" t="s">
        <v>47</v>
      </c>
      <c r="AM1235">
        <v>1</v>
      </c>
      <c r="AN1235" s="2">
        <v>9781474424714</v>
      </c>
    </row>
    <row r="1236" spans="1:40" x14ac:dyDescent="0.3">
      <c r="A1236" t="s">
        <v>6107</v>
      </c>
      <c r="B1236" t="s">
        <v>1</v>
      </c>
      <c r="C1236" t="s">
        <v>6108</v>
      </c>
      <c r="E1236" t="s">
        <v>6109</v>
      </c>
      <c r="F1236" t="s">
        <v>5</v>
      </c>
      <c r="G1236" t="s">
        <v>6</v>
      </c>
      <c r="L1236" t="s">
        <v>7</v>
      </c>
      <c r="M1236">
        <v>2011</v>
      </c>
      <c r="N1236" s="1">
        <v>40655</v>
      </c>
      <c r="O1236" t="s">
        <v>6110</v>
      </c>
      <c r="P1236">
        <v>1</v>
      </c>
      <c r="S1236">
        <v>243.95</v>
      </c>
      <c r="T1236">
        <v>280</v>
      </c>
      <c r="U1236">
        <v>210</v>
      </c>
      <c r="V1236" t="s">
        <v>98</v>
      </c>
      <c r="W1236" t="s">
        <v>2283</v>
      </c>
      <c r="X1236" t="s">
        <v>2694</v>
      </c>
      <c r="Y1236" t="s">
        <v>5248</v>
      </c>
      <c r="AF1236" t="s">
        <v>13</v>
      </c>
      <c r="AG1236" t="str">
        <f>HYPERLINK("https://doi.org/10.1515/9780748636532")</f>
        <v>https://doi.org/10.1515/9780748636532</v>
      </c>
      <c r="AH1236" t="str">
        <f>HYPERLINK("http://www.degruyter.com/isbn/9780748636532")</f>
        <v>http://www.degruyter.com/isbn/9780748636532</v>
      </c>
      <c r="AI1236" t="s">
        <v>68</v>
      </c>
      <c r="AL1236" t="s">
        <v>102</v>
      </c>
      <c r="AM1236">
        <v>1</v>
      </c>
      <c r="AN1236" s="2">
        <v>9780748636518</v>
      </c>
    </row>
    <row r="1237" spans="1:40" x14ac:dyDescent="0.3">
      <c r="A1237" t="s">
        <v>6111</v>
      </c>
      <c r="B1237" t="s">
        <v>1</v>
      </c>
      <c r="C1237" t="s">
        <v>6112</v>
      </c>
      <c r="E1237" t="s">
        <v>6113</v>
      </c>
      <c r="F1237" t="s">
        <v>5</v>
      </c>
      <c r="G1237" t="s">
        <v>6</v>
      </c>
      <c r="L1237" t="s">
        <v>7</v>
      </c>
      <c r="M1237">
        <v>2020</v>
      </c>
      <c r="N1237" s="1">
        <v>44656</v>
      </c>
      <c r="O1237" t="s">
        <v>6114</v>
      </c>
      <c r="P1237">
        <v>1</v>
      </c>
      <c r="S1237">
        <v>417.95</v>
      </c>
      <c r="T1237">
        <v>480</v>
      </c>
      <c r="U1237">
        <v>370</v>
      </c>
      <c r="V1237" t="s">
        <v>847</v>
      </c>
      <c r="W1237" t="s">
        <v>848</v>
      </c>
      <c r="X1237" t="s">
        <v>849</v>
      </c>
      <c r="Y1237" t="s">
        <v>850</v>
      </c>
      <c r="AF1237" t="s">
        <v>13</v>
      </c>
      <c r="AG1237" t="str">
        <f>HYPERLINK("https://doi.org/10.1515/9781474455282")</f>
        <v>https://doi.org/10.1515/9781474455282</v>
      </c>
      <c r="AH1237" t="str">
        <f>HYPERLINK("http://www.degruyter.com/isbn/9781474455282")</f>
        <v>http://www.degruyter.com/isbn/9781474455282</v>
      </c>
      <c r="AI1237" t="s">
        <v>3672</v>
      </c>
      <c r="AL1237" t="s">
        <v>1070</v>
      </c>
      <c r="AM1237">
        <v>1</v>
      </c>
      <c r="AN1237" s="2">
        <v>9781474455268</v>
      </c>
    </row>
    <row r="1238" spans="1:40" x14ac:dyDescent="0.3">
      <c r="A1238" t="s">
        <v>6115</v>
      </c>
      <c r="B1238" t="s">
        <v>1</v>
      </c>
      <c r="C1238" t="s">
        <v>6116</v>
      </c>
      <c r="D1238" t="s">
        <v>27</v>
      </c>
      <c r="E1238" t="s">
        <v>6117</v>
      </c>
      <c r="F1238" t="s">
        <v>5</v>
      </c>
      <c r="G1238" t="s">
        <v>6</v>
      </c>
      <c r="L1238" t="s">
        <v>7</v>
      </c>
      <c r="M1238">
        <v>2000</v>
      </c>
      <c r="N1238" s="1">
        <v>44607</v>
      </c>
      <c r="O1238" t="s">
        <v>6118</v>
      </c>
      <c r="P1238">
        <v>1</v>
      </c>
      <c r="S1238">
        <v>217.95</v>
      </c>
      <c r="T1238">
        <v>250</v>
      </c>
      <c r="U1238">
        <v>190</v>
      </c>
      <c r="V1238" t="s">
        <v>58</v>
      </c>
      <c r="W1238" t="s">
        <v>59</v>
      </c>
      <c r="X1238" t="s">
        <v>60</v>
      </c>
      <c r="Y1238" t="s">
        <v>145</v>
      </c>
      <c r="AF1238" t="s">
        <v>13</v>
      </c>
      <c r="AG1238" t="str">
        <f>HYPERLINK("https://doi.org/10.1515/9781474467926")</f>
        <v>https://doi.org/10.1515/9781474467926</v>
      </c>
      <c r="AH1238" t="str">
        <f>HYPERLINK("http://www.degruyter.com/isbn/9781474467926")</f>
        <v>http://www.degruyter.com/isbn/9781474467926</v>
      </c>
      <c r="AI1238" t="s">
        <v>68</v>
      </c>
      <c r="AJ1238" t="s">
        <v>35</v>
      </c>
      <c r="AL1238" t="s">
        <v>155</v>
      </c>
      <c r="AM1238">
        <v>1</v>
      </c>
      <c r="AN1238" s="2">
        <v>9780748612475</v>
      </c>
    </row>
    <row r="1239" spans="1:40" x14ac:dyDescent="0.3">
      <c r="A1239" t="s">
        <v>6119</v>
      </c>
      <c r="B1239" t="s">
        <v>1</v>
      </c>
      <c r="C1239" t="s">
        <v>6120</v>
      </c>
      <c r="E1239" t="s">
        <v>6121</v>
      </c>
      <c r="F1239" t="s">
        <v>5</v>
      </c>
      <c r="G1239" t="s">
        <v>6</v>
      </c>
      <c r="L1239" t="s">
        <v>7</v>
      </c>
      <c r="M1239">
        <v>2017</v>
      </c>
      <c r="N1239" s="1">
        <v>42914</v>
      </c>
      <c r="O1239" t="s">
        <v>6122</v>
      </c>
      <c r="P1239">
        <v>1</v>
      </c>
      <c r="S1239">
        <v>227.95</v>
      </c>
      <c r="T1239">
        <v>260</v>
      </c>
      <c r="U1239">
        <v>200</v>
      </c>
      <c r="V1239" t="s">
        <v>42</v>
      </c>
      <c r="W1239" t="s">
        <v>290</v>
      </c>
      <c r="X1239" t="s">
        <v>290</v>
      </c>
      <c r="Y1239" t="s">
        <v>515</v>
      </c>
      <c r="AF1239" t="s">
        <v>13</v>
      </c>
      <c r="AG1239" t="str">
        <f>HYPERLINK("https://doi.org/10.1515/9781474427432?locatt=mode:legacy")</f>
        <v>https://doi.org/10.1515/9781474427432?locatt=mode:legacy</v>
      </c>
      <c r="AH1239" t="str">
        <f>HYPERLINK("http://www.degruyter.com/isbn/9781474427432")</f>
        <v>http://www.degruyter.com/isbn/9781474427432</v>
      </c>
      <c r="AI1239" t="s">
        <v>222</v>
      </c>
      <c r="AL1239" t="s">
        <v>47</v>
      </c>
      <c r="AM1239">
        <v>1</v>
      </c>
      <c r="AN1239" s="2">
        <v>9781474427418</v>
      </c>
    </row>
    <row r="1240" spans="1:40" x14ac:dyDescent="0.3">
      <c r="A1240" t="s">
        <v>6123</v>
      </c>
      <c r="B1240" t="s">
        <v>1</v>
      </c>
      <c r="C1240" t="s">
        <v>6124</v>
      </c>
      <c r="E1240" t="s">
        <v>6125</v>
      </c>
      <c r="F1240" t="s">
        <v>5</v>
      </c>
      <c r="G1240" t="s">
        <v>6</v>
      </c>
      <c r="L1240" t="s">
        <v>7</v>
      </c>
      <c r="M1240">
        <v>2009</v>
      </c>
      <c r="N1240" s="1">
        <v>44607</v>
      </c>
      <c r="O1240" t="s">
        <v>6126</v>
      </c>
      <c r="P1240">
        <v>1</v>
      </c>
      <c r="S1240">
        <v>217.95</v>
      </c>
      <c r="T1240">
        <v>250</v>
      </c>
      <c r="U1240">
        <v>190</v>
      </c>
      <c r="V1240" t="s">
        <v>268</v>
      </c>
      <c r="W1240" t="s">
        <v>269</v>
      </c>
      <c r="X1240" t="s">
        <v>269</v>
      </c>
      <c r="Y1240" t="s">
        <v>411</v>
      </c>
      <c r="AF1240" t="s">
        <v>13</v>
      </c>
      <c r="AG1240" t="str">
        <f>HYPERLINK("https://doi.org/10.1515/9781474470551")</f>
        <v>https://doi.org/10.1515/9781474470551</v>
      </c>
      <c r="AH1240" t="str">
        <f>HYPERLINK("http://www.degruyter.com/isbn/9781474470551")</f>
        <v>http://www.degruyter.com/isbn/9781474470551</v>
      </c>
      <c r="AI1240" t="s">
        <v>6127</v>
      </c>
      <c r="AL1240" t="s">
        <v>272</v>
      </c>
      <c r="AM1240">
        <v>1</v>
      </c>
      <c r="AN1240" s="2">
        <v>9781845860660</v>
      </c>
    </row>
    <row r="1241" spans="1:40" x14ac:dyDescent="0.3">
      <c r="A1241" t="s">
        <v>6128</v>
      </c>
      <c r="B1241" t="s">
        <v>1</v>
      </c>
      <c r="C1241" t="s">
        <v>6129</v>
      </c>
      <c r="E1241" t="s">
        <v>6130</v>
      </c>
      <c r="F1241" t="s">
        <v>5</v>
      </c>
      <c r="G1241" t="s">
        <v>6</v>
      </c>
      <c r="L1241" t="s">
        <v>7</v>
      </c>
      <c r="M1241">
        <v>2019</v>
      </c>
      <c r="N1241" s="1">
        <v>44656</v>
      </c>
      <c r="O1241" t="s">
        <v>6131</v>
      </c>
      <c r="P1241">
        <v>1</v>
      </c>
      <c r="S1241">
        <v>279.95</v>
      </c>
      <c r="T1241">
        <v>320</v>
      </c>
      <c r="U1241">
        <v>240</v>
      </c>
      <c r="V1241" t="s">
        <v>79</v>
      </c>
      <c r="W1241" t="s">
        <v>80</v>
      </c>
      <c r="X1241" t="s">
        <v>80</v>
      </c>
      <c r="Y1241" t="s">
        <v>81</v>
      </c>
      <c r="AF1241" t="s">
        <v>13</v>
      </c>
      <c r="AG1241" t="str">
        <f>HYPERLINK("https://doi.org/10.1515/9781474447300")</f>
        <v>https://doi.org/10.1515/9781474447300</v>
      </c>
      <c r="AH1241" t="str">
        <f>HYPERLINK("http://www.degruyter.com/isbn/9781474447300")</f>
        <v>http://www.degruyter.com/isbn/9781474447300</v>
      </c>
      <c r="AI1241" t="s">
        <v>280</v>
      </c>
      <c r="AL1241" t="s">
        <v>83</v>
      </c>
      <c r="AM1241">
        <v>1</v>
      </c>
      <c r="AN1241" s="2">
        <v>9781474447287</v>
      </c>
    </row>
    <row r="1242" spans="1:40" x14ac:dyDescent="0.3">
      <c r="A1242" t="s">
        <v>6132</v>
      </c>
      <c r="B1242" t="s">
        <v>1</v>
      </c>
      <c r="C1242" t="s">
        <v>6133</v>
      </c>
      <c r="D1242" t="s">
        <v>6134</v>
      </c>
      <c r="E1242" t="s">
        <v>6135</v>
      </c>
      <c r="F1242" t="s">
        <v>5</v>
      </c>
      <c r="G1242" t="s">
        <v>6</v>
      </c>
      <c r="L1242" t="s">
        <v>7</v>
      </c>
      <c r="M1242">
        <v>2008</v>
      </c>
      <c r="N1242" s="1">
        <v>39633</v>
      </c>
      <c r="O1242" t="s">
        <v>6136</v>
      </c>
      <c r="P1242">
        <v>1</v>
      </c>
      <c r="S1242">
        <v>217.95</v>
      </c>
      <c r="T1242">
        <v>250</v>
      </c>
      <c r="U1242">
        <v>190</v>
      </c>
      <c r="V1242" t="s">
        <v>42</v>
      </c>
      <c r="W1242" t="s">
        <v>116</v>
      </c>
      <c r="X1242" t="s">
        <v>116</v>
      </c>
      <c r="Y1242" t="s">
        <v>117</v>
      </c>
      <c r="AF1242" t="s">
        <v>13</v>
      </c>
      <c r="AG1242" t="str">
        <f>HYPERLINK("https://doi.org/10.1515/9780748633074?locatt=mode:legacy")</f>
        <v>https://doi.org/10.1515/9780748633074?locatt=mode:legacy</v>
      </c>
      <c r="AH1242" t="str">
        <f>HYPERLINK("http://www.degruyter.com/isbn/9780748633074")</f>
        <v>http://www.degruyter.com/isbn/9780748633074</v>
      </c>
      <c r="AI1242" t="s">
        <v>68</v>
      </c>
      <c r="AL1242" t="s">
        <v>47</v>
      </c>
      <c r="AM1242">
        <v>1</v>
      </c>
      <c r="AN1242" s="2">
        <v>9780748633067</v>
      </c>
    </row>
    <row r="1243" spans="1:40" x14ac:dyDescent="0.3">
      <c r="A1243" t="s">
        <v>6137</v>
      </c>
      <c r="B1243" t="s">
        <v>1</v>
      </c>
      <c r="C1243" t="s">
        <v>6138</v>
      </c>
      <c r="D1243" t="s">
        <v>6139</v>
      </c>
      <c r="E1243" t="s">
        <v>6140</v>
      </c>
      <c r="F1243" t="s">
        <v>5</v>
      </c>
      <c r="G1243" t="s">
        <v>6</v>
      </c>
      <c r="L1243" t="s">
        <v>7</v>
      </c>
      <c r="M1243">
        <v>2011</v>
      </c>
      <c r="N1243" s="1">
        <v>40755</v>
      </c>
      <c r="O1243" t="s">
        <v>6141</v>
      </c>
      <c r="P1243">
        <v>1</v>
      </c>
      <c r="S1243">
        <v>217.95</v>
      </c>
      <c r="T1243">
        <v>250</v>
      </c>
      <c r="U1243">
        <v>190</v>
      </c>
      <c r="V1243" t="s">
        <v>20</v>
      </c>
      <c r="W1243" t="s">
        <v>21</v>
      </c>
      <c r="X1243" t="s">
        <v>458</v>
      </c>
      <c r="Y1243" t="s">
        <v>459</v>
      </c>
      <c r="AF1243" t="s">
        <v>13</v>
      </c>
      <c r="AG1243" t="str">
        <f>HYPERLINK("https://doi.org/10.1515/9780748647552?locatt=mode:legacy")</f>
        <v>https://doi.org/10.1515/9780748647552?locatt=mode:legacy</v>
      </c>
      <c r="AH1243" t="str">
        <f>HYPERLINK("http://www.degruyter.com/isbn/9780748647552")</f>
        <v>http://www.degruyter.com/isbn/9780748647552</v>
      </c>
      <c r="AI1243" t="s">
        <v>68</v>
      </c>
      <c r="AL1243" t="s">
        <v>15</v>
      </c>
      <c r="AM1243">
        <v>1</v>
      </c>
      <c r="AN1243" s="2">
        <v>9780748641871</v>
      </c>
    </row>
    <row r="1244" spans="1:40" x14ac:dyDescent="0.3">
      <c r="A1244" t="s">
        <v>6142</v>
      </c>
      <c r="B1244" t="s">
        <v>1</v>
      </c>
      <c r="C1244" t="s">
        <v>6143</v>
      </c>
      <c r="E1244" t="s">
        <v>6144</v>
      </c>
      <c r="F1244" t="s">
        <v>5</v>
      </c>
      <c r="G1244" t="s">
        <v>6</v>
      </c>
      <c r="L1244" t="s">
        <v>7</v>
      </c>
      <c r="M1244">
        <v>1996</v>
      </c>
      <c r="N1244" s="1">
        <v>44592</v>
      </c>
      <c r="O1244" t="s">
        <v>2598</v>
      </c>
      <c r="P1244">
        <v>1</v>
      </c>
      <c r="S1244">
        <v>217.95</v>
      </c>
      <c r="T1244">
        <v>250</v>
      </c>
      <c r="U1244">
        <v>190</v>
      </c>
      <c r="V1244" t="s">
        <v>79</v>
      </c>
      <c r="W1244" t="s">
        <v>227</v>
      </c>
      <c r="X1244" t="s">
        <v>2599</v>
      </c>
      <c r="Y1244" t="s">
        <v>2600</v>
      </c>
      <c r="AF1244" t="s">
        <v>13</v>
      </c>
      <c r="AG1244" t="str">
        <f>HYPERLINK("https://doi.org/10.1515/9781474470711")</f>
        <v>https://doi.org/10.1515/9781474470711</v>
      </c>
      <c r="AH1244" t="str">
        <f>HYPERLINK("http://www.degruyter.com/isbn/9781474470711")</f>
        <v>http://www.degruyter.com/isbn/9781474470711</v>
      </c>
      <c r="AI1244" t="s">
        <v>24</v>
      </c>
      <c r="AL1244" t="s">
        <v>83</v>
      </c>
      <c r="AM1244">
        <v>1</v>
      </c>
      <c r="AN1244" s="2">
        <v>9780748607907</v>
      </c>
    </row>
    <row r="1245" spans="1:40" x14ac:dyDescent="0.3">
      <c r="A1245" t="s">
        <v>6145</v>
      </c>
      <c r="B1245" t="s">
        <v>1</v>
      </c>
      <c r="C1245" t="s">
        <v>6146</v>
      </c>
      <c r="D1245" t="s">
        <v>6147</v>
      </c>
      <c r="E1245" t="s">
        <v>6148</v>
      </c>
      <c r="F1245" t="s">
        <v>5</v>
      </c>
      <c r="G1245" t="s">
        <v>6</v>
      </c>
      <c r="L1245" t="s">
        <v>7</v>
      </c>
      <c r="M1245">
        <v>2018</v>
      </c>
      <c r="N1245" s="1">
        <v>44644</v>
      </c>
      <c r="O1245" t="s">
        <v>6149</v>
      </c>
      <c r="P1245">
        <v>1</v>
      </c>
      <c r="S1245">
        <v>217.95</v>
      </c>
      <c r="T1245">
        <v>250</v>
      </c>
      <c r="U1245">
        <v>190</v>
      </c>
      <c r="V1245" t="s">
        <v>20</v>
      </c>
      <c r="W1245" t="s">
        <v>21</v>
      </c>
      <c r="X1245" t="s">
        <v>839</v>
      </c>
      <c r="Y1245" t="s">
        <v>1475</v>
      </c>
      <c r="AF1245" t="s">
        <v>13</v>
      </c>
      <c r="AG1245" t="str">
        <f>HYPERLINK("https://doi.org/10.1515/9781474433082?locatt=mode:legacy")</f>
        <v>https://doi.org/10.1515/9781474433082?locatt=mode:legacy</v>
      </c>
      <c r="AH1245" t="str">
        <f>HYPERLINK("http://www.degruyter.com/isbn/9781474433082")</f>
        <v>http://www.degruyter.com/isbn/9781474433082</v>
      </c>
      <c r="AI1245" t="s">
        <v>46</v>
      </c>
      <c r="AJ1245" t="s">
        <v>35</v>
      </c>
      <c r="AL1245" t="s">
        <v>1346</v>
      </c>
      <c r="AM1245">
        <v>1</v>
      </c>
      <c r="AN1245" s="2">
        <v>9781474433068</v>
      </c>
    </row>
    <row r="1246" spans="1:40" x14ac:dyDescent="0.3">
      <c r="A1246" t="s">
        <v>6150</v>
      </c>
      <c r="B1246" t="s">
        <v>1</v>
      </c>
      <c r="C1246" t="s">
        <v>6151</v>
      </c>
      <c r="D1246" t="s">
        <v>6152</v>
      </c>
      <c r="E1246" t="s">
        <v>6153</v>
      </c>
      <c r="F1246" t="s">
        <v>5</v>
      </c>
      <c r="G1246" t="s">
        <v>6</v>
      </c>
      <c r="L1246" t="s">
        <v>7</v>
      </c>
      <c r="M1246">
        <v>2016</v>
      </c>
      <c r="N1246" s="1">
        <v>42633</v>
      </c>
      <c r="O1246" t="s">
        <v>6154</v>
      </c>
      <c r="P1246">
        <v>1</v>
      </c>
      <c r="S1246">
        <v>227.95</v>
      </c>
      <c r="T1246">
        <v>260</v>
      </c>
      <c r="U1246">
        <v>200</v>
      </c>
      <c r="V1246" t="s">
        <v>58</v>
      </c>
      <c r="W1246" t="s">
        <v>59</v>
      </c>
      <c r="X1246" t="s">
        <v>278</v>
      </c>
      <c r="Y1246" t="s">
        <v>932</v>
      </c>
      <c r="AF1246" t="s">
        <v>13</v>
      </c>
      <c r="AG1246" t="str">
        <f>HYPERLINK("https://doi.org/10.1515/9781474413459")</f>
        <v>https://doi.org/10.1515/9781474413459</v>
      </c>
      <c r="AH1246" t="str">
        <f>HYPERLINK("http://www.degruyter.com/isbn/9781474413459")</f>
        <v>http://www.degruyter.com/isbn/9781474413459</v>
      </c>
      <c r="AI1246" t="s">
        <v>180</v>
      </c>
      <c r="AL1246" t="s">
        <v>62</v>
      </c>
      <c r="AM1246">
        <v>1</v>
      </c>
      <c r="AN1246" s="2">
        <v>9781474413442</v>
      </c>
    </row>
    <row r="1247" spans="1:40" x14ac:dyDescent="0.3">
      <c r="A1247" t="s">
        <v>6155</v>
      </c>
      <c r="B1247" t="s">
        <v>1</v>
      </c>
      <c r="C1247" t="s">
        <v>6156</v>
      </c>
      <c r="D1247" t="s">
        <v>6157</v>
      </c>
      <c r="E1247" t="s">
        <v>6158</v>
      </c>
      <c r="F1247" t="s">
        <v>5</v>
      </c>
      <c r="G1247" t="s">
        <v>6</v>
      </c>
      <c r="L1247" t="s">
        <v>7</v>
      </c>
      <c r="M1247">
        <v>2017</v>
      </c>
      <c r="N1247" s="1">
        <v>42989</v>
      </c>
      <c r="O1247" t="s">
        <v>6159</v>
      </c>
      <c r="P1247">
        <v>1</v>
      </c>
      <c r="S1247">
        <v>253.95</v>
      </c>
      <c r="T1247">
        <v>290</v>
      </c>
      <c r="U1247">
        <v>220</v>
      </c>
      <c r="V1247" t="s">
        <v>42</v>
      </c>
      <c r="W1247" t="s">
        <v>43</v>
      </c>
      <c r="X1247" t="s">
        <v>44</v>
      </c>
      <c r="Y1247" t="s">
        <v>45</v>
      </c>
      <c r="AF1247" t="s">
        <v>13</v>
      </c>
      <c r="AG1247" t="str">
        <f>HYPERLINK("https://doi.org/10.1515/9781474418959")</f>
        <v>https://doi.org/10.1515/9781474418959</v>
      </c>
      <c r="AH1247" t="str">
        <f>HYPERLINK("http://www.degruyter.com/isbn/9781474418959")</f>
        <v>http://www.degruyter.com/isbn/9781474418959</v>
      </c>
      <c r="AI1247" t="s">
        <v>222</v>
      </c>
      <c r="AL1247" t="s">
        <v>47</v>
      </c>
      <c r="AM1247">
        <v>1</v>
      </c>
      <c r="AN1247" s="2">
        <v>9781474418935</v>
      </c>
    </row>
    <row r="1248" spans="1:40" x14ac:dyDescent="0.3">
      <c r="A1248" t="s">
        <v>6160</v>
      </c>
      <c r="B1248" t="s">
        <v>1</v>
      </c>
      <c r="C1248" t="s">
        <v>6161</v>
      </c>
      <c r="E1248" t="s">
        <v>6162</v>
      </c>
      <c r="F1248" t="s">
        <v>5</v>
      </c>
      <c r="G1248" t="s">
        <v>6</v>
      </c>
      <c r="L1248" t="s">
        <v>7</v>
      </c>
      <c r="M1248">
        <v>2008</v>
      </c>
      <c r="N1248" s="1">
        <v>39623</v>
      </c>
      <c r="O1248" t="s">
        <v>970</v>
      </c>
      <c r="P1248">
        <v>1</v>
      </c>
      <c r="S1248">
        <v>217.95</v>
      </c>
      <c r="T1248">
        <v>250</v>
      </c>
      <c r="U1248">
        <v>190</v>
      </c>
      <c r="V1248" t="s">
        <v>42</v>
      </c>
      <c r="W1248" t="s">
        <v>43</v>
      </c>
      <c r="X1248" t="s">
        <v>6163</v>
      </c>
      <c r="Y1248" t="s">
        <v>117</v>
      </c>
      <c r="AF1248" t="s">
        <v>13</v>
      </c>
      <c r="AG1248" t="str">
        <f>HYPERLINK("https://doi.org/10.1515/9780748635733")</f>
        <v>https://doi.org/10.1515/9780748635733</v>
      </c>
      <c r="AH1248" t="str">
        <f>HYPERLINK("http://www.degruyter.com/isbn/9780748635733")</f>
        <v>http://www.degruyter.com/isbn/9780748635733</v>
      </c>
      <c r="AI1248" t="s">
        <v>68</v>
      </c>
      <c r="AL1248" t="s">
        <v>47</v>
      </c>
      <c r="AM1248">
        <v>1</v>
      </c>
      <c r="AN1248" s="2">
        <v>9780748635719</v>
      </c>
    </row>
    <row r="1249" spans="1:40" x14ac:dyDescent="0.3">
      <c r="A1249" t="s">
        <v>6164</v>
      </c>
      <c r="B1249" t="s">
        <v>1</v>
      </c>
      <c r="C1249" t="s">
        <v>6165</v>
      </c>
      <c r="D1249" t="s">
        <v>6166</v>
      </c>
      <c r="E1249" t="s">
        <v>6167</v>
      </c>
      <c r="F1249" t="s">
        <v>5</v>
      </c>
      <c r="G1249" t="s">
        <v>6</v>
      </c>
      <c r="L1249" t="s">
        <v>7</v>
      </c>
      <c r="M1249">
        <v>2012</v>
      </c>
      <c r="N1249" s="1">
        <v>41094</v>
      </c>
      <c r="O1249" t="s">
        <v>6168</v>
      </c>
      <c r="P1249">
        <v>1</v>
      </c>
      <c r="S1249">
        <v>191.95</v>
      </c>
      <c r="T1249">
        <v>220</v>
      </c>
      <c r="U1249">
        <v>170</v>
      </c>
      <c r="V1249" t="s">
        <v>42</v>
      </c>
      <c r="W1249" t="s">
        <v>107</v>
      </c>
      <c r="X1249" t="s">
        <v>108</v>
      </c>
      <c r="Y1249" t="s">
        <v>109</v>
      </c>
      <c r="AF1249" t="s">
        <v>13</v>
      </c>
      <c r="AG1249" t="str">
        <f>HYPERLINK("https://doi.org/10.1515/9780748656189")</f>
        <v>https://doi.org/10.1515/9780748656189</v>
      </c>
      <c r="AH1249" t="str">
        <f>HYPERLINK("http://www.degruyter.com/isbn/9780748656189")</f>
        <v>http://www.degruyter.com/isbn/9780748656189</v>
      </c>
      <c r="AI1249" t="s">
        <v>68</v>
      </c>
      <c r="AL1249" t="s">
        <v>47</v>
      </c>
      <c r="AM1249">
        <v>1</v>
      </c>
      <c r="AN1249" s="2">
        <v>9780748656172</v>
      </c>
    </row>
    <row r="1250" spans="1:40" x14ac:dyDescent="0.3">
      <c r="A1250" t="s">
        <v>6169</v>
      </c>
      <c r="B1250" t="s">
        <v>1</v>
      </c>
      <c r="C1250" t="s">
        <v>6170</v>
      </c>
      <c r="E1250" t="s">
        <v>6171</v>
      </c>
      <c r="F1250" t="s">
        <v>5</v>
      </c>
      <c r="G1250" t="s">
        <v>6</v>
      </c>
      <c r="L1250" t="s">
        <v>7</v>
      </c>
      <c r="M1250">
        <v>2017</v>
      </c>
      <c r="N1250" s="1">
        <v>43062</v>
      </c>
      <c r="O1250" t="s">
        <v>6172</v>
      </c>
      <c r="P1250">
        <v>1</v>
      </c>
      <c r="S1250">
        <v>253.95</v>
      </c>
      <c r="T1250">
        <v>290</v>
      </c>
      <c r="U1250">
        <v>220</v>
      </c>
      <c r="V1250" t="s">
        <v>58</v>
      </c>
      <c r="W1250" t="s">
        <v>59</v>
      </c>
      <c r="X1250" t="s">
        <v>60</v>
      </c>
      <c r="Y1250" t="s">
        <v>169</v>
      </c>
      <c r="AF1250" t="s">
        <v>13</v>
      </c>
      <c r="AG1250" t="str">
        <f>HYPERLINK("https://doi.org/10.1515/9781474428255?locatt=mode:legacy")</f>
        <v>https://doi.org/10.1515/9781474428255?locatt=mode:legacy</v>
      </c>
      <c r="AH1250" t="str">
        <f>HYPERLINK("http://www.degruyter.com/isbn/9781474428255")</f>
        <v>http://www.degruyter.com/isbn/9781474428255</v>
      </c>
      <c r="AI1250" t="s">
        <v>222</v>
      </c>
      <c r="AL1250" t="s">
        <v>62</v>
      </c>
      <c r="AM1250">
        <v>1</v>
      </c>
      <c r="AN1250" s="2">
        <v>9781474428231</v>
      </c>
    </row>
    <row r="1251" spans="1:40" x14ac:dyDescent="0.3">
      <c r="A1251" t="s">
        <v>6173</v>
      </c>
      <c r="B1251" t="s">
        <v>1</v>
      </c>
      <c r="C1251" t="s">
        <v>6174</v>
      </c>
      <c r="D1251" t="s">
        <v>6175</v>
      </c>
      <c r="E1251" t="s">
        <v>6176</v>
      </c>
      <c r="F1251" t="s">
        <v>5</v>
      </c>
      <c r="G1251" t="s">
        <v>6</v>
      </c>
      <c r="L1251" t="s">
        <v>7</v>
      </c>
      <c r="M1251">
        <v>2018</v>
      </c>
      <c r="N1251" s="1">
        <v>44656</v>
      </c>
      <c r="O1251" t="s">
        <v>6177</v>
      </c>
      <c r="P1251">
        <v>1</v>
      </c>
      <c r="S1251">
        <v>253.95</v>
      </c>
      <c r="T1251">
        <v>290</v>
      </c>
      <c r="U1251">
        <v>220</v>
      </c>
      <c r="V1251" t="s">
        <v>98</v>
      </c>
      <c r="W1251" t="s">
        <v>99</v>
      </c>
      <c r="X1251" t="s">
        <v>386</v>
      </c>
      <c r="Y1251" t="s">
        <v>387</v>
      </c>
      <c r="AF1251" t="s">
        <v>13</v>
      </c>
      <c r="AG1251" t="str">
        <f>HYPERLINK("https://doi.org/10.1515/9781474429221")</f>
        <v>https://doi.org/10.1515/9781474429221</v>
      </c>
      <c r="AH1251" t="str">
        <f>HYPERLINK("http://www.degruyter.com/isbn/9781474429221")</f>
        <v>http://www.degruyter.com/isbn/9781474429221</v>
      </c>
      <c r="AI1251" t="s">
        <v>46</v>
      </c>
      <c r="AL1251" t="s">
        <v>102</v>
      </c>
      <c r="AM1251">
        <v>1</v>
      </c>
      <c r="AN1251" s="2">
        <v>9781474429207</v>
      </c>
    </row>
    <row r="1252" spans="1:40" x14ac:dyDescent="0.3">
      <c r="A1252" t="s">
        <v>6178</v>
      </c>
      <c r="B1252" t="s">
        <v>1</v>
      </c>
      <c r="C1252" t="s">
        <v>6179</v>
      </c>
      <c r="E1252" t="s">
        <v>6180</v>
      </c>
      <c r="F1252" t="s">
        <v>5</v>
      </c>
      <c r="G1252" t="s">
        <v>6</v>
      </c>
      <c r="L1252" t="s">
        <v>7</v>
      </c>
      <c r="M1252">
        <v>2014</v>
      </c>
      <c r="N1252" s="1">
        <v>41891</v>
      </c>
      <c r="O1252" t="s">
        <v>6181</v>
      </c>
      <c r="P1252">
        <v>1</v>
      </c>
      <c r="S1252">
        <v>253.95</v>
      </c>
      <c r="T1252">
        <v>290</v>
      </c>
      <c r="U1252">
        <v>220</v>
      </c>
      <c r="V1252" t="s">
        <v>89</v>
      </c>
      <c r="W1252" t="s">
        <v>90</v>
      </c>
      <c r="X1252" t="s">
        <v>91</v>
      </c>
      <c r="Y1252" t="s">
        <v>717</v>
      </c>
      <c r="AF1252" t="s">
        <v>13</v>
      </c>
      <c r="AG1252" t="str">
        <f>HYPERLINK("https://doi.org/10.1515/9780748696826")</f>
        <v>https://doi.org/10.1515/9780748696826</v>
      </c>
      <c r="AH1252" t="str">
        <f>HYPERLINK("http://www.degruyter.com/isbn/9780748696826")</f>
        <v>http://www.degruyter.com/isbn/9780748696826</v>
      </c>
      <c r="AI1252" t="s">
        <v>6182</v>
      </c>
      <c r="AL1252" t="s">
        <v>83</v>
      </c>
      <c r="AM1252">
        <v>1</v>
      </c>
      <c r="AN1252" s="2">
        <v>9780748696864</v>
      </c>
    </row>
    <row r="1253" spans="1:40" x14ac:dyDescent="0.3">
      <c r="A1253" t="s">
        <v>6183</v>
      </c>
      <c r="B1253" t="s">
        <v>1</v>
      </c>
      <c r="C1253" t="s">
        <v>6184</v>
      </c>
      <c r="E1253" t="s">
        <v>6185</v>
      </c>
      <c r="F1253" t="s">
        <v>5</v>
      </c>
      <c r="G1253" t="s">
        <v>6</v>
      </c>
      <c r="L1253" t="s">
        <v>7</v>
      </c>
      <c r="M1253">
        <v>2021</v>
      </c>
      <c r="N1253" s="1">
        <v>44644</v>
      </c>
      <c r="O1253" t="s">
        <v>6186</v>
      </c>
      <c r="P1253">
        <v>1</v>
      </c>
      <c r="Q1253" t="s">
        <v>6187</v>
      </c>
      <c r="S1253">
        <v>305.95</v>
      </c>
      <c r="T1253">
        <v>350</v>
      </c>
      <c r="U1253">
        <v>270</v>
      </c>
      <c r="V1253" t="s">
        <v>847</v>
      </c>
      <c r="W1253" t="s">
        <v>3102</v>
      </c>
      <c r="X1253" t="s">
        <v>3102</v>
      </c>
      <c r="Y1253" t="s">
        <v>6188</v>
      </c>
      <c r="AF1253" t="s">
        <v>13</v>
      </c>
      <c r="AG1253" t="str">
        <f>HYPERLINK("https://doi.org/10.1515/9781474482202")</f>
        <v>https://doi.org/10.1515/9781474482202</v>
      </c>
      <c r="AH1253" t="str">
        <f>HYPERLINK("http://www.degruyter.com/isbn/9781474482202")</f>
        <v>http://www.degruyter.com/isbn/9781474482202</v>
      </c>
      <c r="AI1253" t="s">
        <v>851</v>
      </c>
      <c r="AL1253" t="s">
        <v>1070</v>
      </c>
      <c r="AM1253">
        <v>1</v>
      </c>
      <c r="AN1253" s="2">
        <v>9781474482189</v>
      </c>
    </row>
    <row r="1254" spans="1:40" x14ac:dyDescent="0.3">
      <c r="A1254" t="s">
        <v>6189</v>
      </c>
      <c r="B1254" t="s">
        <v>1</v>
      </c>
      <c r="C1254" t="s">
        <v>6190</v>
      </c>
      <c r="D1254" t="s">
        <v>6191</v>
      </c>
      <c r="E1254" t="s">
        <v>6192</v>
      </c>
      <c r="F1254" t="s">
        <v>5</v>
      </c>
      <c r="G1254" t="s">
        <v>6</v>
      </c>
      <c r="L1254" t="s">
        <v>7</v>
      </c>
      <c r="M1254">
        <v>2013</v>
      </c>
      <c r="N1254" s="1">
        <v>41417</v>
      </c>
      <c r="O1254" t="s">
        <v>6193</v>
      </c>
      <c r="P1254">
        <v>1</v>
      </c>
      <c r="S1254">
        <v>253.95</v>
      </c>
      <c r="T1254">
        <v>290</v>
      </c>
      <c r="U1254">
        <v>220</v>
      </c>
      <c r="V1254" t="s">
        <v>79</v>
      </c>
      <c r="W1254" t="s">
        <v>123</v>
      </c>
      <c r="X1254" t="s">
        <v>123</v>
      </c>
      <c r="Y1254" t="s">
        <v>124</v>
      </c>
      <c r="AF1254" t="s">
        <v>13</v>
      </c>
      <c r="AG1254" t="str">
        <f>HYPERLINK("https://doi.org/10.1515/9780748677726")</f>
        <v>https://doi.org/10.1515/9780748677726</v>
      </c>
      <c r="AH1254" t="str">
        <f>HYPERLINK("http://www.degruyter.com/isbn/9780748677726")</f>
        <v>http://www.degruyter.com/isbn/9780748677726</v>
      </c>
      <c r="AI1254" t="s">
        <v>3007</v>
      </c>
      <c r="AL1254" t="s">
        <v>83</v>
      </c>
      <c r="AM1254">
        <v>1</v>
      </c>
      <c r="AN1254" s="2">
        <v>9780748645725</v>
      </c>
    </row>
    <row r="1255" spans="1:40" x14ac:dyDescent="0.3">
      <c r="A1255" t="s">
        <v>6194</v>
      </c>
      <c r="B1255" t="s">
        <v>1</v>
      </c>
      <c r="C1255" t="s">
        <v>6195</v>
      </c>
      <c r="E1255" t="s">
        <v>6196</v>
      </c>
      <c r="F1255" t="s">
        <v>5</v>
      </c>
      <c r="G1255" t="s">
        <v>6</v>
      </c>
      <c r="L1255" t="s">
        <v>7</v>
      </c>
      <c r="M1255">
        <v>2020</v>
      </c>
      <c r="N1255" s="1">
        <v>44644</v>
      </c>
      <c r="O1255" t="s">
        <v>6197</v>
      </c>
      <c r="P1255">
        <v>1</v>
      </c>
      <c r="S1255">
        <v>217.95</v>
      </c>
      <c r="T1255">
        <v>250</v>
      </c>
      <c r="U1255">
        <v>190</v>
      </c>
      <c r="V1255" t="s">
        <v>42</v>
      </c>
      <c r="W1255" t="s">
        <v>290</v>
      </c>
      <c r="X1255" t="s">
        <v>290</v>
      </c>
      <c r="Y1255" t="s">
        <v>515</v>
      </c>
      <c r="AF1255" t="s">
        <v>13</v>
      </c>
      <c r="AG1255" t="str">
        <f>HYPERLINK("https://doi.org/10.1515/9781474460484")</f>
        <v>https://doi.org/10.1515/9781474460484</v>
      </c>
      <c r="AH1255" t="str">
        <f>HYPERLINK("http://www.degruyter.com/isbn/9781474460484")</f>
        <v>http://www.degruyter.com/isbn/9781474460484</v>
      </c>
      <c r="AI1255" t="s">
        <v>14</v>
      </c>
      <c r="AL1255" t="s">
        <v>47</v>
      </c>
      <c r="AM1255">
        <v>1</v>
      </c>
      <c r="AN1255" s="2">
        <v>9781474460460</v>
      </c>
    </row>
    <row r="1256" spans="1:40" x14ac:dyDescent="0.3">
      <c r="A1256" t="s">
        <v>6198</v>
      </c>
      <c r="B1256" t="s">
        <v>1</v>
      </c>
      <c r="C1256" t="s">
        <v>6199</v>
      </c>
      <c r="D1256" t="s">
        <v>6200</v>
      </c>
      <c r="E1256" t="s">
        <v>6201</v>
      </c>
      <c r="F1256" t="s">
        <v>5</v>
      </c>
      <c r="G1256" t="s">
        <v>6</v>
      </c>
      <c r="L1256" t="s">
        <v>7</v>
      </c>
      <c r="M1256">
        <v>2019</v>
      </c>
      <c r="N1256" s="1">
        <v>44656</v>
      </c>
      <c r="O1256" t="s">
        <v>6202</v>
      </c>
      <c r="P1256">
        <v>1</v>
      </c>
      <c r="S1256">
        <v>253.95</v>
      </c>
      <c r="T1256">
        <v>290</v>
      </c>
      <c r="U1256">
        <v>220</v>
      </c>
      <c r="V1256" t="s">
        <v>305</v>
      </c>
      <c r="W1256" t="s">
        <v>650</v>
      </c>
      <c r="X1256" t="s">
        <v>650</v>
      </c>
      <c r="Y1256" t="s">
        <v>651</v>
      </c>
      <c r="AF1256" t="s">
        <v>13</v>
      </c>
      <c r="AG1256" t="str">
        <f>HYPERLINK("https://doi.org/10.1515/9781474455060")</f>
        <v>https://doi.org/10.1515/9781474455060</v>
      </c>
      <c r="AH1256" t="str">
        <f>HYPERLINK("http://www.degruyter.com/isbn/9781474455060")</f>
        <v>http://www.degruyter.com/isbn/9781474455060</v>
      </c>
      <c r="AI1256" t="s">
        <v>2067</v>
      </c>
      <c r="AL1256" t="s">
        <v>308</v>
      </c>
      <c r="AM1256">
        <v>1</v>
      </c>
      <c r="AN1256" s="2">
        <v>9781474455053</v>
      </c>
    </row>
    <row r="1257" spans="1:40" x14ac:dyDescent="0.3">
      <c r="A1257" t="s">
        <v>6203</v>
      </c>
      <c r="B1257" t="s">
        <v>1</v>
      </c>
      <c r="C1257" t="s">
        <v>6204</v>
      </c>
      <c r="E1257" t="s">
        <v>6205</v>
      </c>
      <c r="F1257" t="s">
        <v>5</v>
      </c>
      <c r="G1257" t="s">
        <v>6</v>
      </c>
      <c r="L1257" t="s">
        <v>7</v>
      </c>
      <c r="M1257">
        <v>2019</v>
      </c>
      <c r="N1257" s="1">
        <v>44644</v>
      </c>
      <c r="O1257" t="s">
        <v>4853</v>
      </c>
      <c r="P1257">
        <v>1</v>
      </c>
      <c r="S1257">
        <v>253.95</v>
      </c>
      <c r="T1257">
        <v>290</v>
      </c>
      <c r="U1257">
        <v>220</v>
      </c>
      <c r="V1257" t="s">
        <v>79</v>
      </c>
      <c r="W1257" t="s">
        <v>734</v>
      </c>
      <c r="X1257" t="s">
        <v>734</v>
      </c>
      <c r="Y1257" t="s">
        <v>735</v>
      </c>
      <c r="AF1257" t="s">
        <v>13</v>
      </c>
      <c r="AG1257" t="str">
        <f>HYPERLINK("https://doi.org/10.1515/9781474450782?locatt=mode:legacy")</f>
        <v>https://doi.org/10.1515/9781474450782?locatt=mode:legacy</v>
      </c>
      <c r="AH1257" t="str">
        <f>HYPERLINK("http://www.degruyter.com/isbn/9781474450782")</f>
        <v>http://www.degruyter.com/isbn/9781474450782</v>
      </c>
      <c r="AI1257" t="s">
        <v>280</v>
      </c>
      <c r="AL1257" t="s">
        <v>83</v>
      </c>
      <c r="AM1257">
        <v>1</v>
      </c>
      <c r="AN1257" s="2">
        <v>9781474450751</v>
      </c>
    </row>
    <row r="1258" spans="1:40" x14ac:dyDescent="0.3">
      <c r="A1258" t="s">
        <v>6206</v>
      </c>
      <c r="B1258" t="s">
        <v>1</v>
      </c>
      <c r="C1258" t="s">
        <v>6207</v>
      </c>
      <c r="D1258" t="s">
        <v>6208</v>
      </c>
      <c r="E1258" t="s">
        <v>6209</v>
      </c>
      <c r="F1258" t="s">
        <v>5</v>
      </c>
      <c r="G1258" t="s">
        <v>6</v>
      </c>
      <c r="L1258" t="s">
        <v>7</v>
      </c>
      <c r="M1258">
        <v>1994</v>
      </c>
      <c r="N1258" s="1">
        <v>44607</v>
      </c>
      <c r="O1258" t="s">
        <v>6210</v>
      </c>
      <c r="P1258">
        <v>1</v>
      </c>
      <c r="S1258">
        <v>217.95</v>
      </c>
      <c r="T1258">
        <v>250</v>
      </c>
      <c r="U1258">
        <v>190</v>
      </c>
      <c r="V1258" t="s">
        <v>20</v>
      </c>
      <c r="W1258" t="s">
        <v>556</v>
      </c>
      <c r="X1258" t="s">
        <v>1731</v>
      </c>
      <c r="Y1258" t="s">
        <v>1732</v>
      </c>
      <c r="AF1258" t="s">
        <v>13</v>
      </c>
      <c r="AG1258" t="str">
        <f>HYPERLINK("https://doi.org/10.1515/9781474468060")</f>
        <v>https://doi.org/10.1515/9781474468060</v>
      </c>
      <c r="AH1258" t="str">
        <f>HYPERLINK("http://www.degruyter.com/isbn/9781474468060")</f>
        <v>http://www.degruyter.com/isbn/9781474468060</v>
      </c>
      <c r="AI1258" t="s">
        <v>24</v>
      </c>
      <c r="AL1258" t="s">
        <v>15</v>
      </c>
      <c r="AM1258">
        <v>1</v>
      </c>
      <c r="AN1258" s="2">
        <v>9780748611119</v>
      </c>
    </row>
    <row r="1259" spans="1:40" x14ac:dyDescent="0.3">
      <c r="A1259" t="s">
        <v>6211</v>
      </c>
      <c r="B1259" t="s">
        <v>1</v>
      </c>
      <c r="C1259" t="s">
        <v>6212</v>
      </c>
      <c r="D1259" t="s">
        <v>6213</v>
      </c>
      <c r="E1259" t="s">
        <v>6214</v>
      </c>
      <c r="F1259" t="s">
        <v>5</v>
      </c>
      <c r="G1259" t="s">
        <v>6</v>
      </c>
      <c r="L1259" t="s">
        <v>7</v>
      </c>
      <c r="M1259">
        <v>2021</v>
      </c>
      <c r="N1259" s="1">
        <v>44644</v>
      </c>
      <c r="O1259" t="s">
        <v>6215</v>
      </c>
      <c r="P1259">
        <v>1</v>
      </c>
      <c r="Q1259" t="s">
        <v>6216</v>
      </c>
      <c r="S1259">
        <v>227.95</v>
      </c>
      <c r="T1259">
        <v>260</v>
      </c>
      <c r="U1259">
        <v>200</v>
      </c>
      <c r="V1259" t="s">
        <v>847</v>
      </c>
      <c r="W1259" t="s">
        <v>5219</v>
      </c>
      <c r="X1259" t="s">
        <v>6217</v>
      </c>
      <c r="Y1259" t="s">
        <v>6218</v>
      </c>
      <c r="AF1259" t="s">
        <v>13</v>
      </c>
      <c r="AG1259" t="str">
        <f>HYPERLINK("https://doi.org/10.1515/9781474461825")</f>
        <v>https://doi.org/10.1515/9781474461825</v>
      </c>
      <c r="AH1259" t="str">
        <f>HYPERLINK("http://www.degruyter.com/isbn/9781474461825")</f>
        <v>http://www.degruyter.com/isbn/9781474461825</v>
      </c>
      <c r="AI1259" t="s">
        <v>851</v>
      </c>
      <c r="AL1259" t="s">
        <v>1070</v>
      </c>
      <c r="AM1259">
        <v>1</v>
      </c>
      <c r="AN1259" s="2">
        <v>9781474461801</v>
      </c>
    </row>
    <row r="1260" spans="1:40" x14ac:dyDescent="0.3">
      <c r="A1260" t="s">
        <v>6219</v>
      </c>
      <c r="B1260" t="s">
        <v>1</v>
      </c>
      <c r="C1260" t="s">
        <v>6220</v>
      </c>
      <c r="D1260" t="s">
        <v>6221</v>
      </c>
      <c r="E1260" t="s">
        <v>6222</v>
      </c>
      <c r="F1260" t="s">
        <v>5</v>
      </c>
      <c r="G1260" t="s">
        <v>6</v>
      </c>
      <c r="L1260" t="s">
        <v>7</v>
      </c>
      <c r="M1260">
        <v>2006</v>
      </c>
      <c r="N1260" s="1">
        <v>39071</v>
      </c>
      <c r="O1260" t="s">
        <v>6223</v>
      </c>
      <c r="P1260">
        <v>1</v>
      </c>
      <c r="S1260">
        <v>209.95</v>
      </c>
      <c r="T1260">
        <v>240</v>
      </c>
      <c r="U1260">
        <v>180</v>
      </c>
      <c r="V1260" t="s">
        <v>20</v>
      </c>
      <c r="W1260" t="s">
        <v>21</v>
      </c>
      <c r="X1260" t="s">
        <v>22</v>
      </c>
      <c r="Y1260" t="s">
        <v>23</v>
      </c>
      <c r="AF1260" t="s">
        <v>13</v>
      </c>
      <c r="AG1260" t="str">
        <f>HYPERLINK("https://doi.org/10.1515/9780748631162")</f>
        <v>https://doi.org/10.1515/9780748631162</v>
      </c>
      <c r="AH1260" t="str">
        <f>HYPERLINK("http://www.degruyter.com/isbn/9780748631162")</f>
        <v>http://www.degruyter.com/isbn/9780748631162</v>
      </c>
      <c r="AI1260" t="s">
        <v>68</v>
      </c>
      <c r="AL1260" t="s">
        <v>15</v>
      </c>
      <c r="AM1260">
        <v>1</v>
      </c>
      <c r="AN1260" s="2">
        <v>9780748625604</v>
      </c>
    </row>
    <row r="1261" spans="1:40" x14ac:dyDescent="0.3">
      <c r="A1261" t="s">
        <v>6224</v>
      </c>
      <c r="B1261" t="s">
        <v>1</v>
      </c>
      <c r="C1261" t="s">
        <v>6225</v>
      </c>
      <c r="D1261" t="s">
        <v>6226</v>
      </c>
      <c r="E1261" t="s">
        <v>6227</v>
      </c>
      <c r="F1261" t="s">
        <v>5</v>
      </c>
      <c r="G1261" t="s">
        <v>6</v>
      </c>
      <c r="L1261" t="s">
        <v>7</v>
      </c>
      <c r="M1261">
        <v>2018</v>
      </c>
      <c r="N1261" s="1">
        <v>44656</v>
      </c>
      <c r="O1261" t="s">
        <v>6228</v>
      </c>
      <c r="P1261">
        <v>1</v>
      </c>
      <c r="S1261">
        <v>217.95</v>
      </c>
      <c r="T1261">
        <v>250</v>
      </c>
      <c r="U1261">
        <v>190</v>
      </c>
      <c r="V1261" t="s">
        <v>20</v>
      </c>
      <c r="W1261" t="s">
        <v>21</v>
      </c>
      <c r="X1261" t="s">
        <v>22</v>
      </c>
      <c r="Y1261" t="s">
        <v>23</v>
      </c>
      <c r="AF1261" t="s">
        <v>13</v>
      </c>
      <c r="AG1261" t="str">
        <f>HYPERLINK("https://doi.org/10.1515/9781474441216")</f>
        <v>https://doi.org/10.1515/9781474441216</v>
      </c>
      <c r="AH1261" t="str">
        <f>HYPERLINK("http://www.degruyter.com/isbn/9781474441216")</f>
        <v>http://www.degruyter.com/isbn/9781474441216</v>
      </c>
      <c r="AI1261" t="s">
        <v>46</v>
      </c>
      <c r="AL1261" t="s">
        <v>15</v>
      </c>
      <c r="AM1261">
        <v>1</v>
      </c>
      <c r="AN1261" s="2">
        <v>9781474441193</v>
      </c>
    </row>
    <row r="1262" spans="1:40" x14ac:dyDescent="0.3">
      <c r="A1262" t="s">
        <v>6229</v>
      </c>
      <c r="B1262" t="s">
        <v>1</v>
      </c>
      <c r="C1262" t="s">
        <v>6230</v>
      </c>
      <c r="D1262" t="s">
        <v>6231</v>
      </c>
      <c r="E1262" t="s">
        <v>6232</v>
      </c>
      <c r="F1262" t="s">
        <v>5</v>
      </c>
      <c r="G1262" t="s">
        <v>6</v>
      </c>
      <c r="L1262" t="s">
        <v>7</v>
      </c>
      <c r="M1262">
        <v>2005</v>
      </c>
      <c r="N1262" s="1">
        <v>38518</v>
      </c>
      <c r="O1262" t="s">
        <v>6075</v>
      </c>
      <c r="P1262">
        <v>1</v>
      </c>
      <c r="S1262">
        <v>261.95</v>
      </c>
      <c r="T1262">
        <v>300</v>
      </c>
      <c r="U1262">
        <v>230</v>
      </c>
      <c r="V1262" t="s">
        <v>58</v>
      </c>
      <c r="W1262" t="s">
        <v>59</v>
      </c>
      <c r="X1262" t="s">
        <v>60</v>
      </c>
      <c r="Y1262" t="s">
        <v>169</v>
      </c>
      <c r="AF1262" t="s">
        <v>13</v>
      </c>
      <c r="AG1262" t="str">
        <f>HYPERLINK("https://doi.org/10.1515/9780748680887")</f>
        <v>https://doi.org/10.1515/9780748680887</v>
      </c>
      <c r="AH1262" t="str">
        <f>HYPERLINK("http://www.degruyter.com/isbn/9780748680887")</f>
        <v>http://www.degruyter.com/isbn/9780748680887</v>
      </c>
      <c r="AI1262" t="s">
        <v>68</v>
      </c>
      <c r="AL1262" t="s">
        <v>62</v>
      </c>
      <c r="AM1262">
        <v>1</v>
      </c>
      <c r="AN1262" s="2">
        <v>9780748620746</v>
      </c>
    </row>
    <row r="1263" spans="1:40" x14ac:dyDescent="0.3">
      <c r="A1263" t="s">
        <v>6233</v>
      </c>
      <c r="B1263" t="s">
        <v>1</v>
      </c>
      <c r="C1263" t="s">
        <v>6234</v>
      </c>
      <c r="E1263" t="s">
        <v>6235</v>
      </c>
      <c r="F1263" t="s">
        <v>5</v>
      </c>
      <c r="G1263" t="s">
        <v>6</v>
      </c>
      <c r="L1263" t="s">
        <v>7</v>
      </c>
      <c r="M1263">
        <v>2017</v>
      </c>
      <c r="N1263" s="1">
        <v>42838</v>
      </c>
      <c r="O1263" t="s">
        <v>6236</v>
      </c>
      <c r="P1263">
        <v>1</v>
      </c>
      <c r="S1263">
        <v>217.95</v>
      </c>
      <c r="T1263">
        <v>250</v>
      </c>
      <c r="U1263">
        <v>190</v>
      </c>
      <c r="V1263" t="s">
        <v>42</v>
      </c>
      <c r="W1263" t="s">
        <v>43</v>
      </c>
      <c r="X1263" t="s">
        <v>44</v>
      </c>
      <c r="Y1263" t="s">
        <v>45</v>
      </c>
      <c r="AF1263" t="s">
        <v>13</v>
      </c>
      <c r="AG1263" t="str">
        <f>HYPERLINK("https://doi.org/10.1515/9781474400480?locatt=mode:legacy")</f>
        <v>https://doi.org/10.1515/9781474400480?locatt=mode:legacy</v>
      </c>
      <c r="AH1263" t="str">
        <f>HYPERLINK("http://www.degruyter.com/isbn/9781474400480")</f>
        <v>http://www.degruyter.com/isbn/9781474400480</v>
      </c>
      <c r="AI1263" t="s">
        <v>222</v>
      </c>
      <c r="AJ1263" t="s">
        <v>35</v>
      </c>
      <c r="AL1263" t="s">
        <v>520</v>
      </c>
      <c r="AM1263">
        <v>1</v>
      </c>
      <c r="AN1263" s="2">
        <v>9781474400473</v>
      </c>
    </row>
    <row r="1264" spans="1:40" x14ac:dyDescent="0.3">
      <c r="A1264" t="s">
        <v>6237</v>
      </c>
      <c r="B1264" t="s">
        <v>1</v>
      </c>
      <c r="C1264" t="s">
        <v>6238</v>
      </c>
      <c r="D1264" t="s">
        <v>6239</v>
      </c>
      <c r="E1264" t="s">
        <v>6240</v>
      </c>
      <c r="F1264" t="s">
        <v>5</v>
      </c>
      <c r="G1264" t="s">
        <v>6</v>
      </c>
      <c r="L1264" t="s">
        <v>7</v>
      </c>
      <c r="M1264">
        <v>2012</v>
      </c>
      <c r="N1264" s="1">
        <v>40975</v>
      </c>
      <c r="O1264" t="s">
        <v>3140</v>
      </c>
      <c r="P1264">
        <v>1</v>
      </c>
      <c r="S1264">
        <v>173.95</v>
      </c>
      <c r="T1264">
        <v>200</v>
      </c>
      <c r="U1264">
        <v>150</v>
      </c>
      <c r="V1264" t="s">
        <v>42</v>
      </c>
      <c r="W1264" t="s">
        <v>116</v>
      </c>
      <c r="X1264" t="s">
        <v>116</v>
      </c>
      <c r="Y1264" t="s">
        <v>586</v>
      </c>
      <c r="AF1264" t="s">
        <v>13</v>
      </c>
      <c r="AG1264" t="str">
        <f>HYPERLINK("https://doi.org/10.1515/9780748646685")</f>
        <v>https://doi.org/10.1515/9780748646685</v>
      </c>
      <c r="AH1264" t="str">
        <f>HYPERLINK("http://www.degruyter.com/isbn/9780748646685")</f>
        <v>http://www.degruyter.com/isbn/9780748646685</v>
      </c>
      <c r="AI1264" t="s">
        <v>68</v>
      </c>
      <c r="AL1264" t="s">
        <v>47</v>
      </c>
      <c r="AM1264">
        <v>1</v>
      </c>
      <c r="AN1264" s="2">
        <v>9780748646661</v>
      </c>
    </row>
    <row r="1265" spans="1:40" x14ac:dyDescent="0.3">
      <c r="A1265" t="s">
        <v>6241</v>
      </c>
      <c r="B1265" t="s">
        <v>1</v>
      </c>
      <c r="C1265" t="s">
        <v>6242</v>
      </c>
      <c r="D1265" t="s">
        <v>6243</v>
      </c>
      <c r="E1265" t="s">
        <v>6244</v>
      </c>
      <c r="F1265" t="s">
        <v>5</v>
      </c>
      <c r="G1265" t="s">
        <v>6</v>
      </c>
      <c r="L1265" t="s">
        <v>7</v>
      </c>
      <c r="M1265">
        <v>1998</v>
      </c>
      <c r="N1265" s="1">
        <v>44599</v>
      </c>
      <c r="O1265" t="s">
        <v>6245</v>
      </c>
      <c r="P1265">
        <v>1</v>
      </c>
      <c r="S1265">
        <v>69.95</v>
      </c>
      <c r="T1265">
        <v>79.95</v>
      </c>
      <c r="U1265">
        <v>59.98</v>
      </c>
      <c r="V1265" t="s">
        <v>9</v>
      </c>
      <c r="W1265" t="s">
        <v>10</v>
      </c>
      <c r="X1265" t="s">
        <v>11</v>
      </c>
      <c r="Y1265" t="s">
        <v>12</v>
      </c>
      <c r="AF1265" t="s">
        <v>13</v>
      </c>
      <c r="AG1265" t="str">
        <f>HYPERLINK("https://doi.org/10.1515/9780585070186")</f>
        <v>https://doi.org/10.1515/9780585070186</v>
      </c>
      <c r="AH1265" t="str">
        <f>HYPERLINK("http://www.degruyter.com/isbn/9780585070186")</f>
        <v>http://www.degruyter.com/isbn/9780585070186</v>
      </c>
      <c r="AI1265" t="s">
        <v>24</v>
      </c>
      <c r="AL1265" t="s">
        <v>15</v>
      </c>
      <c r="AM1265">
        <v>1</v>
      </c>
      <c r="AN1265" s="2">
        <v>9780748608850</v>
      </c>
    </row>
    <row r="1266" spans="1:40" x14ac:dyDescent="0.3">
      <c r="A1266" t="s">
        <v>6246</v>
      </c>
      <c r="B1266" t="s">
        <v>1</v>
      </c>
      <c r="C1266" t="s">
        <v>6247</v>
      </c>
      <c r="D1266" t="s">
        <v>6248</v>
      </c>
      <c r="E1266" t="s">
        <v>6249</v>
      </c>
      <c r="F1266" t="s">
        <v>5</v>
      </c>
      <c r="G1266" t="s">
        <v>6</v>
      </c>
      <c r="L1266" t="s">
        <v>7</v>
      </c>
      <c r="M1266">
        <v>2013</v>
      </c>
      <c r="N1266" s="1">
        <v>41572</v>
      </c>
      <c r="O1266" t="s">
        <v>6250</v>
      </c>
      <c r="P1266">
        <v>1</v>
      </c>
      <c r="S1266">
        <v>253.95</v>
      </c>
      <c r="T1266">
        <v>290</v>
      </c>
      <c r="U1266">
        <v>220</v>
      </c>
      <c r="V1266" t="s">
        <v>268</v>
      </c>
      <c r="W1266" t="s">
        <v>1408</v>
      </c>
      <c r="X1266" t="s">
        <v>1409</v>
      </c>
      <c r="Y1266" t="s">
        <v>1410</v>
      </c>
      <c r="AF1266" t="s">
        <v>13</v>
      </c>
      <c r="AG1266" t="str">
        <f>HYPERLINK("https://doi.org/10.1515/9780748683796")</f>
        <v>https://doi.org/10.1515/9780748683796</v>
      </c>
      <c r="AH1266" t="str">
        <f>HYPERLINK("http://www.degruyter.com/isbn/9780748683796")</f>
        <v>http://www.degruyter.com/isbn/9780748683796</v>
      </c>
      <c r="AI1266" t="s">
        <v>6251</v>
      </c>
      <c r="AL1266" t="s">
        <v>272</v>
      </c>
      <c r="AM1266">
        <v>1</v>
      </c>
      <c r="AN1266" s="2">
        <v>9780748683772</v>
      </c>
    </row>
    <row r="1267" spans="1:40" x14ac:dyDescent="0.3">
      <c r="A1267" t="s">
        <v>6252</v>
      </c>
      <c r="B1267" t="s">
        <v>1</v>
      </c>
      <c r="C1267" t="s">
        <v>6253</v>
      </c>
      <c r="D1267" t="s">
        <v>6254</v>
      </c>
      <c r="E1267" t="s">
        <v>6255</v>
      </c>
      <c r="F1267" t="s">
        <v>5</v>
      </c>
      <c r="G1267" t="s">
        <v>6</v>
      </c>
      <c r="L1267" t="s">
        <v>7</v>
      </c>
      <c r="M1267">
        <v>2007</v>
      </c>
      <c r="N1267" s="1">
        <v>39224</v>
      </c>
      <c r="O1267" t="s">
        <v>6256</v>
      </c>
      <c r="P1267">
        <v>1</v>
      </c>
      <c r="S1267">
        <v>279.95</v>
      </c>
      <c r="T1267">
        <v>320</v>
      </c>
      <c r="U1267">
        <v>240</v>
      </c>
      <c r="V1267" t="s">
        <v>58</v>
      </c>
      <c r="W1267" t="s">
        <v>59</v>
      </c>
      <c r="X1267" t="s">
        <v>60</v>
      </c>
      <c r="Y1267" t="s">
        <v>73</v>
      </c>
      <c r="AF1267" t="s">
        <v>13</v>
      </c>
      <c r="AG1267" t="str">
        <f>HYPERLINK("https://doi.org/10.1515/9780748629121")</f>
        <v>https://doi.org/10.1515/9780748629121</v>
      </c>
      <c r="AH1267" t="str">
        <f>HYPERLINK("http://www.degruyter.com/isbn/9780748629121")</f>
        <v>http://www.degruyter.com/isbn/9780748629121</v>
      </c>
      <c r="AI1267" t="s">
        <v>68</v>
      </c>
      <c r="AL1267" t="s">
        <v>62</v>
      </c>
      <c r="AM1267">
        <v>1</v>
      </c>
      <c r="AN1267" s="2">
        <v>9780748620098</v>
      </c>
    </row>
    <row r="1268" spans="1:40" x14ac:dyDescent="0.3">
      <c r="A1268" t="s">
        <v>6257</v>
      </c>
      <c r="B1268" t="s">
        <v>1</v>
      </c>
      <c r="C1268" t="s">
        <v>6258</v>
      </c>
      <c r="E1268" t="s">
        <v>6259</v>
      </c>
      <c r="F1268" t="s">
        <v>5</v>
      </c>
      <c r="G1268" t="s">
        <v>6</v>
      </c>
      <c r="L1268" t="s">
        <v>7</v>
      </c>
      <c r="M1268">
        <v>2009</v>
      </c>
      <c r="N1268" s="1">
        <v>39832</v>
      </c>
      <c r="O1268" t="s">
        <v>6260</v>
      </c>
      <c r="P1268">
        <v>1</v>
      </c>
      <c r="S1268">
        <v>261.95</v>
      </c>
      <c r="T1268">
        <v>300</v>
      </c>
      <c r="U1268">
        <v>230</v>
      </c>
      <c r="V1268" t="s">
        <v>9</v>
      </c>
      <c r="W1268" t="s">
        <v>10</v>
      </c>
      <c r="X1268" t="s">
        <v>596</v>
      </c>
      <c r="Y1268" t="s">
        <v>6261</v>
      </c>
      <c r="AF1268" t="s">
        <v>13</v>
      </c>
      <c r="AG1268" t="str">
        <f>HYPERLINK("https://doi.org/10.1515/9780748629602?locatt=mode:legacy")</f>
        <v>https://doi.org/10.1515/9780748629602?locatt=mode:legacy</v>
      </c>
      <c r="AH1268" t="str">
        <f>HYPERLINK("http://www.degruyter.com/isbn/9780748629602")</f>
        <v>http://www.degruyter.com/isbn/9780748629602</v>
      </c>
      <c r="AI1268" t="s">
        <v>68</v>
      </c>
      <c r="AL1268" t="s">
        <v>15</v>
      </c>
      <c r="AM1268">
        <v>1</v>
      </c>
      <c r="AN1268" s="2">
        <v>9780748621972</v>
      </c>
    </row>
    <row r="1269" spans="1:40" x14ac:dyDescent="0.3">
      <c r="A1269" t="s">
        <v>6262</v>
      </c>
      <c r="B1269" t="s">
        <v>1</v>
      </c>
      <c r="C1269" t="s">
        <v>6263</v>
      </c>
      <c r="D1269" t="s">
        <v>6264</v>
      </c>
      <c r="E1269" t="s">
        <v>6265</v>
      </c>
      <c r="F1269" t="s">
        <v>5</v>
      </c>
      <c r="G1269" t="s">
        <v>6</v>
      </c>
      <c r="L1269" t="s">
        <v>7</v>
      </c>
      <c r="M1269">
        <v>2011</v>
      </c>
      <c r="N1269" s="1">
        <v>40722</v>
      </c>
      <c r="O1269" t="s">
        <v>6266</v>
      </c>
      <c r="P1269">
        <v>1</v>
      </c>
      <c r="S1269">
        <v>253.95</v>
      </c>
      <c r="T1269">
        <v>290</v>
      </c>
      <c r="U1269">
        <v>220</v>
      </c>
      <c r="V1269" t="s">
        <v>79</v>
      </c>
      <c r="W1269" t="s">
        <v>227</v>
      </c>
      <c r="X1269" t="s">
        <v>234</v>
      </c>
      <c r="Y1269" t="s">
        <v>355</v>
      </c>
      <c r="AF1269" t="s">
        <v>13</v>
      </c>
      <c r="AG1269" t="str">
        <f>HYPERLINK("https://doi.org/10.1515/9780748647064")</f>
        <v>https://doi.org/10.1515/9780748647064</v>
      </c>
      <c r="AH1269" t="str">
        <f>HYPERLINK("http://www.degruyter.com/isbn/9780748647064")</f>
        <v>http://www.degruyter.com/isbn/9780748647064</v>
      </c>
      <c r="AI1269" t="s">
        <v>68</v>
      </c>
      <c r="AL1269" t="s">
        <v>83</v>
      </c>
      <c r="AM1269">
        <v>1</v>
      </c>
      <c r="AN1269" s="2">
        <v>9780748641031</v>
      </c>
    </row>
    <row r="1270" spans="1:40" x14ac:dyDescent="0.3">
      <c r="A1270" t="s">
        <v>6267</v>
      </c>
      <c r="B1270" t="s">
        <v>1</v>
      </c>
      <c r="C1270" t="s">
        <v>6268</v>
      </c>
      <c r="D1270" t="s">
        <v>6269</v>
      </c>
      <c r="E1270" t="s">
        <v>6270</v>
      </c>
      <c r="F1270" t="s">
        <v>5</v>
      </c>
      <c r="G1270" t="s">
        <v>6</v>
      </c>
      <c r="L1270" t="s">
        <v>7</v>
      </c>
      <c r="M1270">
        <v>1995</v>
      </c>
      <c r="N1270" s="1">
        <v>44719</v>
      </c>
      <c r="O1270" t="s">
        <v>6271</v>
      </c>
      <c r="P1270">
        <v>1</v>
      </c>
      <c r="S1270">
        <v>217.95</v>
      </c>
      <c r="T1270">
        <v>250</v>
      </c>
      <c r="U1270">
        <v>190</v>
      </c>
      <c r="V1270" t="s">
        <v>42</v>
      </c>
      <c r="W1270" t="s">
        <v>107</v>
      </c>
      <c r="X1270" t="s">
        <v>108</v>
      </c>
      <c r="Y1270" t="s">
        <v>109</v>
      </c>
      <c r="AF1270" t="s">
        <v>13</v>
      </c>
      <c r="AG1270" t="str">
        <f>HYPERLINK("https://www.degruyter.com/isbn/9781474471671")</f>
        <v>https://www.degruyter.com/isbn/9781474471671</v>
      </c>
      <c r="AH1270" t="str">
        <f>HYPERLINK("http://www.degruyter.com/isbn/9781474471671")</f>
        <v>http://www.degruyter.com/isbn/9781474471671</v>
      </c>
      <c r="AI1270" t="s">
        <v>24</v>
      </c>
      <c r="AL1270" t="s">
        <v>47</v>
      </c>
      <c r="AM1270">
        <v>1</v>
      </c>
      <c r="AN1270" s="2">
        <v>9781853310898</v>
      </c>
    </row>
    <row r="1271" spans="1:40" x14ac:dyDescent="0.3">
      <c r="A1271" t="s">
        <v>6272</v>
      </c>
      <c r="B1271" t="s">
        <v>1</v>
      </c>
      <c r="C1271" t="s">
        <v>6273</v>
      </c>
      <c r="E1271" t="s">
        <v>6274</v>
      </c>
      <c r="F1271" t="s">
        <v>5</v>
      </c>
      <c r="G1271" t="s">
        <v>6</v>
      </c>
      <c r="L1271" t="s">
        <v>7</v>
      </c>
      <c r="M1271">
        <v>2017</v>
      </c>
      <c r="N1271" s="1">
        <v>43089</v>
      </c>
      <c r="O1271" t="s">
        <v>6275</v>
      </c>
      <c r="P1271">
        <v>1</v>
      </c>
      <c r="S1271">
        <v>191.95</v>
      </c>
      <c r="T1271">
        <v>220</v>
      </c>
      <c r="U1271">
        <v>170</v>
      </c>
      <c r="V1271" t="s">
        <v>42</v>
      </c>
      <c r="W1271" t="s">
        <v>116</v>
      </c>
      <c r="X1271" t="s">
        <v>116</v>
      </c>
      <c r="Y1271" t="s">
        <v>117</v>
      </c>
      <c r="AF1271" t="s">
        <v>13</v>
      </c>
      <c r="AG1271" t="str">
        <f>HYPERLINK("https://doi.org/10.1515/9781474414869")</f>
        <v>https://doi.org/10.1515/9781474414869</v>
      </c>
      <c r="AH1271" t="str">
        <f>HYPERLINK("http://www.degruyter.com/isbn/9781474414869")</f>
        <v>http://www.degruyter.com/isbn/9781474414869</v>
      </c>
      <c r="AI1271" t="s">
        <v>222</v>
      </c>
      <c r="AL1271" t="s">
        <v>47</v>
      </c>
      <c r="AM1271">
        <v>1</v>
      </c>
      <c r="AN1271" s="2">
        <v>9781474414845</v>
      </c>
    </row>
    <row r="1272" spans="1:40" x14ac:dyDescent="0.3">
      <c r="A1272" t="s">
        <v>6276</v>
      </c>
      <c r="B1272" t="s">
        <v>1</v>
      </c>
      <c r="C1272" t="s">
        <v>6277</v>
      </c>
      <c r="E1272" t="s">
        <v>6278</v>
      </c>
      <c r="F1272" t="s">
        <v>5</v>
      </c>
      <c r="G1272" t="s">
        <v>6</v>
      </c>
      <c r="L1272" t="s">
        <v>7</v>
      </c>
      <c r="M1272">
        <v>2017</v>
      </c>
      <c r="N1272" s="1">
        <v>42787</v>
      </c>
      <c r="O1272" t="s">
        <v>6279</v>
      </c>
      <c r="P1272">
        <v>1</v>
      </c>
      <c r="S1272">
        <v>217.95</v>
      </c>
      <c r="T1272">
        <v>250</v>
      </c>
      <c r="U1272">
        <v>190</v>
      </c>
      <c r="V1272" t="s">
        <v>305</v>
      </c>
      <c r="W1272" t="s">
        <v>2566</v>
      </c>
      <c r="X1272" t="s">
        <v>2567</v>
      </c>
      <c r="Y1272" t="s">
        <v>4151</v>
      </c>
      <c r="AF1272" t="s">
        <v>13</v>
      </c>
      <c r="AG1272" t="str">
        <f>HYPERLINK("https://doi.org/10.1515/9781474405904")</f>
        <v>https://doi.org/10.1515/9781474405904</v>
      </c>
      <c r="AH1272" t="str">
        <f>HYPERLINK("http://www.degruyter.com/isbn/9781474405904")</f>
        <v>http://www.degruyter.com/isbn/9781474405904</v>
      </c>
      <c r="AI1272" t="s">
        <v>222</v>
      </c>
      <c r="AL1272" t="s">
        <v>308</v>
      </c>
      <c r="AM1272">
        <v>1</v>
      </c>
      <c r="AN1272" s="2">
        <v>9781474405898</v>
      </c>
    </row>
    <row r="1273" spans="1:40" x14ac:dyDescent="0.3">
      <c r="A1273" t="s">
        <v>6280</v>
      </c>
      <c r="B1273" t="s">
        <v>1</v>
      </c>
      <c r="C1273" t="s">
        <v>6281</v>
      </c>
      <c r="E1273" t="s">
        <v>6282</v>
      </c>
      <c r="F1273" t="s">
        <v>5</v>
      </c>
      <c r="G1273" t="s">
        <v>6</v>
      </c>
      <c r="L1273" t="s">
        <v>7</v>
      </c>
      <c r="M1273">
        <v>2013</v>
      </c>
      <c r="N1273" s="1">
        <v>41477</v>
      </c>
      <c r="O1273" t="s">
        <v>6283</v>
      </c>
      <c r="P1273">
        <v>1</v>
      </c>
      <c r="S1273">
        <v>217.95</v>
      </c>
      <c r="T1273">
        <v>250</v>
      </c>
      <c r="U1273">
        <v>190</v>
      </c>
      <c r="V1273" t="s">
        <v>58</v>
      </c>
      <c r="W1273" t="s">
        <v>59</v>
      </c>
      <c r="X1273" t="s">
        <v>60</v>
      </c>
      <c r="Y1273" t="s">
        <v>1029</v>
      </c>
      <c r="AF1273" t="s">
        <v>13</v>
      </c>
      <c r="AG1273" t="str">
        <f>HYPERLINK("https://doi.org/10.1515/9780748665839?locatt=mode:legacy")</f>
        <v>https://doi.org/10.1515/9780748665839?locatt=mode:legacy</v>
      </c>
      <c r="AH1273" t="str">
        <f>HYPERLINK("http://www.degruyter.com/isbn/9780748665839")</f>
        <v>http://www.degruyter.com/isbn/9780748665839</v>
      </c>
      <c r="AI1273" t="s">
        <v>68</v>
      </c>
      <c r="AL1273" t="s">
        <v>62</v>
      </c>
      <c r="AM1273">
        <v>1</v>
      </c>
      <c r="AN1273" s="2">
        <v>9780748665822</v>
      </c>
    </row>
    <row r="1274" spans="1:40" x14ac:dyDescent="0.3">
      <c r="A1274" t="s">
        <v>6284</v>
      </c>
      <c r="B1274" t="s">
        <v>1</v>
      </c>
      <c r="C1274" t="s">
        <v>6285</v>
      </c>
      <c r="E1274" t="s">
        <v>6286</v>
      </c>
      <c r="F1274" t="s">
        <v>5</v>
      </c>
      <c r="G1274" t="s">
        <v>6</v>
      </c>
      <c r="L1274" t="s">
        <v>7</v>
      </c>
      <c r="M1274">
        <v>2016</v>
      </c>
      <c r="N1274" s="1">
        <v>42695</v>
      </c>
      <c r="O1274" t="s">
        <v>6287</v>
      </c>
      <c r="P1274">
        <v>1</v>
      </c>
      <c r="S1274">
        <v>217.95</v>
      </c>
      <c r="T1274">
        <v>250</v>
      </c>
      <c r="U1274">
        <v>190</v>
      </c>
      <c r="V1274" t="s">
        <v>98</v>
      </c>
      <c r="W1274" t="s">
        <v>99</v>
      </c>
      <c r="X1274" t="s">
        <v>386</v>
      </c>
      <c r="Y1274" t="s">
        <v>387</v>
      </c>
      <c r="AF1274" t="s">
        <v>13</v>
      </c>
      <c r="AG1274" t="str">
        <f>HYPERLINK("https://doi.org/10.1515/9780748675968")</f>
        <v>https://doi.org/10.1515/9780748675968</v>
      </c>
      <c r="AH1274" t="str">
        <f>HYPERLINK("http://www.degruyter.com/isbn/9780748675968")</f>
        <v>http://www.degruyter.com/isbn/9780748675968</v>
      </c>
      <c r="AI1274" t="s">
        <v>180</v>
      </c>
      <c r="AL1274" t="s">
        <v>102</v>
      </c>
      <c r="AM1274">
        <v>1</v>
      </c>
      <c r="AN1274" s="2">
        <v>9780748675951</v>
      </c>
    </row>
    <row r="1275" spans="1:40" x14ac:dyDescent="0.3">
      <c r="A1275" t="s">
        <v>6288</v>
      </c>
      <c r="B1275" t="s">
        <v>1</v>
      </c>
      <c r="C1275" t="s">
        <v>6289</v>
      </c>
      <c r="E1275" t="s">
        <v>6290</v>
      </c>
      <c r="F1275" t="s">
        <v>5</v>
      </c>
      <c r="G1275" t="s">
        <v>6</v>
      </c>
      <c r="L1275" t="s">
        <v>7</v>
      </c>
      <c r="M1275">
        <v>2006</v>
      </c>
      <c r="N1275" s="1">
        <v>38898</v>
      </c>
      <c r="O1275" t="s">
        <v>6291</v>
      </c>
      <c r="P1275">
        <v>1</v>
      </c>
      <c r="S1275">
        <v>521.95000000000005</v>
      </c>
      <c r="T1275">
        <v>598</v>
      </c>
      <c r="U1275">
        <v>460</v>
      </c>
      <c r="V1275" t="s">
        <v>79</v>
      </c>
      <c r="W1275" t="s">
        <v>138</v>
      </c>
      <c r="X1275" t="s">
        <v>138</v>
      </c>
      <c r="Y1275" t="s">
        <v>2824</v>
      </c>
      <c r="AF1275" t="s">
        <v>13</v>
      </c>
      <c r="AG1275" t="str">
        <f>HYPERLINK("https://doi.org/10.1515/9780748627257?locatt=mode:legacy")</f>
        <v>https://doi.org/10.1515/9780748627257?locatt=mode:legacy</v>
      </c>
      <c r="AH1275" t="str">
        <f>HYPERLINK("http://www.degruyter.com/isbn/9780748627257")</f>
        <v>http://www.degruyter.com/isbn/9780748627257</v>
      </c>
      <c r="AI1275" t="s">
        <v>68</v>
      </c>
      <c r="AL1275" t="s">
        <v>83</v>
      </c>
      <c r="AM1275">
        <v>1</v>
      </c>
      <c r="AN1275" s="2">
        <v>9780748624621</v>
      </c>
    </row>
    <row r="1276" spans="1:40" x14ac:dyDescent="0.3">
      <c r="A1276" t="s">
        <v>6292</v>
      </c>
      <c r="B1276" t="s">
        <v>1</v>
      </c>
      <c r="C1276" t="s">
        <v>6293</v>
      </c>
      <c r="D1276" t="s">
        <v>6294</v>
      </c>
      <c r="E1276" t="s">
        <v>6295</v>
      </c>
      <c r="F1276" t="s">
        <v>5</v>
      </c>
      <c r="G1276" t="s">
        <v>6</v>
      </c>
      <c r="L1276" t="s">
        <v>7</v>
      </c>
      <c r="M1276">
        <v>2019</v>
      </c>
      <c r="N1276" s="1">
        <v>44656</v>
      </c>
      <c r="O1276" t="s">
        <v>6296</v>
      </c>
      <c r="P1276">
        <v>1</v>
      </c>
      <c r="S1276">
        <v>487.95</v>
      </c>
      <c r="T1276">
        <v>560</v>
      </c>
      <c r="U1276">
        <v>430</v>
      </c>
      <c r="V1276" t="s">
        <v>20</v>
      </c>
      <c r="W1276" t="s">
        <v>21</v>
      </c>
      <c r="X1276" t="s">
        <v>839</v>
      </c>
      <c r="Y1276" t="s">
        <v>1475</v>
      </c>
      <c r="AF1276" t="s">
        <v>13</v>
      </c>
      <c r="AG1276" t="str">
        <f>HYPERLINK("https://doi.org/10.1515/9781474450478")</f>
        <v>https://doi.org/10.1515/9781474450478</v>
      </c>
      <c r="AH1276" t="str">
        <f>HYPERLINK("http://www.degruyter.com/isbn/9781474450478")</f>
        <v>http://www.degruyter.com/isbn/9781474450478</v>
      </c>
      <c r="AI1276" t="s">
        <v>280</v>
      </c>
      <c r="AL1276" t="s">
        <v>15</v>
      </c>
      <c r="AM1276">
        <v>1</v>
      </c>
      <c r="AN1276" s="2">
        <v>9780748699179</v>
      </c>
    </row>
    <row r="1277" spans="1:40" x14ac:dyDescent="0.3">
      <c r="A1277" t="s">
        <v>6297</v>
      </c>
      <c r="B1277" t="s">
        <v>1</v>
      </c>
      <c r="C1277" t="s">
        <v>6298</v>
      </c>
      <c r="E1277" t="s">
        <v>6299</v>
      </c>
      <c r="F1277" t="s">
        <v>5</v>
      </c>
      <c r="G1277" t="s">
        <v>6</v>
      </c>
      <c r="L1277" t="s">
        <v>7</v>
      </c>
      <c r="M1277">
        <v>2000</v>
      </c>
      <c r="N1277" s="1">
        <v>44719</v>
      </c>
      <c r="O1277" t="s">
        <v>6300</v>
      </c>
      <c r="P1277">
        <v>1</v>
      </c>
      <c r="S1277">
        <v>217.95</v>
      </c>
      <c r="T1277">
        <v>250</v>
      </c>
      <c r="U1277">
        <v>190</v>
      </c>
      <c r="V1277" t="s">
        <v>42</v>
      </c>
      <c r="W1277" t="s">
        <v>116</v>
      </c>
      <c r="X1277" t="s">
        <v>116</v>
      </c>
      <c r="Y1277" t="s">
        <v>117</v>
      </c>
      <c r="AF1277" t="s">
        <v>13</v>
      </c>
      <c r="AG1277" t="str">
        <f>HYPERLINK("https://doi.org/10.1515/9781474464109")</f>
        <v>https://doi.org/10.1515/9781474464109</v>
      </c>
      <c r="AH1277" t="str">
        <f>HYPERLINK("http://www.degruyter.com/isbn/9781474464109")</f>
        <v>http://www.degruyter.com/isbn/9781474464109</v>
      </c>
      <c r="AI1277" t="s">
        <v>68</v>
      </c>
      <c r="AL1277" t="s">
        <v>47</v>
      </c>
      <c r="AM1277">
        <v>1</v>
      </c>
      <c r="AN1277" s="2">
        <v>9780748610884</v>
      </c>
    </row>
    <row r="1278" spans="1:40" x14ac:dyDescent="0.3">
      <c r="A1278" t="s">
        <v>6301</v>
      </c>
      <c r="B1278" t="s">
        <v>1</v>
      </c>
      <c r="C1278" t="s">
        <v>6302</v>
      </c>
      <c r="D1278" t="s">
        <v>6303</v>
      </c>
      <c r="E1278" t="s">
        <v>6304</v>
      </c>
      <c r="F1278" t="s">
        <v>5</v>
      </c>
      <c r="G1278" t="s">
        <v>6</v>
      </c>
      <c r="L1278" t="s">
        <v>7</v>
      </c>
      <c r="M1278">
        <v>2013</v>
      </c>
      <c r="N1278" s="1">
        <v>41414</v>
      </c>
      <c r="O1278" t="s">
        <v>6305</v>
      </c>
      <c r="P1278">
        <v>1</v>
      </c>
      <c r="S1278">
        <v>217.95</v>
      </c>
      <c r="T1278">
        <v>250</v>
      </c>
      <c r="U1278">
        <v>190</v>
      </c>
      <c r="V1278" t="s">
        <v>42</v>
      </c>
      <c r="W1278" t="s">
        <v>116</v>
      </c>
      <c r="X1278" t="s">
        <v>116</v>
      </c>
      <c r="Y1278" t="s">
        <v>1129</v>
      </c>
      <c r="AF1278" t="s">
        <v>13</v>
      </c>
      <c r="AG1278" t="str">
        <f>HYPERLINK("https://doi.org/10.1515/9780748682539?locatt=mode:legacy")</f>
        <v>https://doi.org/10.1515/9780748682539?locatt=mode:legacy</v>
      </c>
      <c r="AH1278" t="str">
        <f>HYPERLINK("http://www.degruyter.com/isbn/9780748682539")</f>
        <v>http://www.degruyter.com/isbn/9780748682539</v>
      </c>
      <c r="AI1278" t="s">
        <v>68</v>
      </c>
      <c r="AL1278" t="s">
        <v>47</v>
      </c>
      <c r="AM1278">
        <v>1</v>
      </c>
      <c r="AN1278" s="2">
        <v>9780748641741</v>
      </c>
    </row>
    <row r="1279" spans="1:40" x14ac:dyDescent="0.3">
      <c r="A1279" t="s">
        <v>6306</v>
      </c>
      <c r="B1279" t="s">
        <v>1</v>
      </c>
      <c r="C1279" t="s">
        <v>6307</v>
      </c>
      <c r="D1279" t="s">
        <v>6308</v>
      </c>
      <c r="E1279" t="s">
        <v>6309</v>
      </c>
      <c r="F1279" t="s">
        <v>5</v>
      </c>
      <c r="G1279" t="s">
        <v>6</v>
      </c>
      <c r="L1279" t="s">
        <v>7</v>
      </c>
      <c r="M1279">
        <v>1998</v>
      </c>
      <c r="N1279" s="1">
        <v>44607</v>
      </c>
      <c r="O1279" t="s">
        <v>6310</v>
      </c>
      <c r="P1279">
        <v>1</v>
      </c>
      <c r="S1279">
        <v>217.95</v>
      </c>
      <c r="T1279">
        <v>250</v>
      </c>
      <c r="U1279">
        <v>190</v>
      </c>
      <c r="V1279" t="s">
        <v>20</v>
      </c>
      <c r="W1279" t="s">
        <v>21</v>
      </c>
      <c r="X1279" t="s">
        <v>22</v>
      </c>
      <c r="Y1279" t="s">
        <v>23</v>
      </c>
      <c r="AF1279" t="s">
        <v>13</v>
      </c>
      <c r="AG1279" t="str">
        <f>HYPERLINK("https://doi.org/10.1515/9781474468640")</f>
        <v>https://doi.org/10.1515/9781474468640</v>
      </c>
      <c r="AH1279" t="str">
        <f>HYPERLINK("http://www.degruyter.com/isbn/9781474468640")</f>
        <v>http://www.degruyter.com/isbn/9781474468640</v>
      </c>
      <c r="AI1279" t="s">
        <v>24</v>
      </c>
      <c r="AL1279" t="s">
        <v>15</v>
      </c>
      <c r="AM1279">
        <v>1</v>
      </c>
      <c r="AN1279" s="2">
        <v>9780748611102</v>
      </c>
    </row>
    <row r="1280" spans="1:40" x14ac:dyDescent="0.3">
      <c r="A1280" t="s">
        <v>6311</v>
      </c>
      <c r="B1280" t="s">
        <v>1</v>
      </c>
      <c r="C1280" t="s">
        <v>6312</v>
      </c>
      <c r="D1280" t="s">
        <v>6313</v>
      </c>
      <c r="E1280" t="s">
        <v>6314</v>
      </c>
      <c r="F1280" t="s">
        <v>5</v>
      </c>
      <c r="G1280" t="s">
        <v>6</v>
      </c>
      <c r="L1280" t="s">
        <v>7</v>
      </c>
      <c r="M1280">
        <v>2018</v>
      </c>
      <c r="N1280" s="1">
        <v>44644</v>
      </c>
      <c r="O1280" t="s">
        <v>6315</v>
      </c>
      <c r="P1280">
        <v>1</v>
      </c>
      <c r="S1280">
        <v>253.95</v>
      </c>
      <c r="T1280">
        <v>290</v>
      </c>
      <c r="U1280">
        <v>220</v>
      </c>
      <c r="V1280" t="s">
        <v>98</v>
      </c>
      <c r="W1280" t="s">
        <v>366</v>
      </c>
      <c r="X1280" t="s">
        <v>367</v>
      </c>
      <c r="Y1280" t="s">
        <v>368</v>
      </c>
      <c r="AF1280" t="s">
        <v>13</v>
      </c>
      <c r="AG1280" t="str">
        <f>HYPERLINK("https://doi.org/10.1515/9781474421546?locatt=mode:legacy")</f>
        <v>https://doi.org/10.1515/9781474421546?locatt=mode:legacy</v>
      </c>
      <c r="AH1280" t="str">
        <f>HYPERLINK("http://www.degruyter.com/isbn/9781474421546")</f>
        <v>http://www.degruyter.com/isbn/9781474421546</v>
      </c>
      <c r="AI1280" t="s">
        <v>46</v>
      </c>
      <c r="AL1280" t="s">
        <v>102</v>
      </c>
      <c r="AM1280">
        <v>1</v>
      </c>
      <c r="AN1280" s="2">
        <v>9781474421539</v>
      </c>
    </row>
    <row r="1281" spans="1:40" x14ac:dyDescent="0.3">
      <c r="A1281" t="s">
        <v>6316</v>
      </c>
      <c r="B1281" t="s">
        <v>1</v>
      </c>
      <c r="C1281" t="s">
        <v>6317</v>
      </c>
      <c r="D1281" t="s">
        <v>6318</v>
      </c>
      <c r="E1281" t="s">
        <v>6319</v>
      </c>
      <c r="F1281" t="s">
        <v>5</v>
      </c>
      <c r="G1281" t="s">
        <v>6</v>
      </c>
      <c r="L1281" t="s">
        <v>7</v>
      </c>
      <c r="M1281">
        <v>2001</v>
      </c>
      <c r="N1281" s="1">
        <v>44599</v>
      </c>
      <c r="O1281" t="s">
        <v>6320</v>
      </c>
      <c r="P1281">
        <v>1</v>
      </c>
      <c r="S1281">
        <v>74.95</v>
      </c>
      <c r="T1281">
        <v>83.95</v>
      </c>
      <c r="U1281">
        <v>64</v>
      </c>
      <c r="V1281" t="s">
        <v>495</v>
      </c>
      <c r="W1281" t="s">
        <v>496</v>
      </c>
      <c r="X1281" t="s">
        <v>496</v>
      </c>
      <c r="Y1281" t="s">
        <v>621</v>
      </c>
      <c r="AF1281" t="s">
        <v>13</v>
      </c>
      <c r="AG1281" t="str">
        <f>HYPERLINK("https://doi.org/10.1515/9780585441771")</f>
        <v>https://doi.org/10.1515/9780585441771</v>
      </c>
      <c r="AH1281" t="str">
        <f>HYPERLINK("http://www.degruyter.com/isbn/9780585441771")</f>
        <v>http://www.degruyter.com/isbn/9780585441771</v>
      </c>
      <c r="AI1281" t="s">
        <v>68</v>
      </c>
      <c r="AL1281" t="s">
        <v>498</v>
      </c>
      <c r="AM1281">
        <v>1</v>
      </c>
      <c r="AN1281" s="2">
        <v>9780748662722</v>
      </c>
    </row>
    <row r="1282" spans="1:40" x14ac:dyDescent="0.3">
      <c r="A1282" t="s">
        <v>6321</v>
      </c>
      <c r="B1282" t="s">
        <v>1</v>
      </c>
      <c r="C1282" t="s">
        <v>6322</v>
      </c>
      <c r="E1282" t="s">
        <v>6323</v>
      </c>
      <c r="F1282" t="s">
        <v>5</v>
      </c>
      <c r="G1282" t="s">
        <v>6</v>
      </c>
      <c r="L1282" t="s">
        <v>7</v>
      </c>
      <c r="M1282">
        <v>1996</v>
      </c>
      <c r="N1282" s="1">
        <v>44607</v>
      </c>
      <c r="O1282" t="s">
        <v>6324</v>
      </c>
      <c r="P1282">
        <v>1</v>
      </c>
      <c r="S1282">
        <v>217.95</v>
      </c>
      <c r="T1282">
        <v>250</v>
      </c>
      <c r="U1282">
        <v>190</v>
      </c>
      <c r="V1282" t="s">
        <v>9</v>
      </c>
      <c r="W1282" t="s">
        <v>10</v>
      </c>
      <c r="X1282" t="s">
        <v>44</v>
      </c>
      <c r="Y1282" t="s">
        <v>6325</v>
      </c>
      <c r="AF1282" t="s">
        <v>13</v>
      </c>
      <c r="AG1282" t="str">
        <f>HYPERLINK("https://doi.org/10.1515/9781474472869")</f>
        <v>https://doi.org/10.1515/9781474472869</v>
      </c>
      <c r="AH1282" t="str">
        <f>HYPERLINK("http://www.degruyter.com/isbn/9781474472869")</f>
        <v>http://www.degruyter.com/isbn/9781474472869</v>
      </c>
      <c r="AI1282" t="s">
        <v>24</v>
      </c>
      <c r="AL1282" t="s">
        <v>15</v>
      </c>
      <c r="AM1282">
        <v>1</v>
      </c>
      <c r="AN1282" s="2">
        <v>9780748607815</v>
      </c>
    </row>
    <row r="1283" spans="1:40" x14ac:dyDescent="0.3">
      <c r="A1283" t="s">
        <v>6326</v>
      </c>
      <c r="B1283" t="s">
        <v>1</v>
      </c>
      <c r="C1283" t="s">
        <v>6327</v>
      </c>
      <c r="D1283" t="s">
        <v>6328</v>
      </c>
      <c r="E1283" t="s">
        <v>6329</v>
      </c>
      <c r="F1283" t="s">
        <v>5</v>
      </c>
      <c r="G1283" t="s">
        <v>6</v>
      </c>
      <c r="L1283" t="s">
        <v>7</v>
      </c>
      <c r="M1283">
        <v>2001</v>
      </c>
      <c r="N1283" s="1">
        <v>44607</v>
      </c>
      <c r="O1283" t="s">
        <v>6330</v>
      </c>
      <c r="P1283">
        <v>1</v>
      </c>
      <c r="S1283">
        <v>217.95</v>
      </c>
      <c r="T1283">
        <v>250</v>
      </c>
      <c r="U1283">
        <v>190</v>
      </c>
      <c r="V1283" t="s">
        <v>58</v>
      </c>
      <c r="W1283" t="s">
        <v>59</v>
      </c>
      <c r="X1283" t="s">
        <v>60</v>
      </c>
      <c r="Y1283" t="s">
        <v>399</v>
      </c>
      <c r="AF1283" t="s">
        <v>13</v>
      </c>
      <c r="AG1283" t="str">
        <f>HYPERLINK("https://doi.org/10.1515/9781474472340")</f>
        <v>https://doi.org/10.1515/9781474472340</v>
      </c>
      <c r="AH1283" t="str">
        <f>HYPERLINK("http://www.degruyter.com/isbn/9781474472340")</f>
        <v>http://www.degruyter.com/isbn/9781474472340</v>
      </c>
      <c r="AI1283" t="s">
        <v>68</v>
      </c>
      <c r="AL1283" t="s">
        <v>62</v>
      </c>
      <c r="AM1283">
        <v>1</v>
      </c>
      <c r="AN1283" s="2">
        <v>9781902930282</v>
      </c>
    </row>
    <row r="1284" spans="1:40" x14ac:dyDescent="0.3">
      <c r="A1284" t="s">
        <v>6331</v>
      </c>
      <c r="B1284" t="s">
        <v>1</v>
      </c>
      <c r="C1284" t="s">
        <v>6332</v>
      </c>
      <c r="E1284" t="s">
        <v>6333</v>
      </c>
      <c r="F1284" t="s">
        <v>5</v>
      </c>
      <c r="G1284" t="s">
        <v>6</v>
      </c>
      <c r="L1284" t="s">
        <v>7</v>
      </c>
      <c r="M1284">
        <v>2003</v>
      </c>
      <c r="N1284" s="1">
        <v>44607</v>
      </c>
      <c r="O1284" t="s">
        <v>6334</v>
      </c>
      <c r="P1284">
        <v>1</v>
      </c>
      <c r="S1284">
        <v>217.95</v>
      </c>
      <c r="T1284">
        <v>250</v>
      </c>
      <c r="U1284">
        <v>190</v>
      </c>
      <c r="V1284" t="s">
        <v>98</v>
      </c>
      <c r="W1284" t="s">
        <v>99</v>
      </c>
      <c r="X1284" t="s">
        <v>386</v>
      </c>
      <c r="Y1284" t="s">
        <v>387</v>
      </c>
      <c r="AF1284" t="s">
        <v>13</v>
      </c>
      <c r="AG1284" t="str">
        <f>HYPERLINK("https://doi.org/10.1515/9781474421591")</f>
        <v>https://doi.org/10.1515/9781474421591</v>
      </c>
      <c r="AH1284" t="str">
        <f>HYPERLINK("http://www.degruyter.com/isbn/9781474421591")</f>
        <v>http://www.degruyter.com/isbn/9781474421591</v>
      </c>
      <c r="AI1284" t="s">
        <v>68</v>
      </c>
      <c r="AL1284" t="s">
        <v>102</v>
      </c>
      <c r="AM1284">
        <v>1</v>
      </c>
      <c r="AN1284" s="2">
        <v>9780748615964</v>
      </c>
    </row>
    <row r="1285" spans="1:40" x14ac:dyDescent="0.3">
      <c r="A1285" t="s">
        <v>6335</v>
      </c>
      <c r="B1285" t="s">
        <v>1</v>
      </c>
      <c r="C1285" t="s">
        <v>6336</v>
      </c>
      <c r="D1285" t="s">
        <v>6337</v>
      </c>
      <c r="E1285" t="s">
        <v>6338</v>
      </c>
      <c r="F1285" t="s">
        <v>5</v>
      </c>
      <c r="G1285" t="s">
        <v>6</v>
      </c>
      <c r="L1285" t="s">
        <v>7</v>
      </c>
      <c r="M1285">
        <v>2010</v>
      </c>
      <c r="N1285" s="1">
        <v>40456</v>
      </c>
      <c r="O1285" t="s">
        <v>6339</v>
      </c>
      <c r="P1285">
        <v>1</v>
      </c>
      <c r="S1285">
        <v>217.95</v>
      </c>
      <c r="T1285">
        <v>250</v>
      </c>
      <c r="U1285">
        <v>190</v>
      </c>
      <c r="V1285" t="s">
        <v>98</v>
      </c>
      <c r="W1285" t="s">
        <v>99</v>
      </c>
      <c r="X1285" t="s">
        <v>386</v>
      </c>
      <c r="Y1285" t="s">
        <v>387</v>
      </c>
      <c r="AF1285" t="s">
        <v>13</v>
      </c>
      <c r="AG1285" t="str">
        <f>HYPERLINK("https://doi.org/10.1515/9780748643691?locatt=mode:legacy")</f>
        <v>https://doi.org/10.1515/9780748643691?locatt=mode:legacy</v>
      </c>
      <c r="AH1285" t="str">
        <f>HYPERLINK("http://www.degruyter.com/isbn/9780748643691")</f>
        <v>http://www.degruyter.com/isbn/9780748643691</v>
      </c>
      <c r="AI1285" t="s">
        <v>68</v>
      </c>
      <c r="AL1285" t="s">
        <v>102</v>
      </c>
      <c r="AM1285">
        <v>1</v>
      </c>
      <c r="AN1285" s="2">
        <v>9780748639045</v>
      </c>
    </row>
    <row r="1286" spans="1:40" x14ac:dyDescent="0.3">
      <c r="A1286" t="s">
        <v>6340</v>
      </c>
      <c r="B1286" t="s">
        <v>1</v>
      </c>
      <c r="C1286" t="s">
        <v>6341</v>
      </c>
      <c r="D1286" t="s">
        <v>6342</v>
      </c>
      <c r="E1286" t="s">
        <v>6343</v>
      </c>
      <c r="F1286" t="s">
        <v>5</v>
      </c>
      <c r="G1286" t="s">
        <v>6</v>
      </c>
      <c r="L1286" t="s">
        <v>7</v>
      </c>
      <c r="M1286">
        <v>2020</v>
      </c>
      <c r="N1286" s="1">
        <v>44644</v>
      </c>
      <c r="O1286" t="s">
        <v>6344</v>
      </c>
      <c r="P1286">
        <v>1</v>
      </c>
      <c r="S1286">
        <v>217.95</v>
      </c>
      <c r="T1286">
        <v>250</v>
      </c>
      <c r="U1286">
        <v>190</v>
      </c>
      <c r="V1286" t="s">
        <v>42</v>
      </c>
      <c r="W1286" t="s">
        <v>116</v>
      </c>
      <c r="X1286" t="s">
        <v>116</v>
      </c>
      <c r="Y1286" t="s">
        <v>117</v>
      </c>
      <c r="AF1286" t="s">
        <v>13</v>
      </c>
      <c r="AG1286" t="str">
        <f>HYPERLINK("https://doi.org/10.1515/9781474458061")</f>
        <v>https://doi.org/10.1515/9781474458061</v>
      </c>
      <c r="AH1286" t="str">
        <f>HYPERLINK("http://www.degruyter.com/isbn/9781474458061")</f>
        <v>http://www.degruyter.com/isbn/9781474458061</v>
      </c>
      <c r="AI1286" t="s">
        <v>14</v>
      </c>
      <c r="AL1286" t="s">
        <v>47</v>
      </c>
      <c r="AM1286">
        <v>1</v>
      </c>
      <c r="AN1286" s="2">
        <v>9781474458047</v>
      </c>
    </row>
    <row r="1287" spans="1:40" x14ac:dyDescent="0.3">
      <c r="A1287" t="s">
        <v>6345</v>
      </c>
      <c r="B1287" t="s">
        <v>1</v>
      </c>
      <c r="C1287" t="s">
        <v>6346</v>
      </c>
      <c r="E1287" t="s">
        <v>6347</v>
      </c>
      <c r="F1287" t="s">
        <v>5</v>
      </c>
      <c r="G1287" t="s">
        <v>6</v>
      </c>
      <c r="L1287" t="s">
        <v>7</v>
      </c>
      <c r="M1287">
        <v>2016</v>
      </c>
      <c r="N1287" s="1">
        <v>42640</v>
      </c>
      <c r="O1287" t="s">
        <v>6348</v>
      </c>
      <c r="P1287">
        <v>1</v>
      </c>
      <c r="S1287">
        <v>253.95</v>
      </c>
      <c r="T1287">
        <v>290</v>
      </c>
      <c r="U1287">
        <v>220</v>
      </c>
      <c r="V1287" t="s">
        <v>20</v>
      </c>
      <c r="W1287" t="s">
        <v>21</v>
      </c>
      <c r="X1287" t="s">
        <v>3919</v>
      </c>
      <c r="Y1287" t="s">
        <v>4359</v>
      </c>
      <c r="AF1287" t="s">
        <v>13</v>
      </c>
      <c r="AG1287" t="str">
        <f>HYPERLINK("https://doi.org/10.1515/9780748695447")</f>
        <v>https://doi.org/10.1515/9780748695447</v>
      </c>
      <c r="AH1287" t="str">
        <f>HYPERLINK("http://www.degruyter.com/isbn/9780748695447")</f>
        <v>http://www.degruyter.com/isbn/9780748695447</v>
      </c>
      <c r="AI1287" t="s">
        <v>180</v>
      </c>
      <c r="AJ1287" t="s">
        <v>35</v>
      </c>
      <c r="AL1287" t="s">
        <v>1346</v>
      </c>
      <c r="AM1287">
        <v>1</v>
      </c>
      <c r="AN1287" s="2">
        <v>9780748695430</v>
      </c>
    </row>
    <row r="1288" spans="1:40" x14ac:dyDescent="0.3">
      <c r="A1288" t="s">
        <v>6349</v>
      </c>
      <c r="B1288" t="s">
        <v>1</v>
      </c>
      <c r="C1288" t="s">
        <v>6350</v>
      </c>
      <c r="E1288" t="s">
        <v>6351</v>
      </c>
      <c r="F1288" t="s">
        <v>5</v>
      </c>
      <c r="G1288" t="s">
        <v>6</v>
      </c>
      <c r="L1288" t="s">
        <v>7</v>
      </c>
      <c r="M1288">
        <v>2007</v>
      </c>
      <c r="N1288" s="1">
        <v>39127</v>
      </c>
      <c r="O1288" t="s">
        <v>6352</v>
      </c>
      <c r="P1288">
        <v>1</v>
      </c>
      <c r="S1288">
        <v>209.95</v>
      </c>
      <c r="T1288">
        <v>240</v>
      </c>
      <c r="U1288">
        <v>180</v>
      </c>
      <c r="V1288" t="s">
        <v>42</v>
      </c>
      <c r="W1288" t="s">
        <v>116</v>
      </c>
      <c r="X1288" t="s">
        <v>116</v>
      </c>
      <c r="Y1288" t="s">
        <v>117</v>
      </c>
      <c r="AF1288" t="s">
        <v>13</v>
      </c>
      <c r="AG1288" t="str">
        <f>HYPERLINK("https://doi.org/10.1515/9780748628186")</f>
        <v>https://doi.org/10.1515/9780748628186</v>
      </c>
      <c r="AH1288" t="str">
        <f>HYPERLINK("http://www.degruyter.com/isbn/9780748628186")</f>
        <v>http://www.degruyter.com/isbn/9780748628186</v>
      </c>
      <c r="AI1288" t="s">
        <v>68</v>
      </c>
      <c r="AL1288" t="s">
        <v>47</v>
      </c>
      <c r="AM1288">
        <v>1</v>
      </c>
      <c r="AN1288" s="2">
        <v>9780748611478</v>
      </c>
    </row>
    <row r="1289" spans="1:40" x14ac:dyDescent="0.3">
      <c r="A1289" t="s">
        <v>6353</v>
      </c>
      <c r="B1289" t="s">
        <v>1</v>
      </c>
      <c r="C1289" t="s">
        <v>6354</v>
      </c>
      <c r="D1289" t="s">
        <v>6355</v>
      </c>
      <c r="E1289" t="s">
        <v>6356</v>
      </c>
      <c r="F1289" t="s">
        <v>5</v>
      </c>
      <c r="G1289" t="s">
        <v>6</v>
      </c>
      <c r="L1289" t="s">
        <v>7</v>
      </c>
      <c r="M1289">
        <v>1999</v>
      </c>
      <c r="N1289" s="1">
        <v>44592</v>
      </c>
      <c r="O1289" t="s">
        <v>6357</v>
      </c>
      <c r="P1289">
        <v>1</v>
      </c>
      <c r="Q1289" t="s">
        <v>6358</v>
      </c>
      <c r="S1289">
        <v>217.95</v>
      </c>
      <c r="T1289">
        <v>250</v>
      </c>
      <c r="U1289">
        <v>190</v>
      </c>
      <c r="V1289" t="s">
        <v>98</v>
      </c>
      <c r="W1289" t="s">
        <v>99</v>
      </c>
      <c r="X1289" t="s">
        <v>386</v>
      </c>
      <c r="Y1289" t="s">
        <v>387</v>
      </c>
      <c r="AF1289" t="s">
        <v>13</v>
      </c>
      <c r="AG1289" t="str">
        <f>HYPERLINK("https://doi.org/10.1515/9780748610839")</f>
        <v>https://doi.org/10.1515/9780748610839</v>
      </c>
      <c r="AH1289" t="str">
        <f>HYPERLINK("http://www.degruyter.com/isbn/9780748610839")</f>
        <v>http://www.degruyter.com/isbn/9780748610839</v>
      </c>
      <c r="AI1289" t="s">
        <v>24</v>
      </c>
      <c r="AL1289" t="s">
        <v>102</v>
      </c>
      <c r="AM1289">
        <v>1</v>
      </c>
      <c r="AN1289" s="2">
        <v>9780748610822</v>
      </c>
    </row>
    <row r="1290" spans="1:40" x14ac:dyDescent="0.3">
      <c r="A1290" t="s">
        <v>6359</v>
      </c>
      <c r="B1290" t="s">
        <v>1</v>
      </c>
      <c r="C1290" t="s">
        <v>6360</v>
      </c>
      <c r="E1290" t="s">
        <v>6361</v>
      </c>
      <c r="F1290" t="s">
        <v>5</v>
      </c>
      <c r="G1290" t="s">
        <v>6</v>
      </c>
      <c r="L1290" t="s">
        <v>7</v>
      </c>
      <c r="M1290">
        <v>2001</v>
      </c>
      <c r="N1290" s="1">
        <v>37071</v>
      </c>
      <c r="O1290" t="s">
        <v>1636</v>
      </c>
      <c r="P1290">
        <v>1</v>
      </c>
      <c r="S1290">
        <v>261.95</v>
      </c>
      <c r="T1290">
        <v>300</v>
      </c>
      <c r="U1290">
        <v>230</v>
      </c>
      <c r="V1290" t="s">
        <v>1325</v>
      </c>
      <c r="W1290" t="s">
        <v>1485</v>
      </c>
      <c r="X1290" t="s">
        <v>1485</v>
      </c>
      <c r="Y1290" t="s">
        <v>1486</v>
      </c>
      <c r="AF1290" t="s">
        <v>13</v>
      </c>
      <c r="AG1290" t="str">
        <f>HYPERLINK("https://doi.org/10.1515/9781474472609")</f>
        <v>https://doi.org/10.1515/9781474472609</v>
      </c>
      <c r="AH1290" t="str">
        <f>HYPERLINK("http://www.degruyter.com/isbn/9781474472609")</f>
        <v>http://www.degruyter.com/isbn/9781474472609</v>
      </c>
      <c r="AI1290" t="s">
        <v>68</v>
      </c>
      <c r="AL1290" t="s">
        <v>1328</v>
      </c>
      <c r="AM1290">
        <v>1</v>
      </c>
      <c r="AN1290" s="2">
        <v>9780748612840</v>
      </c>
    </row>
    <row r="1291" spans="1:40" x14ac:dyDescent="0.3">
      <c r="A1291" t="s">
        <v>6362</v>
      </c>
      <c r="B1291" t="s">
        <v>1</v>
      </c>
      <c r="C1291" t="s">
        <v>6363</v>
      </c>
      <c r="D1291" t="s">
        <v>27</v>
      </c>
      <c r="E1291" t="s">
        <v>6364</v>
      </c>
      <c r="F1291" t="s">
        <v>5</v>
      </c>
      <c r="G1291" t="s">
        <v>6</v>
      </c>
      <c r="L1291" t="s">
        <v>7</v>
      </c>
      <c r="M1291">
        <v>2007</v>
      </c>
      <c r="N1291" s="1">
        <v>39148</v>
      </c>
      <c r="O1291" t="s">
        <v>551</v>
      </c>
      <c r="P1291">
        <v>1</v>
      </c>
      <c r="S1291">
        <v>243.95</v>
      </c>
      <c r="T1291">
        <v>280</v>
      </c>
      <c r="U1291">
        <v>210</v>
      </c>
      <c r="V1291" t="s">
        <v>98</v>
      </c>
      <c r="W1291" t="s">
        <v>99</v>
      </c>
      <c r="X1291" t="s">
        <v>386</v>
      </c>
      <c r="Y1291" t="s">
        <v>387</v>
      </c>
      <c r="AF1291" t="s">
        <v>13</v>
      </c>
      <c r="AG1291" t="str">
        <f>HYPERLINK("https://doi.org/10.1515/9780748629909")</f>
        <v>https://doi.org/10.1515/9780748629909</v>
      </c>
      <c r="AH1291" t="str">
        <f>HYPERLINK("http://www.degruyter.com/isbn/9780748629909")</f>
        <v>http://www.degruyter.com/isbn/9780748629909</v>
      </c>
      <c r="AI1291" t="s">
        <v>68</v>
      </c>
      <c r="AL1291" t="s">
        <v>102</v>
      </c>
      <c r="AM1291">
        <v>1</v>
      </c>
      <c r="AN1291" s="2">
        <v>9780748622993</v>
      </c>
    </row>
    <row r="1292" spans="1:40" x14ac:dyDescent="0.3">
      <c r="A1292" t="s">
        <v>6365</v>
      </c>
      <c r="B1292" t="s">
        <v>1</v>
      </c>
      <c r="C1292" t="s">
        <v>6366</v>
      </c>
      <c r="D1292" t="s">
        <v>6367</v>
      </c>
      <c r="E1292" t="s">
        <v>6368</v>
      </c>
      <c r="F1292" t="s">
        <v>5</v>
      </c>
      <c r="G1292" t="s">
        <v>6</v>
      </c>
      <c r="L1292" t="s">
        <v>7</v>
      </c>
      <c r="M1292">
        <v>2017</v>
      </c>
      <c r="N1292" s="1">
        <v>43089</v>
      </c>
      <c r="O1292" t="s">
        <v>6369</v>
      </c>
      <c r="P1292">
        <v>1</v>
      </c>
      <c r="S1292">
        <v>209.95</v>
      </c>
      <c r="T1292">
        <v>240</v>
      </c>
      <c r="U1292">
        <v>180</v>
      </c>
      <c r="V1292" t="s">
        <v>42</v>
      </c>
      <c r="W1292" t="s">
        <v>290</v>
      </c>
      <c r="X1292" t="s">
        <v>290</v>
      </c>
      <c r="Y1292" t="s">
        <v>515</v>
      </c>
      <c r="AF1292" t="s">
        <v>13</v>
      </c>
      <c r="AG1292" t="str">
        <f>HYPERLINK("https://doi.org/10.1515/9781474411240")</f>
        <v>https://doi.org/10.1515/9781474411240</v>
      </c>
      <c r="AH1292" t="str">
        <f>HYPERLINK("http://www.degruyter.com/isbn/9781474411240")</f>
        <v>http://www.degruyter.com/isbn/9781474411240</v>
      </c>
      <c r="AI1292" t="s">
        <v>222</v>
      </c>
      <c r="AL1292" t="s">
        <v>47</v>
      </c>
      <c r="AM1292">
        <v>1</v>
      </c>
      <c r="AN1292" s="2">
        <v>9781474429689</v>
      </c>
    </row>
    <row r="1293" spans="1:40" x14ac:dyDescent="0.3">
      <c r="A1293" t="s">
        <v>6370</v>
      </c>
      <c r="B1293" t="s">
        <v>1</v>
      </c>
      <c r="C1293" t="s">
        <v>6371</v>
      </c>
      <c r="E1293" t="s">
        <v>6372</v>
      </c>
      <c r="F1293" t="s">
        <v>5</v>
      </c>
      <c r="G1293" t="s">
        <v>6</v>
      </c>
      <c r="L1293" t="s">
        <v>7</v>
      </c>
      <c r="M1293">
        <v>2021</v>
      </c>
      <c r="N1293" s="1">
        <v>44656</v>
      </c>
      <c r="O1293" t="s">
        <v>6373</v>
      </c>
      <c r="P1293">
        <v>1</v>
      </c>
      <c r="S1293">
        <v>217.95</v>
      </c>
      <c r="T1293">
        <v>250</v>
      </c>
      <c r="U1293">
        <v>190</v>
      </c>
      <c r="V1293" t="s">
        <v>42</v>
      </c>
      <c r="W1293" t="s">
        <v>107</v>
      </c>
      <c r="X1293" t="s">
        <v>108</v>
      </c>
      <c r="Y1293" t="s">
        <v>109</v>
      </c>
      <c r="AF1293" t="s">
        <v>13</v>
      </c>
      <c r="AG1293" t="str">
        <f>HYPERLINK("https://doi.org/10.1515/9781474483841")</f>
        <v>https://doi.org/10.1515/9781474483841</v>
      </c>
      <c r="AH1293" t="str">
        <f>HYPERLINK("http://www.degruyter.com/isbn/9781474483841")</f>
        <v>http://www.degruyter.com/isbn/9781474483841</v>
      </c>
      <c r="AI1293" t="s">
        <v>110</v>
      </c>
      <c r="AL1293" t="s">
        <v>47</v>
      </c>
      <c r="AM1293">
        <v>1</v>
      </c>
      <c r="AN1293" s="2">
        <v>9781474483827</v>
      </c>
    </row>
    <row r="1294" spans="1:40" x14ac:dyDescent="0.3">
      <c r="A1294" t="s">
        <v>6374</v>
      </c>
      <c r="B1294" t="s">
        <v>1</v>
      </c>
      <c r="C1294" t="s">
        <v>6375</v>
      </c>
      <c r="E1294" t="s">
        <v>6376</v>
      </c>
      <c r="F1294" t="s">
        <v>5</v>
      </c>
      <c r="G1294" t="s">
        <v>6</v>
      </c>
      <c r="L1294" t="s">
        <v>7</v>
      </c>
      <c r="M1294">
        <v>2008</v>
      </c>
      <c r="N1294" s="1">
        <v>39532</v>
      </c>
      <c r="O1294" t="s">
        <v>6377</v>
      </c>
      <c r="P1294">
        <v>1</v>
      </c>
      <c r="S1294">
        <v>227.95</v>
      </c>
      <c r="T1294">
        <v>260</v>
      </c>
      <c r="U1294">
        <v>200</v>
      </c>
      <c r="V1294" t="s">
        <v>58</v>
      </c>
      <c r="W1294" t="s">
        <v>59</v>
      </c>
      <c r="X1294" t="s">
        <v>278</v>
      </c>
      <c r="Y1294" t="s">
        <v>932</v>
      </c>
      <c r="AF1294" t="s">
        <v>13</v>
      </c>
      <c r="AG1294" t="str">
        <f>HYPERLINK("https://doi.org/10.1515/9780748632251")</f>
        <v>https://doi.org/10.1515/9780748632251</v>
      </c>
      <c r="AH1294" t="str">
        <f>HYPERLINK("http://www.degruyter.com/isbn/9780748632251")</f>
        <v>http://www.degruyter.com/isbn/9780748632251</v>
      </c>
      <c r="AI1294" t="s">
        <v>68</v>
      </c>
      <c r="AL1294" t="s">
        <v>62</v>
      </c>
      <c r="AM1294">
        <v>1</v>
      </c>
      <c r="AN1294" s="2">
        <v>9780748632978</v>
      </c>
    </row>
    <row r="1295" spans="1:40" x14ac:dyDescent="0.3">
      <c r="A1295" t="s">
        <v>6378</v>
      </c>
      <c r="B1295" t="s">
        <v>1</v>
      </c>
      <c r="C1295" t="s">
        <v>6379</v>
      </c>
      <c r="D1295" t="s">
        <v>6380</v>
      </c>
      <c r="E1295" t="s">
        <v>6381</v>
      </c>
      <c r="F1295" t="s">
        <v>5</v>
      </c>
      <c r="G1295" t="s">
        <v>6</v>
      </c>
      <c r="L1295" t="s">
        <v>7</v>
      </c>
      <c r="M1295">
        <v>2016</v>
      </c>
      <c r="N1295" s="1">
        <v>42402</v>
      </c>
      <c r="O1295" t="s">
        <v>6382</v>
      </c>
      <c r="P1295">
        <v>1</v>
      </c>
      <c r="S1295">
        <v>227.95</v>
      </c>
      <c r="T1295">
        <v>260</v>
      </c>
      <c r="U1295">
        <v>200</v>
      </c>
      <c r="V1295" t="s">
        <v>42</v>
      </c>
      <c r="W1295" t="s">
        <v>116</v>
      </c>
      <c r="X1295" t="s">
        <v>116</v>
      </c>
      <c r="Y1295" t="s">
        <v>117</v>
      </c>
      <c r="AF1295" t="s">
        <v>13</v>
      </c>
      <c r="AG1295" t="str">
        <f>HYPERLINK("https://doi.org/10.1515/9781474411332")</f>
        <v>https://doi.org/10.1515/9781474411332</v>
      </c>
      <c r="AH1295" t="str">
        <f>HYPERLINK("http://www.degruyter.com/isbn/9781474411332")</f>
        <v>http://www.degruyter.com/isbn/9781474411332</v>
      </c>
      <c r="AI1295" t="s">
        <v>180</v>
      </c>
      <c r="AL1295" t="s">
        <v>47</v>
      </c>
      <c r="AM1295">
        <v>1</v>
      </c>
      <c r="AN1295" s="2">
        <v>9781474411325</v>
      </c>
    </row>
    <row r="1296" spans="1:40" x14ac:dyDescent="0.3">
      <c r="A1296" t="s">
        <v>6383</v>
      </c>
      <c r="B1296" t="s">
        <v>1</v>
      </c>
      <c r="C1296" t="s">
        <v>6384</v>
      </c>
      <c r="D1296" t="s">
        <v>6385</v>
      </c>
      <c r="E1296" t="s">
        <v>6386</v>
      </c>
      <c r="F1296" t="s">
        <v>5</v>
      </c>
      <c r="G1296" t="s">
        <v>6</v>
      </c>
      <c r="L1296" t="s">
        <v>7</v>
      </c>
      <c r="M1296">
        <v>2021</v>
      </c>
      <c r="N1296" s="1">
        <v>44656</v>
      </c>
      <c r="O1296" t="s">
        <v>6387</v>
      </c>
      <c r="P1296">
        <v>1</v>
      </c>
      <c r="S1296">
        <v>217.95</v>
      </c>
      <c r="T1296">
        <v>250</v>
      </c>
      <c r="U1296">
        <v>190</v>
      </c>
      <c r="V1296" t="s">
        <v>305</v>
      </c>
      <c r="W1296" t="s">
        <v>2566</v>
      </c>
      <c r="X1296" t="s">
        <v>2567</v>
      </c>
      <c r="Y1296" t="s">
        <v>5824</v>
      </c>
      <c r="AF1296" t="s">
        <v>13</v>
      </c>
      <c r="AG1296" t="str">
        <f>HYPERLINK("https://doi.org/10.1515/9781474457163")</f>
        <v>https://doi.org/10.1515/9781474457163</v>
      </c>
      <c r="AH1296" t="str">
        <f>HYPERLINK("http://www.degruyter.com/isbn/9781474457163")</f>
        <v>http://www.degruyter.com/isbn/9781474457163</v>
      </c>
      <c r="AI1296" t="s">
        <v>1936</v>
      </c>
      <c r="AL1296" t="s">
        <v>308</v>
      </c>
      <c r="AM1296">
        <v>1</v>
      </c>
      <c r="AN1296" s="2">
        <v>9781474457149</v>
      </c>
    </row>
    <row r="1297" spans="1:40" x14ac:dyDescent="0.3">
      <c r="A1297" t="s">
        <v>6388</v>
      </c>
      <c r="B1297" t="s">
        <v>1</v>
      </c>
      <c r="C1297" t="s">
        <v>6389</v>
      </c>
      <c r="E1297" t="s">
        <v>6390</v>
      </c>
      <c r="F1297" t="s">
        <v>5</v>
      </c>
      <c r="G1297" t="s">
        <v>6</v>
      </c>
      <c r="L1297" t="s">
        <v>7</v>
      </c>
      <c r="M1297">
        <v>2004</v>
      </c>
      <c r="N1297" s="1">
        <v>38134</v>
      </c>
      <c r="O1297" t="s">
        <v>666</v>
      </c>
      <c r="P1297">
        <v>1</v>
      </c>
      <c r="S1297">
        <v>227.95</v>
      </c>
      <c r="T1297">
        <v>260</v>
      </c>
      <c r="U1297">
        <v>200</v>
      </c>
      <c r="V1297" t="s">
        <v>42</v>
      </c>
      <c r="W1297" t="s">
        <v>116</v>
      </c>
      <c r="X1297" t="s">
        <v>116</v>
      </c>
      <c r="Y1297" t="s">
        <v>117</v>
      </c>
      <c r="AF1297" t="s">
        <v>13</v>
      </c>
      <c r="AG1297" t="str">
        <f>HYPERLINK("https://doi.org/10.1515/9780748666010")</f>
        <v>https://doi.org/10.1515/9780748666010</v>
      </c>
      <c r="AH1297" t="str">
        <f>HYPERLINK("http://www.degruyter.com/isbn/9780748666010")</f>
        <v>http://www.degruyter.com/isbn/9780748666010</v>
      </c>
      <c r="AI1297" t="s">
        <v>68</v>
      </c>
      <c r="AL1297" t="s">
        <v>47</v>
      </c>
      <c r="AM1297">
        <v>1</v>
      </c>
      <c r="AN1297" s="2">
        <v>9780748618576</v>
      </c>
    </row>
    <row r="1298" spans="1:40" x14ac:dyDescent="0.3">
      <c r="A1298" t="s">
        <v>6391</v>
      </c>
      <c r="B1298" t="s">
        <v>1</v>
      </c>
      <c r="C1298" t="s">
        <v>6392</v>
      </c>
      <c r="E1298" t="s">
        <v>6393</v>
      </c>
      <c r="F1298" t="s">
        <v>5</v>
      </c>
      <c r="G1298" t="s">
        <v>6</v>
      </c>
      <c r="L1298" t="s">
        <v>7</v>
      </c>
      <c r="M1298">
        <v>2010</v>
      </c>
      <c r="N1298" s="1">
        <v>40329</v>
      </c>
      <c r="O1298" t="s">
        <v>2259</v>
      </c>
      <c r="P1298">
        <v>1</v>
      </c>
      <c r="S1298">
        <v>209.95</v>
      </c>
      <c r="T1298">
        <v>240</v>
      </c>
      <c r="U1298">
        <v>180</v>
      </c>
      <c r="V1298" t="s">
        <v>58</v>
      </c>
      <c r="W1298" t="s">
        <v>129</v>
      </c>
      <c r="X1298" t="s">
        <v>1290</v>
      </c>
      <c r="Y1298" t="s">
        <v>1291</v>
      </c>
      <c r="AF1298" t="s">
        <v>13</v>
      </c>
      <c r="AG1298" t="str">
        <f>HYPERLINK("https://doi.org/10.1515/9780748641666")</f>
        <v>https://doi.org/10.1515/9780748641666</v>
      </c>
      <c r="AH1298" t="str">
        <f>HYPERLINK("http://www.degruyter.com/isbn/9780748641666")</f>
        <v>http://www.degruyter.com/isbn/9780748641666</v>
      </c>
      <c r="AI1298" t="s">
        <v>68</v>
      </c>
      <c r="AL1298" t="s">
        <v>62</v>
      </c>
      <c r="AM1298">
        <v>1</v>
      </c>
      <c r="AN1298" s="2">
        <v>9780748640515</v>
      </c>
    </row>
    <row r="1299" spans="1:40" x14ac:dyDescent="0.3">
      <c r="A1299" t="s">
        <v>6394</v>
      </c>
      <c r="B1299" t="s">
        <v>1</v>
      </c>
      <c r="C1299" t="s">
        <v>6395</v>
      </c>
      <c r="E1299" t="s">
        <v>6396</v>
      </c>
      <c r="F1299" t="s">
        <v>5</v>
      </c>
      <c r="G1299" t="s">
        <v>6</v>
      </c>
      <c r="L1299" t="s">
        <v>7</v>
      </c>
      <c r="M1299">
        <v>2009</v>
      </c>
      <c r="N1299" s="1">
        <v>39903</v>
      </c>
      <c r="O1299" t="s">
        <v>6397</v>
      </c>
      <c r="P1299">
        <v>1</v>
      </c>
      <c r="S1299">
        <v>217.95</v>
      </c>
      <c r="T1299">
        <v>250</v>
      </c>
      <c r="U1299">
        <v>190</v>
      </c>
      <c r="V1299" t="s">
        <v>20</v>
      </c>
      <c r="W1299" t="s">
        <v>21</v>
      </c>
      <c r="X1299" t="s">
        <v>22</v>
      </c>
      <c r="Y1299" t="s">
        <v>23</v>
      </c>
      <c r="AF1299" t="s">
        <v>13</v>
      </c>
      <c r="AG1299" t="str">
        <f>HYPERLINK("https://doi.org/10.1515/9780748630431?locatt=mode:legacy")</f>
        <v>https://doi.org/10.1515/9780748630431?locatt=mode:legacy</v>
      </c>
      <c r="AH1299" t="str">
        <f>HYPERLINK("http://www.degruyter.com/isbn/9780748630431")</f>
        <v>http://www.degruyter.com/isbn/9780748630431</v>
      </c>
      <c r="AI1299" t="s">
        <v>68</v>
      </c>
      <c r="AL1299" t="s">
        <v>15</v>
      </c>
      <c r="AM1299">
        <v>1</v>
      </c>
      <c r="AN1299" s="2">
        <v>9780748624379</v>
      </c>
    </row>
    <row r="1300" spans="1:40" x14ac:dyDescent="0.3">
      <c r="A1300" t="s">
        <v>6398</v>
      </c>
      <c r="B1300" t="s">
        <v>1</v>
      </c>
      <c r="C1300" t="s">
        <v>6399</v>
      </c>
      <c r="D1300" t="s">
        <v>6400</v>
      </c>
      <c r="E1300" t="s">
        <v>6401</v>
      </c>
      <c r="F1300" t="s">
        <v>5</v>
      </c>
      <c r="G1300" t="s">
        <v>6</v>
      </c>
      <c r="L1300" t="s">
        <v>7</v>
      </c>
      <c r="M1300">
        <v>2009</v>
      </c>
      <c r="N1300" s="1">
        <v>40135</v>
      </c>
      <c r="O1300" t="s">
        <v>6402</v>
      </c>
      <c r="P1300">
        <v>1</v>
      </c>
      <c r="S1300">
        <v>253.95</v>
      </c>
      <c r="T1300">
        <v>290</v>
      </c>
      <c r="U1300">
        <v>220</v>
      </c>
      <c r="V1300" t="s">
        <v>58</v>
      </c>
      <c r="W1300" t="s">
        <v>59</v>
      </c>
      <c r="X1300" t="s">
        <v>60</v>
      </c>
      <c r="Y1300" t="s">
        <v>145</v>
      </c>
      <c r="AF1300" t="s">
        <v>13</v>
      </c>
      <c r="AG1300" t="str">
        <f>HYPERLINK("https://doi.org/10.1515/9780748631490")</f>
        <v>https://doi.org/10.1515/9780748631490</v>
      </c>
      <c r="AH1300" t="str">
        <f>HYPERLINK("http://www.degruyter.com/isbn/9780748631490")</f>
        <v>http://www.degruyter.com/isbn/9780748631490</v>
      </c>
      <c r="AI1300" t="s">
        <v>68</v>
      </c>
      <c r="AL1300" t="s">
        <v>62</v>
      </c>
      <c r="AM1300">
        <v>1</v>
      </c>
      <c r="AN1300" s="2">
        <v>9780748627400</v>
      </c>
    </row>
    <row r="1301" spans="1:40" x14ac:dyDescent="0.3">
      <c r="A1301" t="s">
        <v>6403</v>
      </c>
      <c r="B1301" t="s">
        <v>1</v>
      </c>
      <c r="C1301" t="s">
        <v>6404</v>
      </c>
      <c r="D1301" t="s">
        <v>2122</v>
      </c>
      <c r="E1301" t="s">
        <v>6405</v>
      </c>
      <c r="F1301" t="s">
        <v>5</v>
      </c>
      <c r="G1301" t="s">
        <v>6</v>
      </c>
      <c r="L1301" t="s">
        <v>7</v>
      </c>
      <c r="M1301">
        <v>2009</v>
      </c>
      <c r="N1301" s="1">
        <v>39843</v>
      </c>
      <c r="O1301" t="s">
        <v>6406</v>
      </c>
      <c r="P1301">
        <v>1</v>
      </c>
      <c r="S1301">
        <v>209.95</v>
      </c>
      <c r="T1301">
        <v>240</v>
      </c>
      <c r="U1301">
        <v>180</v>
      </c>
      <c r="V1301" t="s">
        <v>42</v>
      </c>
      <c r="W1301" t="s">
        <v>107</v>
      </c>
      <c r="X1301" t="s">
        <v>108</v>
      </c>
      <c r="Y1301" t="s">
        <v>109</v>
      </c>
      <c r="AF1301" t="s">
        <v>13</v>
      </c>
      <c r="AG1301" t="str">
        <f>HYPERLINK("https://doi.org/10.1515/9780748639465")</f>
        <v>https://doi.org/10.1515/9780748639465</v>
      </c>
      <c r="AH1301" t="str">
        <f>HYPERLINK("http://www.degruyter.com/isbn/9780748639465")</f>
        <v>http://www.degruyter.com/isbn/9780748639465</v>
      </c>
      <c r="AI1301" t="s">
        <v>68</v>
      </c>
      <c r="AL1301" t="s">
        <v>47</v>
      </c>
      <c r="AM1301">
        <v>1</v>
      </c>
      <c r="AN1301" s="2">
        <v>9780748638352</v>
      </c>
    </row>
    <row r="1302" spans="1:40" x14ac:dyDescent="0.3">
      <c r="A1302" t="s">
        <v>6407</v>
      </c>
      <c r="B1302" t="s">
        <v>1</v>
      </c>
      <c r="C1302" t="s">
        <v>6408</v>
      </c>
      <c r="E1302" t="s">
        <v>6409</v>
      </c>
      <c r="F1302" t="s">
        <v>5</v>
      </c>
      <c r="G1302" t="s">
        <v>6</v>
      </c>
      <c r="L1302" t="s">
        <v>7</v>
      </c>
      <c r="M1302">
        <v>2003</v>
      </c>
      <c r="N1302" s="1">
        <v>37826</v>
      </c>
      <c r="O1302" t="s">
        <v>661</v>
      </c>
      <c r="P1302">
        <v>1</v>
      </c>
      <c r="S1302">
        <v>217.95</v>
      </c>
      <c r="T1302">
        <v>250</v>
      </c>
      <c r="U1302">
        <v>190</v>
      </c>
      <c r="V1302" t="s">
        <v>42</v>
      </c>
      <c r="W1302" t="s">
        <v>116</v>
      </c>
      <c r="X1302" t="s">
        <v>116</v>
      </c>
      <c r="Y1302" t="s">
        <v>117</v>
      </c>
      <c r="AF1302" t="s">
        <v>13</v>
      </c>
      <c r="AG1302" t="str">
        <f>HYPERLINK("https://doi.org/10.1515/9781474473620")</f>
        <v>https://doi.org/10.1515/9781474473620</v>
      </c>
      <c r="AH1302" t="str">
        <f>HYPERLINK("http://www.degruyter.com/isbn/9781474473620")</f>
        <v>http://www.degruyter.com/isbn/9781474473620</v>
      </c>
      <c r="AI1302" t="s">
        <v>68</v>
      </c>
      <c r="AL1302" t="s">
        <v>47</v>
      </c>
      <c r="AM1302">
        <v>1</v>
      </c>
      <c r="AN1302" s="2">
        <v>9780748614356</v>
      </c>
    </row>
    <row r="1303" spans="1:40" x14ac:dyDescent="0.3">
      <c r="A1303" t="s">
        <v>6410</v>
      </c>
      <c r="B1303" t="s">
        <v>1</v>
      </c>
      <c r="C1303" t="s">
        <v>6411</v>
      </c>
      <c r="D1303" t="s">
        <v>27</v>
      </c>
      <c r="E1303" t="s">
        <v>6412</v>
      </c>
      <c r="F1303" t="s">
        <v>5</v>
      </c>
      <c r="G1303" t="s">
        <v>6</v>
      </c>
      <c r="L1303" t="s">
        <v>7</v>
      </c>
      <c r="M1303">
        <v>1999</v>
      </c>
      <c r="N1303" s="1">
        <v>44599</v>
      </c>
      <c r="O1303" t="s">
        <v>6413</v>
      </c>
      <c r="P1303">
        <v>1</v>
      </c>
      <c r="S1303">
        <v>217.95</v>
      </c>
      <c r="T1303">
        <v>250</v>
      </c>
      <c r="U1303">
        <v>190</v>
      </c>
      <c r="V1303" t="s">
        <v>20</v>
      </c>
      <c r="W1303" t="s">
        <v>21</v>
      </c>
      <c r="X1303" t="s">
        <v>22</v>
      </c>
      <c r="Y1303" t="s">
        <v>1345</v>
      </c>
      <c r="AF1303" t="s">
        <v>13</v>
      </c>
      <c r="AG1303" t="str">
        <f>HYPERLINK("https://doi.org/10.1515/9780585060590")</f>
        <v>https://doi.org/10.1515/9780585060590</v>
      </c>
      <c r="AH1303" t="str">
        <f>HYPERLINK("http://www.degruyter.com/isbn/9780585060590")</f>
        <v>http://www.degruyter.com/isbn/9780585060590</v>
      </c>
      <c r="AI1303" t="s">
        <v>24</v>
      </c>
      <c r="AL1303" t="s">
        <v>15</v>
      </c>
      <c r="AM1303">
        <v>1</v>
      </c>
      <c r="AN1303" s="2">
        <v>9781853312144</v>
      </c>
    </row>
    <row r="1304" spans="1:40" x14ac:dyDescent="0.3">
      <c r="A1304" t="s">
        <v>6414</v>
      </c>
      <c r="B1304" t="s">
        <v>1</v>
      </c>
      <c r="C1304" t="s">
        <v>6415</v>
      </c>
      <c r="E1304" t="s">
        <v>6416</v>
      </c>
      <c r="F1304" t="s">
        <v>5</v>
      </c>
      <c r="G1304" t="s">
        <v>6</v>
      </c>
      <c r="L1304" t="s">
        <v>7</v>
      </c>
      <c r="M1304">
        <v>2012</v>
      </c>
      <c r="N1304" s="1">
        <v>41003</v>
      </c>
      <c r="O1304" t="s">
        <v>6417</v>
      </c>
      <c r="P1304">
        <v>1</v>
      </c>
      <c r="Q1304" t="s">
        <v>6418</v>
      </c>
      <c r="S1304">
        <v>253.95</v>
      </c>
      <c r="T1304">
        <v>290</v>
      </c>
      <c r="U1304">
        <v>220</v>
      </c>
      <c r="V1304" t="s">
        <v>42</v>
      </c>
      <c r="W1304" t="s">
        <v>43</v>
      </c>
      <c r="X1304" t="s">
        <v>44</v>
      </c>
      <c r="Y1304" t="s">
        <v>45</v>
      </c>
      <c r="AF1304" t="s">
        <v>13</v>
      </c>
      <c r="AG1304" t="str">
        <f>HYPERLINK("https://doi.org/10.1515/9780748647460")</f>
        <v>https://doi.org/10.1515/9780748647460</v>
      </c>
      <c r="AH1304" t="str">
        <f>HYPERLINK("http://www.degruyter.com/isbn/9780748647460")</f>
        <v>http://www.degruyter.com/isbn/9780748647460</v>
      </c>
      <c r="AI1304" t="s">
        <v>68</v>
      </c>
      <c r="AL1304" t="s">
        <v>47</v>
      </c>
      <c r="AM1304">
        <v>1</v>
      </c>
      <c r="AN1304" s="2">
        <v>9780748641215</v>
      </c>
    </row>
    <row r="1305" spans="1:40" x14ac:dyDescent="0.3">
      <c r="A1305" t="s">
        <v>6419</v>
      </c>
      <c r="B1305" t="s">
        <v>1</v>
      </c>
      <c r="C1305" t="s">
        <v>6420</v>
      </c>
      <c r="D1305" t="s">
        <v>6421</v>
      </c>
      <c r="E1305" t="s">
        <v>6422</v>
      </c>
      <c r="F1305" t="s">
        <v>5</v>
      </c>
      <c r="G1305" t="s">
        <v>6</v>
      </c>
      <c r="L1305" t="s">
        <v>7</v>
      </c>
      <c r="M1305">
        <v>2015</v>
      </c>
      <c r="N1305" s="1">
        <v>42346</v>
      </c>
      <c r="O1305" t="s">
        <v>6423</v>
      </c>
      <c r="P1305">
        <v>1</v>
      </c>
      <c r="S1305">
        <v>243.95</v>
      </c>
      <c r="T1305">
        <v>280</v>
      </c>
      <c r="U1305">
        <v>210</v>
      </c>
      <c r="V1305" t="s">
        <v>20</v>
      </c>
      <c r="W1305" t="s">
        <v>21</v>
      </c>
      <c r="X1305" t="s">
        <v>839</v>
      </c>
      <c r="Y1305" t="s">
        <v>1850</v>
      </c>
      <c r="AF1305" t="s">
        <v>13</v>
      </c>
      <c r="AG1305" t="str">
        <f>HYPERLINK("https://doi.org/10.1515/9781474409216")</f>
        <v>https://doi.org/10.1515/9781474409216</v>
      </c>
      <c r="AH1305" t="str">
        <f>HYPERLINK("http://www.degruyter.com/isbn/9781474409216")</f>
        <v>http://www.degruyter.com/isbn/9781474409216</v>
      </c>
      <c r="AI1305" t="s">
        <v>34</v>
      </c>
      <c r="AJ1305" t="s">
        <v>35</v>
      </c>
      <c r="AL1305" t="s">
        <v>1346</v>
      </c>
      <c r="AM1305">
        <v>1</v>
      </c>
      <c r="AN1305" s="2">
        <v>9781474409209</v>
      </c>
    </row>
    <row r="1306" spans="1:40" x14ac:dyDescent="0.3">
      <c r="A1306" t="s">
        <v>6424</v>
      </c>
      <c r="B1306" t="s">
        <v>1</v>
      </c>
      <c r="C1306" t="s">
        <v>6425</v>
      </c>
      <c r="E1306" t="s">
        <v>6426</v>
      </c>
      <c r="F1306" t="s">
        <v>5</v>
      </c>
      <c r="G1306" t="s">
        <v>6</v>
      </c>
      <c r="L1306" t="s">
        <v>7</v>
      </c>
      <c r="M1306">
        <v>2019</v>
      </c>
      <c r="N1306" s="1">
        <v>44644</v>
      </c>
      <c r="O1306" t="s">
        <v>6427</v>
      </c>
      <c r="P1306">
        <v>1</v>
      </c>
      <c r="S1306">
        <v>217.95</v>
      </c>
      <c r="T1306">
        <v>250</v>
      </c>
      <c r="U1306">
        <v>190</v>
      </c>
      <c r="V1306" t="s">
        <v>42</v>
      </c>
      <c r="W1306" t="s">
        <v>43</v>
      </c>
      <c r="X1306" t="s">
        <v>44</v>
      </c>
      <c r="Y1306" t="s">
        <v>45</v>
      </c>
      <c r="AF1306" t="s">
        <v>13</v>
      </c>
      <c r="AG1306" t="str">
        <f>HYPERLINK("https://doi.org/10.1515/9781474435376")</f>
        <v>https://doi.org/10.1515/9781474435376</v>
      </c>
      <c r="AH1306" t="str">
        <f>HYPERLINK("http://www.degruyter.com/isbn/9781474435376")</f>
        <v>http://www.degruyter.com/isbn/9781474435376</v>
      </c>
      <c r="AI1306" t="s">
        <v>280</v>
      </c>
      <c r="AJ1306" t="s">
        <v>35</v>
      </c>
      <c r="AL1306" t="s">
        <v>520</v>
      </c>
      <c r="AM1306">
        <v>1</v>
      </c>
      <c r="AN1306" s="2">
        <v>9781474435369</v>
      </c>
    </row>
    <row r="1307" spans="1:40" x14ac:dyDescent="0.3">
      <c r="A1307" t="s">
        <v>6428</v>
      </c>
      <c r="B1307" t="s">
        <v>1</v>
      </c>
      <c r="C1307" t="s">
        <v>6429</v>
      </c>
      <c r="D1307" t="s">
        <v>6430</v>
      </c>
      <c r="E1307" t="s">
        <v>6431</v>
      </c>
      <c r="F1307" t="s">
        <v>5</v>
      </c>
      <c r="G1307" t="s">
        <v>6</v>
      </c>
      <c r="L1307" t="s">
        <v>7</v>
      </c>
      <c r="M1307">
        <v>2015</v>
      </c>
      <c r="N1307" s="1">
        <v>42179</v>
      </c>
      <c r="O1307" t="s">
        <v>6432</v>
      </c>
      <c r="P1307">
        <v>1</v>
      </c>
      <c r="S1307">
        <v>217.95</v>
      </c>
      <c r="T1307">
        <v>250</v>
      </c>
      <c r="U1307">
        <v>190</v>
      </c>
      <c r="V1307" t="s">
        <v>9</v>
      </c>
      <c r="W1307" t="s">
        <v>10</v>
      </c>
      <c r="X1307" t="s">
        <v>11</v>
      </c>
      <c r="Y1307" t="s">
        <v>52</v>
      </c>
      <c r="AF1307" t="s">
        <v>13</v>
      </c>
      <c r="AG1307" t="str">
        <f>HYPERLINK("https://doi.org/10.1515/9780748694143")</f>
        <v>https://doi.org/10.1515/9780748694143</v>
      </c>
      <c r="AH1307" t="str">
        <f>HYPERLINK("http://www.degruyter.com/isbn/9780748694143")</f>
        <v>http://www.degruyter.com/isbn/9780748694143</v>
      </c>
      <c r="AI1307" t="s">
        <v>34</v>
      </c>
      <c r="AL1307" t="s">
        <v>15</v>
      </c>
      <c r="AM1307">
        <v>1</v>
      </c>
      <c r="AN1307" s="2">
        <v>9780748694136</v>
      </c>
    </row>
    <row r="1308" spans="1:40" x14ac:dyDescent="0.3">
      <c r="A1308" t="s">
        <v>6433</v>
      </c>
      <c r="B1308" t="s">
        <v>1</v>
      </c>
      <c r="C1308" t="s">
        <v>6434</v>
      </c>
      <c r="D1308" t="s">
        <v>6435</v>
      </c>
      <c r="E1308" t="s">
        <v>6436</v>
      </c>
      <c r="F1308" t="s">
        <v>5</v>
      </c>
      <c r="G1308" t="s">
        <v>6</v>
      </c>
      <c r="L1308" t="s">
        <v>7</v>
      </c>
      <c r="M1308">
        <v>2012</v>
      </c>
      <c r="N1308" s="1">
        <v>40961</v>
      </c>
      <c r="O1308" t="s">
        <v>6377</v>
      </c>
      <c r="P1308">
        <v>1</v>
      </c>
      <c r="Q1308" t="s">
        <v>6437</v>
      </c>
      <c r="S1308">
        <v>253.95</v>
      </c>
      <c r="T1308">
        <v>290</v>
      </c>
      <c r="U1308">
        <v>220</v>
      </c>
      <c r="V1308" t="s">
        <v>58</v>
      </c>
      <c r="W1308" t="s">
        <v>59</v>
      </c>
      <c r="X1308" t="s">
        <v>60</v>
      </c>
      <c r="Y1308" t="s">
        <v>145</v>
      </c>
      <c r="AF1308" t="s">
        <v>13</v>
      </c>
      <c r="AG1308" t="str">
        <f>HYPERLINK("https://doi.org/10.1515/9780748644551")</f>
        <v>https://doi.org/10.1515/9780748644551</v>
      </c>
      <c r="AH1308" t="str">
        <f>HYPERLINK("http://www.degruyter.com/isbn/9780748644551")</f>
        <v>http://www.degruyter.com/isbn/9780748644551</v>
      </c>
      <c r="AI1308" t="s">
        <v>68</v>
      </c>
      <c r="AL1308" t="s">
        <v>62</v>
      </c>
      <c r="AM1308">
        <v>1</v>
      </c>
      <c r="AN1308" s="2">
        <v>9780748644940</v>
      </c>
    </row>
    <row r="1309" spans="1:40" x14ac:dyDescent="0.3">
      <c r="A1309" t="s">
        <v>6438</v>
      </c>
      <c r="B1309" t="s">
        <v>1</v>
      </c>
      <c r="C1309" t="s">
        <v>6439</v>
      </c>
      <c r="D1309" t="s">
        <v>1146</v>
      </c>
      <c r="E1309" t="s">
        <v>6440</v>
      </c>
      <c r="F1309" t="s">
        <v>5</v>
      </c>
      <c r="G1309" t="s">
        <v>6</v>
      </c>
      <c r="L1309" t="s">
        <v>7</v>
      </c>
      <c r="M1309">
        <v>2005</v>
      </c>
      <c r="N1309" s="1">
        <v>38435</v>
      </c>
      <c r="O1309" t="s">
        <v>6441</v>
      </c>
      <c r="P1309">
        <v>1</v>
      </c>
      <c r="S1309">
        <v>253.95</v>
      </c>
      <c r="T1309">
        <v>290</v>
      </c>
      <c r="U1309">
        <v>220</v>
      </c>
      <c r="V1309" t="s">
        <v>58</v>
      </c>
      <c r="W1309" t="s">
        <v>59</v>
      </c>
      <c r="X1309" t="s">
        <v>60</v>
      </c>
      <c r="Y1309" t="s">
        <v>399</v>
      </c>
      <c r="AF1309" t="s">
        <v>13</v>
      </c>
      <c r="AG1309" t="str">
        <f>HYPERLINK("https://doi.org/10.1515/9781474472777")</f>
        <v>https://doi.org/10.1515/9781474472777</v>
      </c>
      <c r="AH1309" t="str">
        <f>HYPERLINK("http://www.degruyter.com/isbn/9781474472777")</f>
        <v>http://www.degruyter.com/isbn/9781474472777</v>
      </c>
      <c r="AI1309" t="s">
        <v>68</v>
      </c>
      <c r="AL1309" t="s">
        <v>62</v>
      </c>
      <c r="AM1309">
        <v>1</v>
      </c>
      <c r="AN1309" s="2">
        <v>9780748617746</v>
      </c>
    </row>
    <row r="1310" spans="1:40" x14ac:dyDescent="0.3">
      <c r="A1310" t="s">
        <v>6442</v>
      </c>
      <c r="B1310" t="s">
        <v>1</v>
      </c>
      <c r="C1310" t="s">
        <v>6443</v>
      </c>
      <c r="E1310" t="s">
        <v>6444</v>
      </c>
      <c r="F1310" t="s">
        <v>5</v>
      </c>
      <c r="G1310" t="s">
        <v>6</v>
      </c>
      <c r="L1310" t="s">
        <v>7</v>
      </c>
      <c r="M1310">
        <v>2005</v>
      </c>
      <c r="N1310" s="1">
        <v>44634</v>
      </c>
      <c r="O1310" t="s">
        <v>6445</v>
      </c>
      <c r="P1310">
        <v>1</v>
      </c>
      <c r="S1310">
        <v>217.95</v>
      </c>
      <c r="T1310">
        <v>250</v>
      </c>
      <c r="U1310">
        <v>190</v>
      </c>
      <c r="V1310" t="s">
        <v>9</v>
      </c>
      <c r="W1310" t="s">
        <v>10</v>
      </c>
      <c r="X1310" t="s">
        <v>11</v>
      </c>
      <c r="Y1310" t="s">
        <v>12</v>
      </c>
      <c r="AF1310" t="s">
        <v>13</v>
      </c>
      <c r="AG1310" t="str">
        <f>HYPERLINK("https://doi.org/10.1515/9781474472579")</f>
        <v>https://doi.org/10.1515/9781474472579</v>
      </c>
      <c r="AH1310" t="str">
        <f>HYPERLINK("http://www.degruyter.com/isbn/9781474472579")</f>
        <v>http://www.degruyter.com/isbn/9781474472579</v>
      </c>
      <c r="AI1310" t="s">
        <v>6446</v>
      </c>
      <c r="AL1310" t="s">
        <v>15</v>
      </c>
      <c r="AM1310">
        <v>1</v>
      </c>
      <c r="AN1310" s="2">
        <v>9780748618521</v>
      </c>
    </row>
    <row r="1311" spans="1:40" x14ac:dyDescent="0.3">
      <c r="A1311" t="s">
        <v>6447</v>
      </c>
      <c r="B1311" t="s">
        <v>1</v>
      </c>
      <c r="C1311" t="s">
        <v>6448</v>
      </c>
      <c r="D1311" t="s">
        <v>3334</v>
      </c>
      <c r="E1311" t="s">
        <v>6449</v>
      </c>
      <c r="F1311" t="s">
        <v>5</v>
      </c>
      <c r="G1311" t="s">
        <v>6</v>
      </c>
      <c r="L1311" t="s">
        <v>7</v>
      </c>
      <c r="M1311">
        <v>2021</v>
      </c>
      <c r="N1311" s="1">
        <v>44592</v>
      </c>
      <c r="O1311" t="s">
        <v>3336</v>
      </c>
      <c r="P1311">
        <v>1</v>
      </c>
      <c r="S1311">
        <v>253.95</v>
      </c>
      <c r="T1311">
        <v>290</v>
      </c>
      <c r="U1311">
        <v>220</v>
      </c>
      <c r="V1311" t="s">
        <v>98</v>
      </c>
      <c r="W1311" t="s">
        <v>6450</v>
      </c>
      <c r="X1311" t="s">
        <v>6451</v>
      </c>
      <c r="Y1311" t="s">
        <v>6452</v>
      </c>
      <c r="AF1311" t="s">
        <v>13</v>
      </c>
      <c r="AG1311" t="str">
        <f>HYPERLINK("https://doi.org/10.1515/9781474419413")</f>
        <v>https://doi.org/10.1515/9781474419413</v>
      </c>
      <c r="AH1311" t="str">
        <f>HYPERLINK("http://www.degruyter.com/isbn/9781474419413")</f>
        <v>http://www.degruyter.com/isbn/9781474419413</v>
      </c>
      <c r="AI1311" t="s">
        <v>565</v>
      </c>
      <c r="AL1311" t="s">
        <v>102</v>
      </c>
      <c r="AM1311">
        <v>1</v>
      </c>
      <c r="AN1311" s="2">
        <v>9781474419406</v>
      </c>
    </row>
    <row r="1312" spans="1:40" x14ac:dyDescent="0.3">
      <c r="A1312" t="s">
        <v>6453</v>
      </c>
      <c r="B1312" t="s">
        <v>1</v>
      </c>
      <c r="C1312" t="s">
        <v>6454</v>
      </c>
      <c r="E1312" t="s">
        <v>6455</v>
      </c>
      <c r="F1312" t="s">
        <v>5</v>
      </c>
      <c r="G1312" t="s">
        <v>6</v>
      </c>
      <c r="L1312" t="s">
        <v>7</v>
      </c>
      <c r="M1312">
        <v>2005</v>
      </c>
      <c r="N1312" s="1">
        <v>38457</v>
      </c>
      <c r="O1312" t="s">
        <v>6456</v>
      </c>
      <c r="P1312">
        <v>1</v>
      </c>
      <c r="S1312">
        <v>107.95</v>
      </c>
      <c r="T1312">
        <v>122</v>
      </c>
      <c r="U1312">
        <v>94</v>
      </c>
      <c r="V1312" t="s">
        <v>847</v>
      </c>
      <c r="W1312" t="s">
        <v>848</v>
      </c>
      <c r="X1312" t="s">
        <v>1771</v>
      </c>
      <c r="Y1312" t="s">
        <v>1772</v>
      </c>
      <c r="AF1312" t="s">
        <v>13</v>
      </c>
      <c r="AG1312" t="str">
        <f>HYPERLINK("https://doi.org/10.1515/9781474469364")</f>
        <v>https://doi.org/10.1515/9781474469364</v>
      </c>
      <c r="AH1312" t="str">
        <f>HYPERLINK("http://www.degruyter.com/isbn/9781474469364")</f>
        <v>http://www.degruyter.com/isbn/9781474469364</v>
      </c>
      <c r="AI1312" t="s">
        <v>68</v>
      </c>
      <c r="AL1312" t="s">
        <v>1070</v>
      </c>
      <c r="AM1312">
        <v>1</v>
      </c>
      <c r="AN1312" s="2">
        <v>9780748621781</v>
      </c>
    </row>
    <row r="1313" spans="1:40" x14ac:dyDescent="0.3">
      <c r="A1313" t="s">
        <v>6457</v>
      </c>
      <c r="B1313" t="s">
        <v>1</v>
      </c>
      <c r="C1313" t="s">
        <v>6458</v>
      </c>
      <c r="E1313" t="s">
        <v>6459</v>
      </c>
      <c r="F1313" t="s">
        <v>5</v>
      </c>
      <c r="G1313" t="s">
        <v>6</v>
      </c>
      <c r="L1313" t="s">
        <v>7</v>
      </c>
      <c r="M1313">
        <v>1998</v>
      </c>
      <c r="N1313" s="1">
        <v>44599</v>
      </c>
      <c r="O1313" t="s">
        <v>6460</v>
      </c>
      <c r="P1313">
        <v>1</v>
      </c>
      <c r="S1313">
        <v>209.95</v>
      </c>
      <c r="T1313">
        <v>240</v>
      </c>
      <c r="U1313">
        <v>180</v>
      </c>
      <c r="V1313" t="s">
        <v>58</v>
      </c>
      <c r="W1313" t="s">
        <v>129</v>
      </c>
      <c r="X1313" t="s">
        <v>130</v>
      </c>
      <c r="Y1313" t="s">
        <v>131</v>
      </c>
      <c r="AF1313" t="s">
        <v>13</v>
      </c>
      <c r="AG1313" t="str">
        <f>HYPERLINK("https://doi.org/10.1515/9781474469500")</f>
        <v>https://doi.org/10.1515/9781474469500</v>
      </c>
      <c r="AH1313" t="str">
        <f>HYPERLINK("http://www.degruyter.com/isbn/9781474469500")</f>
        <v>http://www.degruyter.com/isbn/9781474469500</v>
      </c>
      <c r="AI1313" t="s">
        <v>24</v>
      </c>
      <c r="AJ1313" t="s">
        <v>35</v>
      </c>
      <c r="AL1313" t="s">
        <v>155</v>
      </c>
      <c r="AM1313">
        <v>1</v>
      </c>
      <c r="AN1313" s="2">
        <v>9780748611416</v>
      </c>
    </row>
    <row r="1314" spans="1:40" x14ac:dyDescent="0.3">
      <c r="A1314" t="s">
        <v>6461</v>
      </c>
      <c r="B1314" t="s">
        <v>1</v>
      </c>
      <c r="C1314" t="s">
        <v>6462</v>
      </c>
      <c r="E1314" t="s">
        <v>6463</v>
      </c>
      <c r="F1314" t="s">
        <v>5</v>
      </c>
      <c r="G1314" t="s">
        <v>6</v>
      </c>
      <c r="L1314" t="s">
        <v>7</v>
      </c>
      <c r="M1314">
        <v>2003</v>
      </c>
      <c r="N1314" s="1">
        <v>44690</v>
      </c>
      <c r="O1314" t="s">
        <v>6464</v>
      </c>
      <c r="P1314">
        <v>1</v>
      </c>
      <c r="S1314">
        <v>217.95</v>
      </c>
      <c r="T1314">
        <v>250</v>
      </c>
      <c r="U1314">
        <v>190</v>
      </c>
      <c r="V1314" t="s">
        <v>58</v>
      </c>
      <c r="W1314" t="s">
        <v>129</v>
      </c>
      <c r="X1314" t="s">
        <v>130</v>
      </c>
      <c r="Y1314" t="s">
        <v>1556</v>
      </c>
      <c r="AF1314" t="s">
        <v>13</v>
      </c>
      <c r="AG1314" t="str">
        <f>HYPERLINK("https://doi.org/10.1515/9781474473422")</f>
        <v>https://doi.org/10.1515/9781474473422</v>
      </c>
      <c r="AH1314" t="str">
        <f>HYPERLINK("http://www.degruyter.com/isbn/9781474473422")</f>
        <v>http://www.degruyter.com/isbn/9781474473422</v>
      </c>
      <c r="AI1314" t="s">
        <v>68</v>
      </c>
      <c r="AL1314" t="s">
        <v>62</v>
      </c>
      <c r="AM1314">
        <v>1</v>
      </c>
      <c r="AN1314" s="2">
        <v>9780748618590</v>
      </c>
    </row>
    <row r="1315" spans="1:40" x14ac:dyDescent="0.3">
      <c r="A1315" t="s">
        <v>6465</v>
      </c>
      <c r="B1315" t="s">
        <v>1</v>
      </c>
      <c r="C1315" t="s">
        <v>6466</v>
      </c>
      <c r="D1315" t="s">
        <v>6467</v>
      </c>
      <c r="E1315" t="s">
        <v>6468</v>
      </c>
      <c r="F1315" t="s">
        <v>5</v>
      </c>
      <c r="G1315" t="s">
        <v>6</v>
      </c>
      <c r="L1315" t="s">
        <v>7</v>
      </c>
      <c r="M1315">
        <v>2010</v>
      </c>
      <c r="N1315" s="1">
        <v>40508</v>
      </c>
      <c r="O1315" t="s">
        <v>6223</v>
      </c>
      <c r="P1315">
        <v>1</v>
      </c>
      <c r="S1315">
        <v>217.95</v>
      </c>
      <c r="T1315">
        <v>250</v>
      </c>
      <c r="U1315">
        <v>190</v>
      </c>
      <c r="V1315" t="s">
        <v>20</v>
      </c>
      <c r="W1315" t="s">
        <v>21</v>
      </c>
      <c r="X1315" t="s">
        <v>22</v>
      </c>
      <c r="Y1315" t="s">
        <v>23</v>
      </c>
      <c r="AF1315" t="s">
        <v>13</v>
      </c>
      <c r="AG1315" t="str">
        <f>HYPERLINK("https://doi.org/10.1515/9780748644490")</f>
        <v>https://doi.org/10.1515/9780748644490</v>
      </c>
      <c r="AH1315" t="str">
        <f>HYPERLINK("http://www.degruyter.com/isbn/9780748644490")</f>
        <v>http://www.degruyter.com/isbn/9780748644490</v>
      </c>
      <c r="AI1315" t="s">
        <v>68</v>
      </c>
      <c r="AL1315" t="s">
        <v>15</v>
      </c>
      <c r="AM1315">
        <v>1</v>
      </c>
      <c r="AN1315" s="2">
        <v>9780748638772</v>
      </c>
    </row>
    <row r="1316" spans="1:40" x14ac:dyDescent="0.3">
      <c r="A1316" t="s">
        <v>6469</v>
      </c>
      <c r="B1316" t="s">
        <v>1</v>
      </c>
      <c r="C1316" t="s">
        <v>6470</v>
      </c>
      <c r="D1316" t="s">
        <v>6471</v>
      </c>
      <c r="E1316" t="s">
        <v>6472</v>
      </c>
      <c r="F1316" t="s">
        <v>5</v>
      </c>
      <c r="G1316" t="s">
        <v>6</v>
      </c>
      <c r="K1316" t="s">
        <v>929</v>
      </c>
      <c r="L1316" t="s">
        <v>7</v>
      </c>
      <c r="M1316">
        <v>2012</v>
      </c>
      <c r="N1316" s="1">
        <v>41260</v>
      </c>
      <c r="O1316" t="s">
        <v>988</v>
      </c>
      <c r="P1316">
        <v>1</v>
      </c>
      <c r="V1316" t="s">
        <v>58</v>
      </c>
      <c r="W1316" t="s">
        <v>59</v>
      </c>
      <c r="X1316" t="s">
        <v>60</v>
      </c>
      <c r="Y1316" t="s">
        <v>145</v>
      </c>
      <c r="AF1316" t="s">
        <v>13</v>
      </c>
      <c r="AG1316" t="str">
        <f>HYPERLINK("https://doi.org/10.1515/9780748664597")</f>
        <v>https://doi.org/10.1515/9780748664597</v>
      </c>
      <c r="AH1316" t="str">
        <f>HYPERLINK("http://www.degruyter.com/isbn/9780748664597")</f>
        <v>http://www.degruyter.com/isbn/9780748664597</v>
      </c>
      <c r="AI1316" t="s">
        <v>68</v>
      </c>
      <c r="AM1316">
        <v>1</v>
      </c>
      <c r="AN1316" s="2"/>
    </row>
    <row r="1317" spans="1:40" x14ac:dyDescent="0.3">
      <c r="A1317" t="s">
        <v>6473</v>
      </c>
      <c r="B1317" t="s">
        <v>1</v>
      </c>
      <c r="C1317" t="s">
        <v>6474</v>
      </c>
      <c r="D1317" t="s">
        <v>6475</v>
      </c>
      <c r="E1317" t="s">
        <v>6476</v>
      </c>
      <c r="F1317" t="s">
        <v>5</v>
      </c>
      <c r="G1317" t="s">
        <v>6</v>
      </c>
      <c r="L1317" t="s">
        <v>7</v>
      </c>
      <c r="M1317">
        <v>2006</v>
      </c>
      <c r="N1317" s="1">
        <v>38894</v>
      </c>
      <c r="O1317" t="s">
        <v>6477</v>
      </c>
      <c r="P1317">
        <v>1</v>
      </c>
      <c r="S1317">
        <v>243.95</v>
      </c>
      <c r="T1317">
        <v>280</v>
      </c>
      <c r="U1317">
        <v>210</v>
      </c>
      <c r="V1317" t="s">
        <v>20</v>
      </c>
      <c r="W1317" t="s">
        <v>21</v>
      </c>
      <c r="X1317" t="s">
        <v>6478</v>
      </c>
      <c r="Y1317" t="s">
        <v>6479</v>
      </c>
      <c r="AF1317" t="s">
        <v>13</v>
      </c>
      <c r="AG1317" t="str">
        <f>HYPERLINK("https://doi.org/10.1515/9780748627004?locatt=mode:legacy")</f>
        <v>https://doi.org/10.1515/9780748627004?locatt=mode:legacy</v>
      </c>
      <c r="AH1317" t="str">
        <f>HYPERLINK("http://www.degruyter.com/isbn/9780748627004")</f>
        <v>http://www.degruyter.com/isbn/9780748627004</v>
      </c>
      <c r="AI1317" t="s">
        <v>68</v>
      </c>
      <c r="AL1317" t="s">
        <v>15</v>
      </c>
      <c r="AM1317">
        <v>1</v>
      </c>
      <c r="AN1317" s="2">
        <v>9780748624782</v>
      </c>
    </row>
    <row r="1318" spans="1:40" x14ac:dyDescent="0.3">
      <c r="A1318" t="s">
        <v>6480</v>
      </c>
      <c r="B1318" t="s">
        <v>1</v>
      </c>
      <c r="C1318" t="s">
        <v>6481</v>
      </c>
      <c r="E1318" t="s">
        <v>6482</v>
      </c>
      <c r="F1318" t="s">
        <v>5</v>
      </c>
      <c r="G1318" t="s">
        <v>6</v>
      </c>
      <c r="L1318" t="s">
        <v>7</v>
      </c>
      <c r="M1318">
        <v>2017</v>
      </c>
      <c r="N1318" s="1">
        <v>42793</v>
      </c>
      <c r="O1318" t="s">
        <v>6483</v>
      </c>
      <c r="P1318">
        <v>1</v>
      </c>
      <c r="S1318">
        <v>209.95</v>
      </c>
      <c r="T1318">
        <v>240</v>
      </c>
      <c r="U1318">
        <v>180</v>
      </c>
      <c r="V1318" t="s">
        <v>42</v>
      </c>
      <c r="W1318" t="s">
        <v>107</v>
      </c>
      <c r="X1318" t="s">
        <v>108</v>
      </c>
      <c r="Y1318" t="s">
        <v>109</v>
      </c>
      <c r="AF1318" t="s">
        <v>13</v>
      </c>
      <c r="AG1318" t="str">
        <f>HYPERLINK("https://doi.org/10.1515/9781474413527")</f>
        <v>https://doi.org/10.1515/9781474413527</v>
      </c>
      <c r="AH1318" t="str">
        <f>HYPERLINK("http://www.degruyter.com/isbn/9781474413527")</f>
        <v>http://www.degruyter.com/isbn/9781474413527</v>
      </c>
      <c r="AI1318" t="s">
        <v>222</v>
      </c>
      <c r="AL1318" t="s">
        <v>47</v>
      </c>
      <c r="AM1318">
        <v>1</v>
      </c>
      <c r="AN1318" s="2">
        <v>9781474413510</v>
      </c>
    </row>
    <row r="1319" spans="1:40" x14ac:dyDescent="0.3">
      <c r="A1319" t="s">
        <v>6484</v>
      </c>
      <c r="B1319" t="s">
        <v>1</v>
      </c>
      <c r="C1319" t="s">
        <v>6485</v>
      </c>
      <c r="E1319" t="s">
        <v>6486</v>
      </c>
      <c r="F1319" t="s">
        <v>5</v>
      </c>
      <c r="G1319" t="s">
        <v>6</v>
      </c>
      <c r="L1319" t="s">
        <v>7</v>
      </c>
      <c r="M1319">
        <v>1999</v>
      </c>
      <c r="N1319" s="1">
        <v>44656</v>
      </c>
      <c r="O1319" t="s">
        <v>97</v>
      </c>
      <c r="P1319">
        <v>1</v>
      </c>
      <c r="S1319">
        <v>217.95</v>
      </c>
      <c r="T1319">
        <v>250</v>
      </c>
      <c r="U1319">
        <v>190</v>
      </c>
      <c r="V1319" t="s">
        <v>42</v>
      </c>
      <c r="W1319" t="s">
        <v>161</v>
      </c>
      <c r="X1319" t="s">
        <v>162</v>
      </c>
      <c r="Y1319" t="s">
        <v>896</v>
      </c>
      <c r="AF1319" t="s">
        <v>13</v>
      </c>
      <c r="AG1319" t="str">
        <f>HYPERLINK("https://doi.org/10.1515/9780585159133")</f>
        <v>https://doi.org/10.1515/9780585159133</v>
      </c>
      <c r="AH1319" t="str">
        <f>HYPERLINK("http://www.degruyter.com/isbn/9780585159133")</f>
        <v>http://www.degruyter.com/isbn/9780585159133</v>
      </c>
      <c r="AI1319" t="s">
        <v>24</v>
      </c>
      <c r="AL1319" t="s">
        <v>47</v>
      </c>
      <c r="AM1319">
        <v>1</v>
      </c>
      <c r="AN1319" s="2">
        <v>9780748612802</v>
      </c>
    </row>
    <row r="1320" spans="1:40" x14ac:dyDescent="0.3">
      <c r="A1320" t="s">
        <v>6487</v>
      </c>
      <c r="B1320" t="s">
        <v>1</v>
      </c>
      <c r="C1320" t="s">
        <v>6488</v>
      </c>
      <c r="E1320" t="s">
        <v>6489</v>
      </c>
      <c r="F1320" t="s">
        <v>5</v>
      </c>
      <c r="G1320" t="s">
        <v>6</v>
      </c>
      <c r="L1320" t="s">
        <v>7</v>
      </c>
      <c r="M1320">
        <v>2021</v>
      </c>
      <c r="N1320" s="1">
        <v>44644</v>
      </c>
      <c r="O1320" t="s">
        <v>6490</v>
      </c>
      <c r="P1320">
        <v>1</v>
      </c>
      <c r="S1320">
        <v>217.95</v>
      </c>
      <c r="T1320">
        <v>250</v>
      </c>
      <c r="U1320">
        <v>190</v>
      </c>
      <c r="V1320" t="s">
        <v>42</v>
      </c>
      <c r="W1320" t="s">
        <v>740</v>
      </c>
      <c r="X1320" t="s">
        <v>3249</v>
      </c>
      <c r="Y1320" t="s">
        <v>117</v>
      </c>
      <c r="AF1320" t="s">
        <v>13</v>
      </c>
      <c r="AG1320" t="str">
        <f>HYPERLINK("https://doi.org/10.1515/9781474487153")</f>
        <v>https://doi.org/10.1515/9781474487153</v>
      </c>
      <c r="AH1320" t="str">
        <f>HYPERLINK("http://www.degruyter.com/isbn/9781474487153")</f>
        <v>http://www.degruyter.com/isbn/9781474487153</v>
      </c>
      <c r="AI1320" t="s">
        <v>1561</v>
      </c>
      <c r="AL1320" t="s">
        <v>47</v>
      </c>
      <c r="AM1320">
        <v>1</v>
      </c>
      <c r="AN1320" s="2">
        <v>9781474487139</v>
      </c>
    </row>
    <row r="1321" spans="1:40" x14ac:dyDescent="0.3">
      <c r="A1321" t="s">
        <v>6491</v>
      </c>
      <c r="B1321" t="s">
        <v>1</v>
      </c>
      <c r="C1321" t="s">
        <v>6492</v>
      </c>
      <c r="D1321" t="s">
        <v>6493</v>
      </c>
      <c r="E1321" t="s">
        <v>6494</v>
      </c>
      <c r="F1321" t="s">
        <v>5</v>
      </c>
      <c r="G1321" t="s">
        <v>6</v>
      </c>
      <c r="L1321" t="s">
        <v>7</v>
      </c>
      <c r="M1321">
        <v>2017</v>
      </c>
      <c r="N1321" s="1">
        <v>42925</v>
      </c>
      <c r="O1321" t="s">
        <v>6495</v>
      </c>
      <c r="P1321">
        <v>1</v>
      </c>
      <c r="S1321">
        <v>253.95</v>
      </c>
      <c r="T1321">
        <v>290</v>
      </c>
      <c r="U1321">
        <v>220</v>
      </c>
      <c r="V1321" t="s">
        <v>58</v>
      </c>
      <c r="W1321" t="s">
        <v>59</v>
      </c>
      <c r="X1321" t="s">
        <v>278</v>
      </c>
      <c r="Y1321" t="s">
        <v>932</v>
      </c>
      <c r="AF1321" t="s">
        <v>13</v>
      </c>
      <c r="AG1321" t="str">
        <f>HYPERLINK("https://doi.org/10.1515/9781474419772?locatt=mode:legacy")</f>
        <v>https://doi.org/10.1515/9781474419772?locatt=mode:legacy</v>
      </c>
      <c r="AH1321" t="str">
        <f>HYPERLINK("http://www.degruyter.com/isbn/9781474419772")</f>
        <v>http://www.degruyter.com/isbn/9781474419772</v>
      </c>
      <c r="AI1321" t="s">
        <v>222</v>
      </c>
      <c r="AL1321" t="s">
        <v>62</v>
      </c>
      <c r="AM1321">
        <v>1</v>
      </c>
      <c r="AN1321" s="2">
        <v>9781474419765</v>
      </c>
    </row>
    <row r="1322" spans="1:40" x14ac:dyDescent="0.3">
      <c r="A1322" t="s">
        <v>6496</v>
      </c>
      <c r="B1322" t="s">
        <v>1</v>
      </c>
      <c r="C1322" t="s">
        <v>6497</v>
      </c>
      <c r="E1322" t="s">
        <v>6498</v>
      </c>
      <c r="F1322" t="s">
        <v>5</v>
      </c>
      <c r="G1322" t="s">
        <v>6</v>
      </c>
      <c r="L1322" t="s">
        <v>7</v>
      </c>
      <c r="M1322">
        <v>2008</v>
      </c>
      <c r="N1322" s="1">
        <v>39590</v>
      </c>
      <c r="O1322" t="s">
        <v>343</v>
      </c>
      <c r="P1322">
        <v>1</v>
      </c>
      <c r="S1322">
        <v>173.95</v>
      </c>
      <c r="T1322">
        <v>200</v>
      </c>
      <c r="U1322">
        <v>150</v>
      </c>
      <c r="V1322" t="s">
        <v>42</v>
      </c>
      <c r="W1322" t="s">
        <v>107</v>
      </c>
      <c r="X1322" t="s">
        <v>108</v>
      </c>
      <c r="Y1322" t="s">
        <v>2244</v>
      </c>
      <c r="AF1322" t="s">
        <v>13</v>
      </c>
      <c r="AG1322" t="str">
        <f>HYPERLINK("https://doi.org/10.1515/9780748632152?locatt=mode:legacy")</f>
        <v>https://doi.org/10.1515/9780748632152?locatt=mode:legacy</v>
      </c>
      <c r="AH1322" t="str">
        <f>HYPERLINK("http://www.degruyter.com/isbn/9780748632152")</f>
        <v>http://www.degruyter.com/isbn/9780748632152</v>
      </c>
      <c r="AI1322" t="s">
        <v>68</v>
      </c>
      <c r="AL1322" t="s">
        <v>47</v>
      </c>
      <c r="AM1322">
        <v>1</v>
      </c>
      <c r="AN1322" s="2">
        <v>9780748633012</v>
      </c>
    </row>
    <row r="1323" spans="1:40" x14ac:dyDescent="0.3">
      <c r="A1323" t="s">
        <v>6499</v>
      </c>
      <c r="B1323" t="s">
        <v>1</v>
      </c>
      <c r="C1323" t="s">
        <v>6500</v>
      </c>
      <c r="D1323" t="s">
        <v>6501</v>
      </c>
      <c r="E1323" t="s">
        <v>6502</v>
      </c>
      <c r="F1323" t="s">
        <v>5</v>
      </c>
      <c r="G1323" t="s">
        <v>6</v>
      </c>
      <c r="L1323" t="s">
        <v>7</v>
      </c>
      <c r="M1323">
        <v>2014</v>
      </c>
      <c r="N1323" s="1">
        <v>41807</v>
      </c>
      <c r="O1323" t="s">
        <v>6503</v>
      </c>
      <c r="P1323">
        <v>1</v>
      </c>
      <c r="S1323">
        <v>217.95</v>
      </c>
      <c r="T1323">
        <v>250</v>
      </c>
      <c r="U1323">
        <v>190</v>
      </c>
      <c r="V1323" t="s">
        <v>9</v>
      </c>
      <c r="W1323" t="s">
        <v>10</v>
      </c>
      <c r="X1323" t="s">
        <v>11</v>
      </c>
      <c r="Y1323" t="s">
        <v>52</v>
      </c>
      <c r="AF1323" t="s">
        <v>13</v>
      </c>
      <c r="AG1323" t="str">
        <f>HYPERLINK("https://doi.org/10.1515/9780748685509?locatt=mode:legacy")</f>
        <v>https://doi.org/10.1515/9780748685509?locatt=mode:legacy</v>
      </c>
      <c r="AH1323" t="str">
        <f>HYPERLINK("http://www.degruyter.com/isbn/9780748685509")</f>
        <v>http://www.degruyter.com/isbn/9780748685509</v>
      </c>
      <c r="AI1323" t="s">
        <v>34</v>
      </c>
      <c r="AL1323" t="s">
        <v>15</v>
      </c>
      <c r="AM1323">
        <v>1</v>
      </c>
      <c r="AN1323" s="2">
        <v>9780748685493</v>
      </c>
    </row>
    <row r="1324" spans="1:40" x14ac:dyDescent="0.3">
      <c r="A1324" t="s">
        <v>6504</v>
      </c>
      <c r="B1324" t="s">
        <v>1</v>
      </c>
      <c r="C1324" t="s">
        <v>6505</v>
      </c>
      <c r="D1324" t="s">
        <v>27</v>
      </c>
      <c r="E1324" t="s">
        <v>6506</v>
      </c>
      <c r="F1324" t="s">
        <v>5</v>
      </c>
      <c r="G1324" t="s">
        <v>6</v>
      </c>
      <c r="L1324" t="s">
        <v>7</v>
      </c>
      <c r="M1324">
        <v>2015</v>
      </c>
      <c r="N1324" s="1">
        <v>42043</v>
      </c>
      <c r="O1324" t="s">
        <v>6507</v>
      </c>
      <c r="P1324">
        <v>1</v>
      </c>
      <c r="S1324">
        <v>191.95</v>
      </c>
      <c r="T1324">
        <v>220</v>
      </c>
      <c r="U1324">
        <v>170</v>
      </c>
      <c r="V1324" t="s">
        <v>42</v>
      </c>
      <c r="W1324" t="s">
        <v>43</v>
      </c>
      <c r="X1324" t="s">
        <v>178</v>
      </c>
      <c r="Y1324" t="s">
        <v>6508</v>
      </c>
      <c r="AF1324" t="s">
        <v>13</v>
      </c>
      <c r="AG1324" t="str">
        <f>HYPERLINK("https://doi.org/10.1515/9780748681563")</f>
        <v>https://doi.org/10.1515/9780748681563</v>
      </c>
      <c r="AH1324" t="str">
        <f>HYPERLINK("http://www.degruyter.com/isbn/9780748681563")</f>
        <v>http://www.degruyter.com/isbn/9780748681563</v>
      </c>
      <c r="AI1324" t="s">
        <v>34</v>
      </c>
      <c r="AL1324" t="s">
        <v>47</v>
      </c>
      <c r="AM1324">
        <v>1</v>
      </c>
      <c r="AN1324" s="2">
        <v>9780748681549</v>
      </c>
    </row>
    <row r="1325" spans="1:40" x14ac:dyDescent="0.3">
      <c r="A1325" t="s">
        <v>6509</v>
      </c>
      <c r="B1325" t="s">
        <v>1</v>
      </c>
      <c r="C1325" t="s">
        <v>6510</v>
      </c>
      <c r="E1325" t="s">
        <v>6511</v>
      </c>
      <c r="F1325" t="s">
        <v>5</v>
      </c>
      <c r="G1325" t="s">
        <v>6</v>
      </c>
      <c r="L1325" t="s">
        <v>7</v>
      </c>
      <c r="M1325">
        <v>1990</v>
      </c>
      <c r="N1325" s="1">
        <v>44592</v>
      </c>
      <c r="O1325" t="s">
        <v>6512</v>
      </c>
      <c r="P1325">
        <v>1</v>
      </c>
      <c r="S1325">
        <v>217.95</v>
      </c>
      <c r="T1325">
        <v>250</v>
      </c>
      <c r="U1325">
        <v>190</v>
      </c>
      <c r="V1325" t="s">
        <v>42</v>
      </c>
      <c r="W1325" t="s">
        <v>107</v>
      </c>
      <c r="X1325" t="s">
        <v>108</v>
      </c>
      <c r="Y1325" t="s">
        <v>952</v>
      </c>
      <c r="AF1325" t="s">
        <v>13</v>
      </c>
      <c r="AG1325" t="str">
        <f>HYPERLINK("https://doi.org/10.1515/9781474473149")</f>
        <v>https://doi.org/10.1515/9781474473149</v>
      </c>
      <c r="AH1325" t="str">
        <f>HYPERLINK("http://www.degruyter.com/isbn/9781474473149")</f>
        <v>http://www.degruyter.com/isbn/9781474473149</v>
      </c>
      <c r="AI1325" t="s">
        <v>24</v>
      </c>
      <c r="AL1325" t="s">
        <v>47</v>
      </c>
      <c r="AM1325">
        <v>1</v>
      </c>
      <c r="AN1325" s="2">
        <v>9780748601271</v>
      </c>
    </row>
    <row r="1326" spans="1:40" x14ac:dyDescent="0.3">
      <c r="A1326" t="s">
        <v>6513</v>
      </c>
      <c r="B1326" t="s">
        <v>1</v>
      </c>
      <c r="C1326" t="s">
        <v>6514</v>
      </c>
      <c r="D1326" t="s">
        <v>6515</v>
      </c>
      <c r="E1326" t="s">
        <v>6516</v>
      </c>
      <c r="F1326" t="s">
        <v>5</v>
      </c>
      <c r="G1326" t="s">
        <v>6</v>
      </c>
      <c r="L1326" t="s">
        <v>7</v>
      </c>
      <c r="M1326">
        <v>2011</v>
      </c>
      <c r="N1326" s="1">
        <v>40723</v>
      </c>
      <c r="O1326" t="s">
        <v>6517</v>
      </c>
      <c r="P1326">
        <v>1</v>
      </c>
      <c r="S1326">
        <v>209.95</v>
      </c>
      <c r="T1326">
        <v>240</v>
      </c>
      <c r="U1326">
        <v>180</v>
      </c>
      <c r="V1326" t="s">
        <v>42</v>
      </c>
      <c r="W1326" t="s">
        <v>43</v>
      </c>
      <c r="X1326" t="s">
        <v>44</v>
      </c>
      <c r="Y1326" t="s">
        <v>45</v>
      </c>
      <c r="AF1326" t="s">
        <v>13</v>
      </c>
      <c r="AG1326" t="str">
        <f>HYPERLINK("https://doi.org/10.1515/9780748629466?locatt=mode:legacy")</f>
        <v>https://doi.org/10.1515/9780748629466?locatt=mode:legacy</v>
      </c>
      <c r="AH1326" t="str">
        <f>HYPERLINK("http://www.degruyter.com/isbn/9780748629466")</f>
        <v>http://www.degruyter.com/isbn/9780748629466</v>
      </c>
      <c r="AI1326" t="s">
        <v>68</v>
      </c>
      <c r="AL1326" t="s">
        <v>47</v>
      </c>
      <c r="AM1326">
        <v>1</v>
      </c>
      <c r="AN1326" s="2">
        <v>9780748621477</v>
      </c>
    </row>
    <row r="1327" spans="1:40" x14ac:dyDescent="0.3">
      <c r="A1327" t="s">
        <v>6518</v>
      </c>
      <c r="B1327" t="s">
        <v>1</v>
      </c>
      <c r="C1327" t="s">
        <v>6519</v>
      </c>
      <c r="E1327" t="s">
        <v>6520</v>
      </c>
      <c r="F1327" t="s">
        <v>5</v>
      </c>
      <c r="G1327" t="s">
        <v>6</v>
      </c>
      <c r="L1327" t="s">
        <v>7</v>
      </c>
      <c r="M1327">
        <v>1997</v>
      </c>
      <c r="N1327" s="1">
        <v>44672</v>
      </c>
      <c r="O1327" t="s">
        <v>6521</v>
      </c>
      <c r="P1327">
        <v>1</v>
      </c>
      <c r="S1327">
        <v>99.95</v>
      </c>
      <c r="T1327">
        <v>114</v>
      </c>
      <c r="U1327">
        <v>84</v>
      </c>
      <c r="V1327" t="s">
        <v>268</v>
      </c>
      <c r="W1327" t="s">
        <v>269</v>
      </c>
      <c r="X1327" t="s">
        <v>269</v>
      </c>
      <c r="Y1327" t="s">
        <v>5838</v>
      </c>
      <c r="AF1327" t="s">
        <v>13</v>
      </c>
      <c r="AG1327" t="str">
        <f>HYPERLINK("https://doi.org/10.1515/9780585121857")</f>
        <v>https://doi.org/10.1515/9780585121857</v>
      </c>
      <c r="AH1327" t="str">
        <f>HYPERLINK("http://www.degruyter.com/isbn/9780585121857")</f>
        <v>http://www.degruyter.com/isbn/9780585121857</v>
      </c>
      <c r="AI1327" t="s">
        <v>6522</v>
      </c>
      <c r="AL1327" t="s">
        <v>272</v>
      </c>
      <c r="AM1327">
        <v>1</v>
      </c>
      <c r="AN1327" s="2">
        <v>9780748608058</v>
      </c>
    </row>
    <row r="1328" spans="1:40" x14ac:dyDescent="0.3">
      <c r="A1328" t="s">
        <v>6523</v>
      </c>
      <c r="B1328" t="s">
        <v>1</v>
      </c>
      <c r="C1328" t="s">
        <v>6524</v>
      </c>
      <c r="D1328" t="s">
        <v>6525</v>
      </c>
      <c r="E1328" t="s">
        <v>6526</v>
      </c>
      <c r="F1328" t="s">
        <v>5</v>
      </c>
      <c r="G1328" t="s">
        <v>6</v>
      </c>
      <c r="L1328" t="s">
        <v>7</v>
      </c>
      <c r="M1328">
        <v>1997</v>
      </c>
      <c r="N1328" s="1">
        <v>44599</v>
      </c>
      <c r="O1328" t="s">
        <v>6527</v>
      </c>
      <c r="P1328">
        <v>1</v>
      </c>
      <c r="Q1328" t="s">
        <v>6528</v>
      </c>
      <c r="S1328">
        <v>217.95</v>
      </c>
      <c r="T1328">
        <v>250</v>
      </c>
      <c r="U1328">
        <v>190</v>
      </c>
      <c r="V1328" t="s">
        <v>58</v>
      </c>
      <c r="W1328" t="s">
        <v>59</v>
      </c>
      <c r="X1328" t="s">
        <v>60</v>
      </c>
      <c r="Y1328" t="s">
        <v>6529</v>
      </c>
      <c r="AF1328" t="s">
        <v>13</v>
      </c>
      <c r="AG1328" t="str">
        <f>HYPERLINK("https://doi.org/10.1515/9780585156408")</f>
        <v>https://doi.org/10.1515/9780585156408</v>
      </c>
      <c r="AH1328" t="str">
        <f>HYPERLINK("http://www.degruyter.com/isbn/9780585156408")</f>
        <v>http://www.degruyter.com/isbn/9780585156408</v>
      </c>
      <c r="AI1328" t="s">
        <v>24</v>
      </c>
      <c r="AL1328" t="s">
        <v>62</v>
      </c>
      <c r="AM1328">
        <v>1</v>
      </c>
      <c r="AN1328" s="2">
        <v>9780748610747</v>
      </c>
    </row>
    <row r="1329" spans="1:40" x14ac:dyDescent="0.3">
      <c r="A1329" t="s">
        <v>6530</v>
      </c>
      <c r="B1329" t="s">
        <v>1</v>
      </c>
      <c r="C1329" t="s">
        <v>6531</v>
      </c>
      <c r="D1329" t="s">
        <v>6532</v>
      </c>
      <c r="E1329" t="s">
        <v>6533</v>
      </c>
      <c r="F1329" t="s">
        <v>5</v>
      </c>
      <c r="G1329" t="s">
        <v>6</v>
      </c>
      <c r="L1329" t="s">
        <v>7</v>
      </c>
      <c r="M1329">
        <v>2000</v>
      </c>
      <c r="N1329" s="1">
        <v>44656</v>
      </c>
      <c r="O1329" t="s">
        <v>6534</v>
      </c>
      <c r="P1329">
        <v>1</v>
      </c>
      <c r="S1329">
        <v>217.95</v>
      </c>
      <c r="T1329">
        <v>250</v>
      </c>
      <c r="U1329">
        <v>190</v>
      </c>
      <c r="V1329" t="s">
        <v>89</v>
      </c>
      <c r="W1329" t="s">
        <v>4664</v>
      </c>
      <c r="X1329" t="s">
        <v>4664</v>
      </c>
      <c r="Y1329" t="s">
        <v>4665</v>
      </c>
      <c r="AF1329" t="s">
        <v>13</v>
      </c>
      <c r="AG1329" t="str">
        <f>HYPERLINK("https://doi.org/10.1515/9781474497015")</f>
        <v>https://doi.org/10.1515/9781474497015</v>
      </c>
      <c r="AH1329" t="str">
        <f>HYPERLINK("http://www.degruyter.com/isbn/9781474497015")</f>
        <v>http://www.degruyter.com/isbn/9781474497015</v>
      </c>
      <c r="AI1329" t="s">
        <v>68</v>
      </c>
      <c r="AL1329" t="s">
        <v>83</v>
      </c>
      <c r="AM1329">
        <v>1</v>
      </c>
      <c r="AN1329" s="2">
        <v>9780748609987</v>
      </c>
    </row>
    <row r="1330" spans="1:40" x14ac:dyDescent="0.3">
      <c r="A1330" t="s">
        <v>6535</v>
      </c>
      <c r="B1330" t="s">
        <v>1</v>
      </c>
      <c r="C1330" t="s">
        <v>6536</v>
      </c>
      <c r="E1330" t="s">
        <v>6537</v>
      </c>
      <c r="F1330" t="s">
        <v>5</v>
      </c>
      <c r="G1330" t="s">
        <v>6</v>
      </c>
      <c r="L1330" t="s">
        <v>7</v>
      </c>
      <c r="M1330">
        <v>2019</v>
      </c>
      <c r="N1330" s="1">
        <v>44644</v>
      </c>
      <c r="O1330" t="s">
        <v>6538</v>
      </c>
      <c r="P1330">
        <v>1</v>
      </c>
      <c r="Q1330" t="s">
        <v>6539</v>
      </c>
      <c r="S1330">
        <v>217.95</v>
      </c>
      <c r="T1330">
        <v>250</v>
      </c>
      <c r="U1330">
        <v>190</v>
      </c>
      <c r="V1330" t="s">
        <v>42</v>
      </c>
      <c r="W1330" t="s">
        <v>43</v>
      </c>
      <c r="X1330" t="s">
        <v>6163</v>
      </c>
      <c r="Y1330" t="s">
        <v>117</v>
      </c>
      <c r="AF1330" t="s">
        <v>13</v>
      </c>
      <c r="AG1330" t="str">
        <f>HYPERLINK("https://doi.org/10.1515/9781474443661?locatt=mode:legacy")</f>
        <v>https://doi.org/10.1515/9781474443661?locatt=mode:legacy</v>
      </c>
      <c r="AH1330" t="str">
        <f>HYPERLINK("http://www.degruyter.com/isbn/9781474443661")</f>
        <v>http://www.degruyter.com/isbn/9781474443661</v>
      </c>
      <c r="AI1330" t="s">
        <v>280</v>
      </c>
      <c r="AL1330" t="s">
        <v>47</v>
      </c>
      <c r="AM1330">
        <v>1</v>
      </c>
      <c r="AN1330" s="2">
        <v>9781474443647</v>
      </c>
    </row>
    <row r="1331" spans="1:40" x14ac:dyDescent="0.3">
      <c r="A1331" t="s">
        <v>6540</v>
      </c>
      <c r="B1331" t="s">
        <v>1</v>
      </c>
      <c r="C1331" t="s">
        <v>6541</v>
      </c>
      <c r="E1331" t="s">
        <v>6542</v>
      </c>
      <c r="F1331" t="s">
        <v>5</v>
      </c>
      <c r="G1331" t="s">
        <v>6</v>
      </c>
      <c r="L1331" t="s">
        <v>7</v>
      </c>
      <c r="M1331">
        <v>2021</v>
      </c>
      <c r="N1331" s="1">
        <v>44656</v>
      </c>
      <c r="O1331" t="s">
        <v>6543</v>
      </c>
      <c r="P1331">
        <v>1</v>
      </c>
      <c r="S1331">
        <v>217.95</v>
      </c>
      <c r="T1331">
        <v>250</v>
      </c>
      <c r="U1331">
        <v>190</v>
      </c>
      <c r="V1331" t="s">
        <v>20</v>
      </c>
      <c r="W1331" t="s">
        <v>21</v>
      </c>
      <c r="X1331" t="s">
        <v>22</v>
      </c>
      <c r="Y1331" t="s">
        <v>23</v>
      </c>
      <c r="AF1331" t="s">
        <v>13</v>
      </c>
      <c r="AG1331" t="str">
        <f>HYPERLINK("https://doi.org/10.1515/9781474443296")</f>
        <v>https://doi.org/10.1515/9781474443296</v>
      </c>
      <c r="AH1331" t="str">
        <f>HYPERLINK("http://www.degruyter.com/isbn/9781474443296")</f>
        <v>http://www.degruyter.com/isbn/9781474443296</v>
      </c>
      <c r="AI1331" t="s">
        <v>473</v>
      </c>
      <c r="AL1331" t="s">
        <v>15</v>
      </c>
      <c r="AM1331">
        <v>1</v>
      </c>
      <c r="AN1331" s="2">
        <v>9781474443272</v>
      </c>
    </row>
    <row r="1332" spans="1:40" x14ac:dyDescent="0.3">
      <c r="A1332" t="s">
        <v>6544</v>
      </c>
      <c r="B1332" t="s">
        <v>1</v>
      </c>
      <c r="C1332" t="s">
        <v>6545</v>
      </c>
      <c r="E1332" t="s">
        <v>6546</v>
      </c>
      <c r="F1332" t="s">
        <v>5</v>
      </c>
      <c r="G1332" t="s">
        <v>6</v>
      </c>
      <c r="L1332" t="s">
        <v>7</v>
      </c>
      <c r="M1332">
        <v>2019</v>
      </c>
      <c r="N1332" s="1">
        <v>44656</v>
      </c>
      <c r="O1332" t="s">
        <v>6547</v>
      </c>
      <c r="P1332">
        <v>1</v>
      </c>
      <c r="S1332">
        <v>227.95</v>
      </c>
      <c r="T1332">
        <v>260</v>
      </c>
      <c r="U1332">
        <v>200</v>
      </c>
      <c r="V1332" t="s">
        <v>42</v>
      </c>
      <c r="W1332" t="s">
        <v>43</v>
      </c>
      <c r="X1332" t="s">
        <v>178</v>
      </c>
      <c r="Y1332" t="s">
        <v>1745</v>
      </c>
      <c r="AF1332" t="s">
        <v>13</v>
      </c>
      <c r="AG1332" t="str">
        <f>HYPERLINK("https://doi.org/10.1515/9781474430081?locatt=mode:legacy")</f>
        <v>https://doi.org/10.1515/9781474430081?locatt=mode:legacy</v>
      </c>
      <c r="AH1332" t="str">
        <f>HYPERLINK("http://www.degruyter.com/isbn/9781474430081")</f>
        <v>http://www.degruyter.com/isbn/9781474430081</v>
      </c>
      <c r="AI1332" t="s">
        <v>280</v>
      </c>
      <c r="AJ1332" t="s">
        <v>35</v>
      </c>
      <c r="AL1332" t="s">
        <v>520</v>
      </c>
      <c r="AM1332">
        <v>1</v>
      </c>
      <c r="AN1332" s="2">
        <v>9781474430067</v>
      </c>
    </row>
    <row r="1333" spans="1:40" x14ac:dyDescent="0.3">
      <c r="A1333" t="s">
        <v>6548</v>
      </c>
      <c r="B1333" t="s">
        <v>1</v>
      </c>
      <c r="C1333" t="s">
        <v>6549</v>
      </c>
      <c r="D1333" t="s">
        <v>6550</v>
      </c>
      <c r="E1333" t="s">
        <v>6551</v>
      </c>
      <c r="F1333" t="s">
        <v>5</v>
      </c>
      <c r="G1333" t="s">
        <v>6</v>
      </c>
      <c r="L1333" t="s">
        <v>7</v>
      </c>
      <c r="M1333">
        <v>2020</v>
      </c>
      <c r="N1333" s="1">
        <v>44656</v>
      </c>
      <c r="O1333" t="s">
        <v>6552</v>
      </c>
      <c r="P1333">
        <v>1</v>
      </c>
      <c r="S1333">
        <v>227.95</v>
      </c>
      <c r="T1333">
        <v>260</v>
      </c>
      <c r="U1333">
        <v>200</v>
      </c>
      <c r="V1333" t="s">
        <v>42</v>
      </c>
      <c r="W1333" t="s">
        <v>116</v>
      </c>
      <c r="X1333" t="s">
        <v>116</v>
      </c>
      <c r="Y1333" t="s">
        <v>117</v>
      </c>
      <c r="AF1333" t="s">
        <v>13</v>
      </c>
      <c r="AG1333" t="str">
        <f>HYPERLINK("https://doi.org/10.1515/9781474402491")</f>
        <v>https://doi.org/10.1515/9781474402491</v>
      </c>
      <c r="AH1333" t="str">
        <f>HYPERLINK("http://www.degruyter.com/isbn/9781474402491")</f>
        <v>http://www.degruyter.com/isbn/9781474402491</v>
      </c>
      <c r="AI1333" t="s">
        <v>14</v>
      </c>
      <c r="AL1333" t="s">
        <v>47</v>
      </c>
      <c r="AM1333">
        <v>1</v>
      </c>
      <c r="AN1333" s="2">
        <v>9781474402484</v>
      </c>
    </row>
    <row r="1334" spans="1:40" x14ac:dyDescent="0.3">
      <c r="A1334" t="s">
        <v>6553</v>
      </c>
      <c r="B1334" t="s">
        <v>1</v>
      </c>
      <c r="C1334" t="s">
        <v>6554</v>
      </c>
      <c r="D1334" t="s">
        <v>6555</v>
      </c>
      <c r="E1334" t="s">
        <v>6556</v>
      </c>
      <c r="F1334" t="s">
        <v>5</v>
      </c>
      <c r="G1334" t="s">
        <v>6</v>
      </c>
      <c r="L1334" t="s">
        <v>7</v>
      </c>
      <c r="M1334">
        <v>2019</v>
      </c>
      <c r="N1334" s="1">
        <v>44656</v>
      </c>
      <c r="O1334" t="s">
        <v>6557</v>
      </c>
      <c r="P1334">
        <v>1</v>
      </c>
      <c r="S1334">
        <v>261.95</v>
      </c>
      <c r="T1334">
        <v>300</v>
      </c>
      <c r="U1334">
        <v>230</v>
      </c>
      <c r="V1334" t="s">
        <v>98</v>
      </c>
      <c r="W1334" t="s">
        <v>99</v>
      </c>
      <c r="X1334" t="s">
        <v>386</v>
      </c>
      <c r="Y1334" t="s">
        <v>387</v>
      </c>
      <c r="AF1334" t="s">
        <v>13</v>
      </c>
      <c r="AG1334" t="str">
        <f>HYPERLINK("https://doi.org/10.1515/9781474445986?locatt=mode:legacy")</f>
        <v>https://doi.org/10.1515/9781474445986?locatt=mode:legacy</v>
      </c>
      <c r="AH1334" t="str">
        <f>HYPERLINK("http://www.degruyter.com/isbn/9781474445986")</f>
        <v>http://www.degruyter.com/isbn/9781474445986</v>
      </c>
      <c r="AI1334" t="s">
        <v>280</v>
      </c>
      <c r="AL1334" t="s">
        <v>102</v>
      </c>
      <c r="AM1334">
        <v>1</v>
      </c>
      <c r="AN1334" s="2">
        <v>9781474445962</v>
      </c>
    </row>
    <row r="1335" spans="1:40" x14ac:dyDescent="0.3">
      <c r="A1335" t="s">
        <v>6558</v>
      </c>
      <c r="B1335" t="s">
        <v>1</v>
      </c>
      <c r="C1335" t="s">
        <v>6559</v>
      </c>
      <c r="D1335" t="s">
        <v>6560</v>
      </c>
      <c r="E1335" t="s">
        <v>6561</v>
      </c>
      <c r="F1335" t="s">
        <v>5</v>
      </c>
      <c r="G1335" t="s">
        <v>6</v>
      </c>
      <c r="L1335" t="s">
        <v>7</v>
      </c>
      <c r="M1335">
        <v>2020</v>
      </c>
      <c r="N1335" s="1">
        <v>44656</v>
      </c>
      <c r="O1335" t="s">
        <v>6562</v>
      </c>
      <c r="P1335">
        <v>1</v>
      </c>
      <c r="S1335">
        <v>227.95</v>
      </c>
      <c r="T1335">
        <v>260</v>
      </c>
      <c r="U1335">
        <v>200</v>
      </c>
      <c r="V1335" t="s">
        <v>42</v>
      </c>
      <c r="W1335" t="s">
        <v>43</v>
      </c>
      <c r="X1335" t="s">
        <v>44</v>
      </c>
      <c r="Y1335" t="s">
        <v>45</v>
      </c>
      <c r="AF1335" t="s">
        <v>13</v>
      </c>
      <c r="AG1335" t="str">
        <f>HYPERLINK("https://doi.org/10.1515/9781474441131")</f>
        <v>https://doi.org/10.1515/9781474441131</v>
      </c>
      <c r="AH1335" t="str">
        <f>HYPERLINK("http://www.degruyter.com/isbn/9781474441131")</f>
        <v>http://www.degruyter.com/isbn/9781474441131</v>
      </c>
      <c r="AI1335" t="s">
        <v>14</v>
      </c>
      <c r="AL1335" t="s">
        <v>47</v>
      </c>
      <c r="AM1335">
        <v>1</v>
      </c>
      <c r="AN1335" s="2">
        <v>9781474441117</v>
      </c>
    </row>
    <row r="1336" spans="1:40" x14ac:dyDescent="0.3">
      <c r="A1336" t="s">
        <v>6563</v>
      </c>
      <c r="B1336" t="s">
        <v>1</v>
      </c>
      <c r="C1336" t="s">
        <v>6564</v>
      </c>
      <c r="E1336" t="s">
        <v>6565</v>
      </c>
      <c r="F1336" t="s">
        <v>5</v>
      </c>
      <c r="G1336" t="s">
        <v>6</v>
      </c>
      <c r="L1336" t="s">
        <v>7</v>
      </c>
      <c r="M1336">
        <v>2016</v>
      </c>
      <c r="N1336" s="1">
        <v>42720</v>
      </c>
      <c r="O1336" t="s">
        <v>6566</v>
      </c>
      <c r="P1336">
        <v>1</v>
      </c>
      <c r="S1336">
        <v>253.95</v>
      </c>
      <c r="T1336">
        <v>290</v>
      </c>
      <c r="U1336">
        <v>220</v>
      </c>
      <c r="V1336" t="s">
        <v>20</v>
      </c>
      <c r="W1336" t="s">
        <v>21</v>
      </c>
      <c r="X1336" t="s">
        <v>458</v>
      </c>
      <c r="Y1336" t="s">
        <v>1816</v>
      </c>
      <c r="AF1336" t="s">
        <v>13</v>
      </c>
      <c r="AG1336" t="str">
        <f>HYPERLINK("https://doi.org/10.1515/9781474403108")</f>
        <v>https://doi.org/10.1515/9781474403108</v>
      </c>
      <c r="AH1336" t="str">
        <f>HYPERLINK("http://www.degruyter.com/isbn/9781474403108")</f>
        <v>http://www.degruyter.com/isbn/9781474403108</v>
      </c>
      <c r="AI1336" t="s">
        <v>180</v>
      </c>
      <c r="AL1336" t="s">
        <v>15</v>
      </c>
      <c r="AM1336">
        <v>1</v>
      </c>
      <c r="AN1336" s="2">
        <v>9781474403092</v>
      </c>
    </row>
    <row r="1337" spans="1:40" x14ac:dyDescent="0.3">
      <c r="A1337" t="s">
        <v>6567</v>
      </c>
      <c r="B1337" t="s">
        <v>1</v>
      </c>
      <c r="C1337" t="s">
        <v>6568</v>
      </c>
      <c r="E1337" t="s">
        <v>6569</v>
      </c>
      <c r="F1337" t="s">
        <v>5</v>
      </c>
      <c r="G1337" t="s">
        <v>6</v>
      </c>
      <c r="L1337" t="s">
        <v>7</v>
      </c>
      <c r="M1337">
        <v>2021</v>
      </c>
      <c r="N1337" s="1">
        <v>44644</v>
      </c>
      <c r="O1337" t="s">
        <v>6570</v>
      </c>
      <c r="P1337">
        <v>1</v>
      </c>
      <c r="S1337">
        <v>243.95</v>
      </c>
      <c r="T1337">
        <v>280</v>
      </c>
      <c r="U1337">
        <v>210</v>
      </c>
      <c r="V1337" t="s">
        <v>58</v>
      </c>
      <c r="W1337" t="s">
        <v>59</v>
      </c>
      <c r="X1337" t="s">
        <v>60</v>
      </c>
      <c r="Y1337" t="s">
        <v>6571</v>
      </c>
      <c r="AF1337" t="s">
        <v>13</v>
      </c>
      <c r="AG1337" t="str">
        <f>HYPERLINK("https://doi.org/10.1515/9781474460422")</f>
        <v>https://doi.org/10.1515/9781474460422</v>
      </c>
      <c r="AH1337" t="str">
        <f>HYPERLINK("http://www.degruyter.com/isbn/9781474460422")</f>
        <v>http://www.degruyter.com/isbn/9781474460422</v>
      </c>
      <c r="AI1337" t="s">
        <v>478</v>
      </c>
      <c r="AL1337" t="s">
        <v>62</v>
      </c>
      <c r="AM1337">
        <v>1</v>
      </c>
      <c r="AN1337" s="2">
        <v>9781474460415</v>
      </c>
    </row>
    <row r="1338" spans="1:40" x14ac:dyDescent="0.3">
      <c r="A1338" t="s">
        <v>6572</v>
      </c>
      <c r="B1338" t="s">
        <v>1</v>
      </c>
      <c r="C1338" t="s">
        <v>6573</v>
      </c>
      <c r="E1338" t="s">
        <v>6574</v>
      </c>
      <c r="F1338" t="s">
        <v>5</v>
      </c>
      <c r="G1338" t="s">
        <v>6</v>
      </c>
      <c r="L1338" t="s">
        <v>7</v>
      </c>
      <c r="M1338">
        <v>2000</v>
      </c>
      <c r="N1338" s="1">
        <v>44607</v>
      </c>
      <c r="O1338" t="s">
        <v>6575</v>
      </c>
      <c r="P1338">
        <v>1</v>
      </c>
      <c r="S1338">
        <v>217.95</v>
      </c>
      <c r="T1338">
        <v>250</v>
      </c>
      <c r="U1338">
        <v>190</v>
      </c>
      <c r="V1338" t="s">
        <v>79</v>
      </c>
      <c r="W1338" t="s">
        <v>227</v>
      </c>
      <c r="X1338" t="s">
        <v>234</v>
      </c>
      <c r="Y1338" t="s">
        <v>355</v>
      </c>
      <c r="AF1338" t="s">
        <v>13</v>
      </c>
      <c r="AG1338" t="str">
        <f>HYPERLINK("https://doi.org/10.1515/9781474465526")</f>
        <v>https://doi.org/10.1515/9781474465526</v>
      </c>
      <c r="AH1338" t="str">
        <f>HYPERLINK("http://www.degruyter.com/isbn/9781474465526")</f>
        <v>http://www.degruyter.com/isbn/9781474465526</v>
      </c>
      <c r="AI1338" t="s">
        <v>68</v>
      </c>
      <c r="AL1338" t="s">
        <v>83</v>
      </c>
      <c r="AM1338">
        <v>1</v>
      </c>
      <c r="AN1338" s="2">
        <v>9780748613533</v>
      </c>
    </row>
    <row r="1339" spans="1:40" x14ac:dyDescent="0.3">
      <c r="A1339" t="s">
        <v>6576</v>
      </c>
      <c r="B1339" t="s">
        <v>1</v>
      </c>
      <c r="C1339" t="s">
        <v>6577</v>
      </c>
      <c r="D1339" t="s">
        <v>6578</v>
      </c>
      <c r="E1339" t="s">
        <v>6579</v>
      </c>
      <c r="F1339" t="s">
        <v>5</v>
      </c>
      <c r="G1339" t="s">
        <v>6</v>
      </c>
      <c r="L1339" t="s">
        <v>7</v>
      </c>
      <c r="M1339">
        <v>2017</v>
      </c>
      <c r="N1339" s="1">
        <v>43089</v>
      </c>
      <c r="O1339" t="s">
        <v>6580</v>
      </c>
      <c r="P1339">
        <v>1</v>
      </c>
      <c r="S1339">
        <v>253.95</v>
      </c>
      <c r="T1339">
        <v>290</v>
      </c>
      <c r="U1339">
        <v>220</v>
      </c>
      <c r="V1339" t="s">
        <v>98</v>
      </c>
      <c r="W1339" t="s">
        <v>366</v>
      </c>
      <c r="X1339" t="s">
        <v>367</v>
      </c>
      <c r="Y1339" t="s">
        <v>368</v>
      </c>
      <c r="AF1339" t="s">
        <v>13</v>
      </c>
      <c r="AG1339" t="str">
        <f>HYPERLINK("https://doi.org/10.1515/9781474401517")</f>
        <v>https://doi.org/10.1515/9781474401517</v>
      </c>
      <c r="AH1339" t="str">
        <f>HYPERLINK("http://www.degruyter.com/isbn/9781474401517")</f>
        <v>http://www.degruyter.com/isbn/9781474401517</v>
      </c>
      <c r="AI1339" t="s">
        <v>222</v>
      </c>
      <c r="AL1339" t="s">
        <v>102</v>
      </c>
      <c r="AM1339">
        <v>1</v>
      </c>
      <c r="AN1339" s="2">
        <v>9781474401494</v>
      </c>
    </row>
    <row r="1340" spans="1:40" x14ac:dyDescent="0.3">
      <c r="A1340" t="s">
        <v>6581</v>
      </c>
      <c r="B1340" t="s">
        <v>1</v>
      </c>
      <c r="C1340" t="s">
        <v>6582</v>
      </c>
      <c r="E1340" t="s">
        <v>6583</v>
      </c>
      <c r="F1340" t="s">
        <v>5</v>
      </c>
      <c r="G1340" t="s">
        <v>6</v>
      </c>
      <c r="L1340" t="s">
        <v>7</v>
      </c>
      <c r="M1340">
        <v>2005</v>
      </c>
      <c r="N1340" s="1">
        <v>44607</v>
      </c>
      <c r="O1340" t="s">
        <v>6584</v>
      </c>
      <c r="P1340">
        <v>1</v>
      </c>
      <c r="S1340">
        <v>217.95</v>
      </c>
      <c r="T1340">
        <v>250</v>
      </c>
      <c r="U1340">
        <v>190</v>
      </c>
      <c r="V1340" t="s">
        <v>20</v>
      </c>
      <c r="W1340" t="s">
        <v>21</v>
      </c>
      <c r="X1340" t="s">
        <v>22</v>
      </c>
      <c r="Y1340" t="s">
        <v>23</v>
      </c>
      <c r="AF1340" t="s">
        <v>13</v>
      </c>
      <c r="AG1340" t="str">
        <f>HYPERLINK("https://doi.org/10.1515/9781474467988")</f>
        <v>https://doi.org/10.1515/9781474467988</v>
      </c>
      <c r="AH1340" t="str">
        <f>HYPERLINK("http://www.degruyter.com/isbn/9781474467988")</f>
        <v>http://www.degruyter.com/isbn/9781474467988</v>
      </c>
      <c r="AI1340" t="s">
        <v>68</v>
      </c>
      <c r="AL1340" t="s">
        <v>15</v>
      </c>
      <c r="AM1340">
        <v>1</v>
      </c>
      <c r="AN1340" s="2">
        <v>9780748618682</v>
      </c>
    </row>
    <row r="1341" spans="1:40" x14ac:dyDescent="0.3">
      <c r="A1341" t="s">
        <v>6585</v>
      </c>
      <c r="B1341" t="s">
        <v>1</v>
      </c>
      <c r="C1341" t="s">
        <v>6586</v>
      </c>
      <c r="E1341" t="s">
        <v>6587</v>
      </c>
      <c r="F1341" t="s">
        <v>5</v>
      </c>
      <c r="G1341" t="s">
        <v>6</v>
      </c>
      <c r="L1341" t="s">
        <v>7</v>
      </c>
      <c r="M1341">
        <v>2020</v>
      </c>
      <c r="N1341" s="1">
        <v>44656</v>
      </c>
      <c r="O1341" t="s">
        <v>6588</v>
      </c>
      <c r="P1341">
        <v>1</v>
      </c>
      <c r="S1341">
        <v>227.95</v>
      </c>
      <c r="T1341">
        <v>260</v>
      </c>
      <c r="U1341">
        <v>200</v>
      </c>
      <c r="V1341" t="s">
        <v>20</v>
      </c>
      <c r="W1341" t="s">
        <v>21</v>
      </c>
      <c r="X1341" t="s">
        <v>22</v>
      </c>
      <c r="Y1341" t="s">
        <v>23</v>
      </c>
      <c r="AF1341" t="s">
        <v>13</v>
      </c>
      <c r="AG1341" t="str">
        <f>HYPERLINK("https://doi.org/10.1515/9781474443906")</f>
        <v>https://doi.org/10.1515/9781474443906</v>
      </c>
      <c r="AH1341" t="str">
        <f>HYPERLINK("http://www.degruyter.com/isbn/9781474443906")</f>
        <v>http://www.degruyter.com/isbn/9781474443906</v>
      </c>
      <c r="AI1341" t="s">
        <v>14</v>
      </c>
      <c r="AL1341" t="s">
        <v>15</v>
      </c>
      <c r="AM1341">
        <v>1</v>
      </c>
      <c r="AN1341" s="2">
        <v>9781474443883</v>
      </c>
    </row>
    <row r="1342" spans="1:40" x14ac:dyDescent="0.3">
      <c r="A1342" t="s">
        <v>6589</v>
      </c>
      <c r="B1342" t="s">
        <v>1</v>
      </c>
      <c r="C1342" t="s">
        <v>6590</v>
      </c>
      <c r="E1342" t="s">
        <v>6591</v>
      </c>
      <c r="F1342" t="s">
        <v>5</v>
      </c>
      <c r="G1342" t="s">
        <v>6</v>
      </c>
      <c r="L1342" t="s">
        <v>7</v>
      </c>
      <c r="M1342">
        <v>2016</v>
      </c>
      <c r="N1342" s="1">
        <v>42549</v>
      </c>
      <c r="O1342" t="s">
        <v>6592</v>
      </c>
      <c r="P1342">
        <v>1</v>
      </c>
      <c r="S1342">
        <v>227.95</v>
      </c>
      <c r="T1342">
        <v>260</v>
      </c>
      <c r="U1342">
        <v>200</v>
      </c>
      <c r="V1342" t="s">
        <v>20</v>
      </c>
      <c r="W1342" t="s">
        <v>21</v>
      </c>
      <c r="X1342" t="s">
        <v>839</v>
      </c>
      <c r="Y1342" t="s">
        <v>1850</v>
      </c>
      <c r="AF1342" t="s">
        <v>13</v>
      </c>
      <c r="AG1342" t="str">
        <f>HYPERLINK("https://doi.org/10.1515/9781474402248")</f>
        <v>https://doi.org/10.1515/9781474402248</v>
      </c>
      <c r="AH1342" t="str">
        <f>HYPERLINK("http://www.degruyter.com/isbn/9781474402248")</f>
        <v>http://www.degruyter.com/isbn/9781474402248</v>
      </c>
      <c r="AI1342" t="s">
        <v>180</v>
      </c>
      <c r="AL1342" t="s">
        <v>15</v>
      </c>
      <c r="AM1342">
        <v>1</v>
      </c>
      <c r="AN1342" s="2">
        <v>9781474402231</v>
      </c>
    </row>
    <row r="1343" spans="1:40" x14ac:dyDescent="0.3">
      <c r="A1343" t="s">
        <v>6593</v>
      </c>
      <c r="B1343" t="s">
        <v>1</v>
      </c>
      <c r="C1343" t="s">
        <v>6594</v>
      </c>
      <c r="D1343" t="s">
        <v>6595</v>
      </c>
      <c r="E1343" t="s">
        <v>6596</v>
      </c>
      <c r="F1343" t="s">
        <v>5</v>
      </c>
      <c r="G1343" t="s">
        <v>6</v>
      </c>
      <c r="L1343" t="s">
        <v>7</v>
      </c>
      <c r="M1343">
        <v>1997</v>
      </c>
      <c r="N1343" s="1">
        <v>44592</v>
      </c>
      <c r="O1343" t="s">
        <v>1787</v>
      </c>
      <c r="P1343">
        <v>1</v>
      </c>
      <c r="S1343">
        <v>243.95</v>
      </c>
      <c r="T1343">
        <v>280</v>
      </c>
      <c r="U1343">
        <v>210</v>
      </c>
      <c r="V1343" t="s">
        <v>42</v>
      </c>
      <c r="W1343" t="s">
        <v>161</v>
      </c>
      <c r="X1343" t="s">
        <v>162</v>
      </c>
      <c r="Y1343" t="s">
        <v>393</v>
      </c>
      <c r="AF1343" t="s">
        <v>13</v>
      </c>
      <c r="AG1343" t="str">
        <f>HYPERLINK("https://doi.org/10.1515/9781474471497")</f>
        <v>https://doi.org/10.1515/9781474471497</v>
      </c>
      <c r="AH1343" t="str">
        <f>HYPERLINK("http://www.degruyter.com/isbn/9781474471497")</f>
        <v>http://www.degruyter.com/isbn/9781474471497</v>
      </c>
      <c r="AI1343" t="s">
        <v>24</v>
      </c>
      <c r="AL1343" t="s">
        <v>47</v>
      </c>
      <c r="AM1343">
        <v>1</v>
      </c>
      <c r="AN1343" s="2">
        <v>9780748608973</v>
      </c>
    </row>
    <row r="1344" spans="1:40" x14ac:dyDescent="0.3">
      <c r="A1344" t="s">
        <v>6597</v>
      </c>
      <c r="B1344" t="s">
        <v>1</v>
      </c>
      <c r="C1344" t="s">
        <v>6598</v>
      </c>
      <c r="E1344" t="s">
        <v>6599</v>
      </c>
      <c r="F1344" t="s">
        <v>5</v>
      </c>
      <c r="G1344" t="s">
        <v>6</v>
      </c>
      <c r="L1344" t="s">
        <v>7</v>
      </c>
      <c r="M1344">
        <v>2018</v>
      </c>
      <c r="N1344" s="1">
        <v>44592</v>
      </c>
      <c r="O1344" t="s">
        <v>6600</v>
      </c>
      <c r="P1344">
        <v>1</v>
      </c>
      <c r="S1344">
        <v>243.95</v>
      </c>
      <c r="T1344">
        <v>280</v>
      </c>
      <c r="U1344">
        <v>210</v>
      </c>
      <c r="V1344" t="s">
        <v>98</v>
      </c>
      <c r="W1344" t="s">
        <v>99</v>
      </c>
      <c r="X1344" t="s">
        <v>386</v>
      </c>
      <c r="Y1344" t="s">
        <v>387</v>
      </c>
      <c r="AF1344" t="s">
        <v>13</v>
      </c>
      <c r="AG1344" t="str">
        <f>HYPERLINK("https://doi.org/10.1515/9781474427180")</f>
        <v>https://doi.org/10.1515/9781474427180</v>
      </c>
      <c r="AH1344" t="str">
        <f>HYPERLINK("http://www.degruyter.com/isbn/9781474427180")</f>
        <v>http://www.degruyter.com/isbn/9781474427180</v>
      </c>
      <c r="AI1344" t="s">
        <v>46</v>
      </c>
      <c r="AL1344" t="s">
        <v>102</v>
      </c>
      <c r="AM1344">
        <v>1</v>
      </c>
      <c r="AN1344" s="2">
        <v>9781474427166</v>
      </c>
    </row>
    <row r="1345" spans="1:40" x14ac:dyDescent="0.3">
      <c r="A1345" t="s">
        <v>6601</v>
      </c>
      <c r="B1345" t="s">
        <v>1</v>
      </c>
      <c r="C1345" t="s">
        <v>6602</v>
      </c>
      <c r="D1345" t="s">
        <v>6603</v>
      </c>
      <c r="E1345" t="s">
        <v>6604</v>
      </c>
      <c r="F1345" t="s">
        <v>5</v>
      </c>
      <c r="G1345" t="s">
        <v>6</v>
      </c>
      <c r="L1345" t="s">
        <v>7</v>
      </c>
      <c r="M1345">
        <v>2013</v>
      </c>
      <c r="N1345" s="1">
        <v>41414</v>
      </c>
      <c r="O1345" t="s">
        <v>6605</v>
      </c>
      <c r="P1345">
        <v>1</v>
      </c>
      <c r="Q1345" t="s">
        <v>6606</v>
      </c>
      <c r="S1345">
        <v>243.95</v>
      </c>
      <c r="T1345">
        <v>280</v>
      </c>
      <c r="U1345">
        <v>210</v>
      </c>
      <c r="V1345" t="s">
        <v>79</v>
      </c>
      <c r="W1345" t="s">
        <v>209</v>
      </c>
      <c r="X1345" t="s">
        <v>209</v>
      </c>
      <c r="Y1345" t="s">
        <v>510</v>
      </c>
      <c r="AF1345" t="s">
        <v>13</v>
      </c>
      <c r="AG1345" t="str">
        <f>HYPERLINK("https://doi.org/10.1515/9780748676262?locatt=mode:legacy")</f>
        <v>https://doi.org/10.1515/9780748676262?locatt=mode:legacy</v>
      </c>
      <c r="AH1345" t="str">
        <f>HYPERLINK("http://www.degruyter.com/isbn/9780748676262")</f>
        <v>http://www.degruyter.com/isbn/9780748676262</v>
      </c>
      <c r="AI1345" t="s">
        <v>68</v>
      </c>
      <c r="AL1345" t="s">
        <v>83</v>
      </c>
      <c r="AM1345">
        <v>1</v>
      </c>
      <c r="AN1345" s="2">
        <v>9780748676255</v>
      </c>
    </row>
    <row r="1346" spans="1:40" x14ac:dyDescent="0.3">
      <c r="A1346" t="s">
        <v>6607</v>
      </c>
      <c r="B1346" t="s">
        <v>1</v>
      </c>
      <c r="C1346" t="s">
        <v>6608</v>
      </c>
      <c r="E1346" t="s">
        <v>6609</v>
      </c>
      <c r="F1346" t="s">
        <v>5</v>
      </c>
      <c r="G1346" t="s">
        <v>6</v>
      </c>
      <c r="L1346" t="s">
        <v>7</v>
      </c>
      <c r="M1346">
        <v>2012</v>
      </c>
      <c r="N1346" s="1">
        <v>41110</v>
      </c>
      <c r="O1346" t="s">
        <v>6610</v>
      </c>
      <c r="P1346">
        <v>1</v>
      </c>
      <c r="S1346">
        <v>417.95</v>
      </c>
      <c r="T1346">
        <v>480</v>
      </c>
      <c r="U1346">
        <v>370</v>
      </c>
      <c r="V1346" t="s">
        <v>20</v>
      </c>
      <c r="W1346" t="s">
        <v>21</v>
      </c>
      <c r="X1346" t="s">
        <v>22</v>
      </c>
      <c r="Y1346" t="s">
        <v>23</v>
      </c>
      <c r="AF1346" t="s">
        <v>13</v>
      </c>
      <c r="AG1346" t="str">
        <f>HYPERLINK("https://doi.org/10.1515/9780748632046")</f>
        <v>https://doi.org/10.1515/9780748632046</v>
      </c>
      <c r="AH1346" t="str">
        <f>HYPERLINK("http://www.degruyter.com/isbn/9780748632046")</f>
        <v>http://www.degruyter.com/isbn/9780748632046</v>
      </c>
      <c r="AI1346" t="s">
        <v>68</v>
      </c>
      <c r="AL1346" t="s">
        <v>15</v>
      </c>
      <c r="AM1346">
        <v>1</v>
      </c>
      <c r="AN1346" s="2">
        <v>9780748633357</v>
      </c>
    </row>
    <row r="1347" spans="1:40" x14ac:dyDescent="0.3">
      <c r="A1347" t="s">
        <v>6611</v>
      </c>
      <c r="B1347" t="s">
        <v>1</v>
      </c>
      <c r="C1347" t="s">
        <v>6612</v>
      </c>
      <c r="D1347" t="s">
        <v>6613</v>
      </c>
      <c r="E1347" t="s">
        <v>6614</v>
      </c>
      <c r="F1347" t="s">
        <v>5</v>
      </c>
      <c r="G1347" t="s">
        <v>6</v>
      </c>
      <c r="L1347" t="s">
        <v>7</v>
      </c>
      <c r="M1347">
        <v>2013</v>
      </c>
      <c r="N1347" s="1">
        <v>41540</v>
      </c>
      <c r="O1347" t="s">
        <v>6615</v>
      </c>
      <c r="P1347">
        <v>1</v>
      </c>
      <c r="S1347">
        <v>217.95</v>
      </c>
      <c r="T1347">
        <v>250</v>
      </c>
      <c r="U1347">
        <v>190</v>
      </c>
      <c r="V1347" t="s">
        <v>58</v>
      </c>
      <c r="W1347" t="s">
        <v>129</v>
      </c>
      <c r="X1347" t="s">
        <v>130</v>
      </c>
      <c r="Y1347" t="s">
        <v>546</v>
      </c>
      <c r="AF1347" t="s">
        <v>13</v>
      </c>
      <c r="AG1347" t="str">
        <f>HYPERLINK("https://doi.org/10.1515/9780748676170")</f>
        <v>https://doi.org/10.1515/9780748676170</v>
      </c>
      <c r="AH1347" t="str">
        <f>HYPERLINK("http://www.degruyter.com/isbn/9780748676170")</f>
        <v>http://www.degruyter.com/isbn/9780748676170</v>
      </c>
      <c r="AI1347" t="s">
        <v>68</v>
      </c>
      <c r="AL1347" t="s">
        <v>62</v>
      </c>
      <c r="AM1347">
        <v>1</v>
      </c>
      <c r="AN1347" s="2">
        <v>9780748676156</v>
      </c>
    </row>
    <row r="1348" spans="1:40" x14ac:dyDescent="0.3">
      <c r="A1348" t="s">
        <v>6616</v>
      </c>
      <c r="B1348" t="s">
        <v>1</v>
      </c>
      <c r="C1348" t="s">
        <v>6617</v>
      </c>
      <c r="D1348" t="s">
        <v>6618</v>
      </c>
      <c r="E1348" t="s">
        <v>6619</v>
      </c>
      <c r="F1348" t="s">
        <v>5</v>
      </c>
      <c r="G1348" t="s">
        <v>6</v>
      </c>
      <c r="L1348" t="s">
        <v>7</v>
      </c>
      <c r="M1348">
        <v>2015</v>
      </c>
      <c r="N1348" s="1">
        <v>42192</v>
      </c>
      <c r="O1348" t="s">
        <v>6620</v>
      </c>
      <c r="P1348">
        <v>1</v>
      </c>
      <c r="S1348">
        <v>217.95</v>
      </c>
      <c r="T1348">
        <v>250</v>
      </c>
      <c r="U1348">
        <v>190</v>
      </c>
      <c r="V1348" t="s">
        <v>9</v>
      </c>
      <c r="W1348" t="s">
        <v>10</v>
      </c>
      <c r="X1348" t="s">
        <v>11</v>
      </c>
      <c r="Y1348" t="s">
        <v>52</v>
      </c>
      <c r="AF1348" t="s">
        <v>13</v>
      </c>
      <c r="AG1348" t="str">
        <f>HYPERLINK("https://doi.org/10.1515/9780748693573")</f>
        <v>https://doi.org/10.1515/9780748693573</v>
      </c>
      <c r="AH1348" t="str">
        <f>HYPERLINK("http://www.degruyter.com/isbn/9780748693573")</f>
        <v>http://www.degruyter.com/isbn/9780748693573</v>
      </c>
      <c r="AI1348" t="s">
        <v>34</v>
      </c>
      <c r="AL1348" t="s">
        <v>15</v>
      </c>
      <c r="AM1348">
        <v>1</v>
      </c>
      <c r="AN1348" s="2">
        <v>9780748693566</v>
      </c>
    </row>
    <row r="1349" spans="1:40" x14ac:dyDescent="0.3">
      <c r="A1349" t="s">
        <v>6621</v>
      </c>
      <c r="B1349" t="s">
        <v>1</v>
      </c>
      <c r="C1349" t="s">
        <v>6622</v>
      </c>
      <c r="D1349" t="s">
        <v>6623</v>
      </c>
      <c r="E1349" t="s">
        <v>6624</v>
      </c>
      <c r="F1349" t="s">
        <v>5</v>
      </c>
      <c r="G1349" t="s">
        <v>6</v>
      </c>
      <c r="L1349" t="s">
        <v>7</v>
      </c>
      <c r="M1349">
        <v>2017</v>
      </c>
      <c r="N1349" s="1">
        <v>42884</v>
      </c>
      <c r="O1349" t="s">
        <v>6625</v>
      </c>
      <c r="P1349">
        <v>1</v>
      </c>
      <c r="S1349">
        <v>227.95</v>
      </c>
      <c r="T1349">
        <v>260</v>
      </c>
      <c r="U1349">
        <v>200</v>
      </c>
      <c r="V1349" t="s">
        <v>42</v>
      </c>
      <c r="W1349" t="s">
        <v>107</v>
      </c>
      <c r="X1349" t="s">
        <v>108</v>
      </c>
      <c r="Y1349" t="s">
        <v>221</v>
      </c>
      <c r="AF1349" t="s">
        <v>13</v>
      </c>
      <c r="AG1349" t="str">
        <f>HYPERLINK("https://doi.org/10.1515/9781474400039?locatt=mode:legacy")</f>
        <v>https://doi.org/10.1515/9781474400039?locatt=mode:legacy</v>
      </c>
      <c r="AH1349" t="str">
        <f>HYPERLINK("http://www.degruyter.com/isbn/9781474400039")</f>
        <v>http://www.degruyter.com/isbn/9781474400039</v>
      </c>
      <c r="AI1349" t="s">
        <v>222</v>
      </c>
      <c r="AL1349" t="s">
        <v>47</v>
      </c>
      <c r="AM1349">
        <v>1</v>
      </c>
      <c r="AN1349" s="2">
        <v>9781474400022</v>
      </c>
    </row>
    <row r="1350" spans="1:40" x14ac:dyDescent="0.3">
      <c r="A1350" t="s">
        <v>6626</v>
      </c>
      <c r="B1350" t="s">
        <v>1</v>
      </c>
      <c r="C1350" t="s">
        <v>6627</v>
      </c>
      <c r="E1350" t="s">
        <v>6628</v>
      </c>
      <c r="F1350" t="s">
        <v>5</v>
      </c>
      <c r="G1350" t="s">
        <v>6</v>
      </c>
      <c r="L1350" t="s">
        <v>7</v>
      </c>
      <c r="M1350">
        <v>2007</v>
      </c>
      <c r="N1350" s="1">
        <v>39338</v>
      </c>
      <c r="O1350" t="s">
        <v>6629</v>
      </c>
      <c r="P1350">
        <v>1</v>
      </c>
      <c r="Q1350" t="s">
        <v>6630</v>
      </c>
      <c r="S1350">
        <v>209.95</v>
      </c>
      <c r="T1350">
        <v>240</v>
      </c>
      <c r="U1350">
        <v>180</v>
      </c>
      <c r="V1350" t="s">
        <v>42</v>
      </c>
      <c r="W1350" t="s">
        <v>116</v>
      </c>
      <c r="X1350" t="s">
        <v>116</v>
      </c>
      <c r="Y1350" t="s">
        <v>117</v>
      </c>
      <c r="AF1350" t="s">
        <v>13</v>
      </c>
      <c r="AG1350" t="str">
        <f>HYPERLINK("https://doi.org/10.1515/9780748630660")</f>
        <v>https://doi.org/10.1515/9780748630660</v>
      </c>
      <c r="AH1350" t="str">
        <f>HYPERLINK("http://www.degruyter.com/isbn/9780748630660")</f>
        <v>http://www.degruyter.com/isbn/9780748630660</v>
      </c>
      <c r="AI1350" t="s">
        <v>68</v>
      </c>
      <c r="AL1350" t="s">
        <v>47</v>
      </c>
      <c r="AM1350">
        <v>1</v>
      </c>
      <c r="AN1350" s="2">
        <v>9780748624935</v>
      </c>
    </row>
    <row r="1351" spans="1:40" x14ac:dyDescent="0.3">
      <c r="A1351" t="s">
        <v>6631</v>
      </c>
      <c r="B1351" t="s">
        <v>1</v>
      </c>
      <c r="C1351" t="s">
        <v>6632</v>
      </c>
      <c r="E1351" t="s">
        <v>6633</v>
      </c>
      <c r="F1351" t="s">
        <v>5</v>
      </c>
      <c r="G1351" t="s">
        <v>6</v>
      </c>
      <c r="K1351" t="s">
        <v>929</v>
      </c>
      <c r="L1351" t="s">
        <v>7</v>
      </c>
      <c r="M1351">
        <v>2014</v>
      </c>
      <c r="N1351" s="1">
        <v>41835</v>
      </c>
      <c r="O1351" t="s">
        <v>6634</v>
      </c>
      <c r="P1351">
        <v>1</v>
      </c>
      <c r="V1351" t="s">
        <v>58</v>
      </c>
      <c r="W1351" t="s">
        <v>59</v>
      </c>
      <c r="X1351" t="s">
        <v>60</v>
      </c>
      <c r="Y1351" t="s">
        <v>169</v>
      </c>
      <c r="AF1351" t="s">
        <v>13</v>
      </c>
      <c r="AG1351" t="str">
        <f>HYPERLINK("https://doi.org/10.1515/9780748692781?locatt=mode:legacy")</f>
        <v>https://doi.org/10.1515/9780748692781?locatt=mode:legacy</v>
      </c>
      <c r="AH1351" t="str">
        <f>HYPERLINK("http://www.degruyter.com/isbn/9780748692781")</f>
        <v>http://www.degruyter.com/isbn/9780748692781</v>
      </c>
      <c r="AI1351" t="s">
        <v>1247</v>
      </c>
      <c r="AM1351">
        <v>1</v>
      </c>
      <c r="AN1351" s="2"/>
    </row>
    <row r="1352" spans="1:40" x14ac:dyDescent="0.3">
      <c r="A1352" t="s">
        <v>6635</v>
      </c>
      <c r="B1352" t="s">
        <v>1</v>
      </c>
      <c r="C1352" t="s">
        <v>6636</v>
      </c>
      <c r="D1352" t="s">
        <v>6637</v>
      </c>
      <c r="E1352" t="s">
        <v>6638</v>
      </c>
      <c r="F1352" t="s">
        <v>5</v>
      </c>
      <c r="G1352" t="s">
        <v>6</v>
      </c>
      <c r="L1352" t="s">
        <v>7</v>
      </c>
      <c r="M1352">
        <v>2015</v>
      </c>
      <c r="N1352" s="1">
        <v>42179</v>
      </c>
      <c r="O1352" t="s">
        <v>6639</v>
      </c>
      <c r="P1352">
        <v>1</v>
      </c>
      <c r="S1352">
        <v>217.95</v>
      </c>
      <c r="T1352">
        <v>250</v>
      </c>
      <c r="U1352">
        <v>190</v>
      </c>
      <c r="V1352" t="s">
        <v>42</v>
      </c>
      <c r="W1352" t="s">
        <v>43</v>
      </c>
      <c r="X1352" t="s">
        <v>44</v>
      </c>
      <c r="Y1352" t="s">
        <v>45</v>
      </c>
      <c r="AF1352" t="s">
        <v>13</v>
      </c>
      <c r="AG1352" t="str">
        <f>HYPERLINK("https://doi.org/10.1515/9780748697465")</f>
        <v>https://doi.org/10.1515/9780748697465</v>
      </c>
      <c r="AH1352" t="str">
        <f>HYPERLINK("http://www.degruyter.com/isbn/9780748697465")</f>
        <v>http://www.degruyter.com/isbn/9780748697465</v>
      </c>
      <c r="AI1352" t="s">
        <v>34</v>
      </c>
      <c r="AJ1352" t="s">
        <v>35</v>
      </c>
      <c r="AL1352" t="s">
        <v>520</v>
      </c>
      <c r="AM1352">
        <v>1</v>
      </c>
      <c r="AN1352" s="2">
        <v>9780748697458</v>
      </c>
    </row>
    <row r="1353" spans="1:40" x14ac:dyDescent="0.3">
      <c r="A1353" t="s">
        <v>6640</v>
      </c>
      <c r="B1353" t="s">
        <v>1</v>
      </c>
      <c r="C1353" t="s">
        <v>6641</v>
      </c>
      <c r="E1353" t="s">
        <v>6642</v>
      </c>
      <c r="F1353" t="s">
        <v>5</v>
      </c>
      <c r="G1353" t="s">
        <v>6</v>
      </c>
      <c r="L1353" t="s">
        <v>7</v>
      </c>
      <c r="M1353">
        <v>2009</v>
      </c>
      <c r="N1353" s="1">
        <v>39863</v>
      </c>
      <c r="O1353" t="s">
        <v>6643</v>
      </c>
      <c r="P1353">
        <v>1</v>
      </c>
      <c r="Q1353" t="s">
        <v>6644</v>
      </c>
      <c r="S1353">
        <v>227.95</v>
      </c>
      <c r="T1353">
        <v>260</v>
      </c>
      <c r="U1353">
        <v>200</v>
      </c>
      <c r="V1353" t="s">
        <v>20</v>
      </c>
      <c r="W1353" t="s">
        <v>21</v>
      </c>
      <c r="X1353" t="s">
        <v>3445</v>
      </c>
      <c r="Y1353" t="s">
        <v>3446</v>
      </c>
      <c r="AF1353" t="s">
        <v>13</v>
      </c>
      <c r="AG1353" t="str">
        <f>HYPERLINK("https://www.degruyter.com/isbn/9780748631537")</f>
        <v>https://www.degruyter.com/isbn/9780748631537</v>
      </c>
      <c r="AH1353" t="str">
        <f>HYPERLINK("http://www.degruyter.com/isbn/9780748631537")</f>
        <v>http://www.degruyter.com/isbn/9780748631537</v>
      </c>
      <c r="AI1353" t="s">
        <v>68</v>
      </c>
      <c r="AL1353" t="s">
        <v>15</v>
      </c>
      <c r="AM1353">
        <v>1</v>
      </c>
      <c r="AN1353" s="2">
        <v>9780748621422</v>
      </c>
    </row>
    <row r="1354" spans="1:40" x14ac:dyDescent="0.3">
      <c r="A1354" t="s">
        <v>6645</v>
      </c>
      <c r="B1354" t="s">
        <v>1</v>
      </c>
      <c r="C1354" t="s">
        <v>6646</v>
      </c>
      <c r="E1354" t="s">
        <v>6647</v>
      </c>
      <c r="F1354" t="s">
        <v>5</v>
      </c>
      <c r="G1354" t="s">
        <v>6</v>
      </c>
      <c r="L1354" t="s">
        <v>7</v>
      </c>
      <c r="M1354">
        <v>2020</v>
      </c>
      <c r="N1354" s="1">
        <v>44656</v>
      </c>
      <c r="O1354" t="s">
        <v>6648</v>
      </c>
      <c r="P1354">
        <v>1</v>
      </c>
      <c r="S1354">
        <v>521.95000000000005</v>
      </c>
      <c r="T1354">
        <v>598</v>
      </c>
      <c r="U1354">
        <v>460</v>
      </c>
      <c r="V1354" t="s">
        <v>42</v>
      </c>
      <c r="W1354" t="s">
        <v>43</v>
      </c>
      <c r="X1354" t="s">
        <v>1061</v>
      </c>
      <c r="Y1354" t="s">
        <v>1339</v>
      </c>
      <c r="AF1354" t="s">
        <v>13</v>
      </c>
      <c r="AG1354" t="str">
        <f>HYPERLINK("https://doi.org/10.1515/9781474461702")</f>
        <v>https://doi.org/10.1515/9781474461702</v>
      </c>
      <c r="AH1354" t="str">
        <f>HYPERLINK("http://www.degruyter.com/isbn/9781474461702")</f>
        <v>http://www.degruyter.com/isbn/9781474461702</v>
      </c>
      <c r="AI1354" t="s">
        <v>14</v>
      </c>
      <c r="AL1354" t="s">
        <v>47</v>
      </c>
      <c r="AM1354">
        <v>1</v>
      </c>
      <c r="AN1354" s="2">
        <v>9781474461696</v>
      </c>
    </row>
    <row r="1355" spans="1:40" x14ac:dyDescent="0.3">
      <c r="A1355" t="s">
        <v>6649</v>
      </c>
      <c r="B1355" t="s">
        <v>1</v>
      </c>
      <c r="C1355" t="s">
        <v>6650</v>
      </c>
      <c r="D1355" t="s">
        <v>6651</v>
      </c>
      <c r="E1355" t="s">
        <v>6652</v>
      </c>
      <c r="F1355" t="s">
        <v>5</v>
      </c>
      <c r="G1355" t="s">
        <v>6</v>
      </c>
      <c r="L1355" t="s">
        <v>7</v>
      </c>
      <c r="M1355">
        <v>2008</v>
      </c>
      <c r="N1355" s="1">
        <v>39731</v>
      </c>
      <c r="O1355" t="s">
        <v>6653</v>
      </c>
      <c r="P1355">
        <v>1</v>
      </c>
      <c r="S1355">
        <v>453.95</v>
      </c>
      <c r="T1355">
        <v>520</v>
      </c>
      <c r="U1355">
        <v>400</v>
      </c>
      <c r="V1355" t="s">
        <v>20</v>
      </c>
      <c r="W1355" t="s">
        <v>21</v>
      </c>
      <c r="X1355" t="s">
        <v>575</v>
      </c>
      <c r="Y1355" t="s">
        <v>576</v>
      </c>
      <c r="AF1355" t="s">
        <v>13</v>
      </c>
      <c r="AG1355" t="str">
        <f>HYPERLINK("https://doi.org/10.1515/9781474467872")</f>
        <v>https://doi.org/10.1515/9781474467872</v>
      </c>
      <c r="AH1355" t="str">
        <f>HYPERLINK("http://www.degruyter.com/isbn/9781474467872")</f>
        <v>http://www.degruyter.com/isbn/9781474467872</v>
      </c>
      <c r="AI1355" t="s">
        <v>68</v>
      </c>
      <c r="AL1355" t="s">
        <v>15</v>
      </c>
      <c r="AM1355">
        <v>1</v>
      </c>
      <c r="AN1355" s="2">
        <v>9780748622191</v>
      </c>
    </row>
    <row r="1356" spans="1:40" x14ac:dyDescent="0.3">
      <c r="A1356" t="s">
        <v>6654</v>
      </c>
      <c r="B1356" t="s">
        <v>1</v>
      </c>
      <c r="C1356" t="s">
        <v>6655</v>
      </c>
      <c r="D1356" t="s">
        <v>6656</v>
      </c>
      <c r="E1356" t="s">
        <v>6657</v>
      </c>
      <c r="F1356" t="s">
        <v>5</v>
      </c>
      <c r="G1356" t="s">
        <v>6</v>
      </c>
      <c r="L1356" t="s">
        <v>7</v>
      </c>
      <c r="M1356">
        <v>2015</v>
      </c>
      <c r="N1356" s="1">
        <v>42352</v>
      </c>
      <c r="O1356" t="s">
        <v>6658</v>
      </c>
      <c r="P1356">
        <v>1</v>
      </c>
      <c r="Q1356" t="s">
        <v>6659</v>
      </c>
      <c r="S1356">
        <v>227.95</v>
      </c>
      <c r="T1356">
        <v>260</v>
      </c>
      <c r="U1356">
        <v>200</v>
      </c>
      <c r="V1356" t="s">
        <v>329</v>
      </c>
      <c r="W1356" t="s">
        <v>330</v>
      </c>
      <c r="X1356" t="s">
        <v>331</v>
      </c>
      <c r="Y1356" t="s">
        <v>1035</v>
      </c>
      <c r="AF1356" t="s">
        <v>13</v>
      </c>
      <c r="AG1356" t="str">
        <f>HYPERLINK("https://doi.org/10.1515/9781474408868?locatt=mode:legacy")</f>
        <v>https://doi.org/10.1515/9781474408868?locatt=mode:legacy</v>
      </c>
      <c r="AH1356" t="str">
        <f>HYPERLINK("http://www.degruyter.com/isbn/9781474408868")</f>
        <v>http://www.degruyter.com/isbn/9781474408868</v>
      </c>
      <c r="AI1356" t="s">
        <v>34</v>
      </c>
      <c r="AL1356" t="s">
        <v>333</v>
      </c>
      <c r="AM1356">
        <v>1</v>
      </c>
      <c r="AN1356" s="2">
        <v>9781474408851</v>
      </c>
    </row>
    <row r="1357" spans="1:40" x14ac:dyDescent="0.3">
      <c r="A1357" t="s">
        <v>6660</v>
      </c>
      <c r="B1357" t="s">
        <v>1</v>
      </c>
      <c r="C1357" t="s">
        <v>6661</v>
      </c>
      <c r="D1357" t="s">
        <v>6662</v>
      </c>
      <c r="E1357" t="s">
        <v>6663</v>
      </c>
      <c r="F1357" t="s">
        <v>5</v>
      </c>
      <c r="G1357" t="s">
        <v>6</v>
      </c>
      <c r="L1357" t="s">
        <v>7</v>
      </c>
      <c r="M1357">
        <v>2018</v>
      </c>
      <c r="N1357" s="1">
        <v>44656</v>
      </c>
      <c r="O1357" t="s">
        <v>6664</v>
      </c>
      <c r="P1357">
        <v>1</v>
      </c>
      <c r="Q1357" t="s">
        <v>6665</v>
      </c>
      <c r="S1357">
        <v>217.95</v>
      </c>
      <c r="T1357">
        <v>250</v>
      </c>
      <c r="U1357">
        <v>190</v>
      </c>
      <c r="V1357" t="s">
        <v>42</v>
      </c>
      <c r="W1357" t="s">
        <v>43</v>
      </c>
      <c r="X1357" t="s">
        <v>44</v>
      </c>
      <c r="Y1357" t="s">
        <v>45</v>
      </c>
      <c r="AF1357" t="s">
        <v>13</v>
      </c>
      <c r="AG1357" t="str">
        <f>HYPERLINK("https://doi.org/10.1515/9781474424141?locatt=mode:legacy")</f>
        <v>https://doi.org/10.1515/9781474424141?locatt=mode:legacy</v>
      </c>
      <c r="AH1357" t="str">
        <f>HYPERLINK("http://www.degruyter.com/isbn/9781474424141")</f>
        <v>http://www.degruyter.com/isbn/9781474424141</v>
      </c>
      <c r="AI1357" t="s">
        <v>46</v>
      </c>
      <c r="AL1357" t="s">
        <v>47</v>
      </c>
      <c r="AM1357">
        <v>1</v>
      </c>
      <c r="AN1357" s="2">
        <v>9781474424134</v>
      </c>
    </row>
    <row r="1358" spans="1:40" x14ac:dyDescent="0.3">
      <c r="A1358" t="s">
        <v>6666</v>
      </c>
      <c r="B1358" t="s">
        <v>1</v>
      </c>
      <c r="C1358" t="s">
        <v>6667</v>
      </c>
      <c r="E1358" t="s">
        <v>6668</v>
      </c>
      <c r="F1358" t="s">
        <v>5</v>
      </c>
      <c r="G1358" t="s">
        <v>6</v>
      </c>
      <c r="L1358" t="s">
        <v>7</v>
      </c>
      <c r="M1358">
        <v>2021</v>
      </c>
      <c r="N1358" s="1">
        <v>44656</v>
      </c>
      <c r="O1358" t="s">
        <v>6669</v>
      </c>
      <c r="P1358">
        <v>1</v>
      </c>
      <c r="Q1358" t="s">
        <v>6539</v>
      </c>
      <c r="S1358">
        <v>217.95</v>
      </c>
      <c r="T1358">
        <v>250</v>
      </c>
      <c r="U1358">
        <v>190</v>
      </c>
      <c r="V1358" t="s">
        <v>42</v>
      </c>
      <c r="W1358" t="s">
        <v>740</v>
      </c>
      <c r="X1358" t="s">
        <v>6670</v>
      </c>
      <c r="Y1358" t="s">
        <v>6671</v>
      </c>
      <c r="AF1358" t="s">
        <v>13</v>
      </c>
      <c r="AG1358" t="str">
        <f>HYPERLINK("https://doi.org/10.1515/9781474475945")</f>
        <v>https://doi.org/10.1515/9781474475945</v>
      </c>
      <c r="AH1358" t="str">
        <f>HYPERLINK("http://www.degruyter.com/isbn/9781474475945")</f>
        <v>http://www.degruyter.com/isbn/9781474475945</v>
      </c>
      <c r="AI1358" t="s">
        <v>110</v>
      </c>
      <c r="AL1358" t="s">
        <v>47</v>
      </c>
      <c r="AM1358">
        <v>1</v>
      </c>
      <c r="AN1358" s="2">
        <v>9781474475921</v>
      </c>
    </row>
    <row r="1359" spans="1:40" x14ac:dyDescent="0.3">
      <c r="A1359" t="s">
        <v>6672</v>
      </c>
      <c r="B1359" t="s">
        <v>1</v>
      </c>
      <c r="C1359" t="s">
        <v>6673</v>
      </c>
      <c r="E1359" t="s">
        <v>6674</v>
      </c>
      <c r="F1359" t="s">
        <v>5</v>
      </c>
      <c r="G1359" t="s">
        <v>6</v>
      </c>
      <c r="L1359" t="s">
        <v>7</v>
      </c>
      <c r="M1359">
        <v>2006</v>
      </c>
      <c r="N1359" s="1">
        <v>38868</v>
      </c>
      <c r="O1359" t="s">
        <v>328</v>
      </c>
      <c r="P1359">
        <v>1</v>
      </c>
      <c r="S1359">
        <v>287.95</v>
      </c>
      <c r="T1359">
        <v>330</v>
      </c>
      <c r="U1359">
        <v>250</v>
      </c>
      <c r="V1359" t="s">
        <v>58</v>
      </c>
      <c r="W1359" t="s">
        <v>129</v>
      </c>
      <c r="X1359" t="s">
        <v>130</v>
      </c>
      <c r="Y1359" t="s">
        <v>1826</v>
      </c>
      <c r="AF1359" t="s">
        <v>13</v>
      </c>
      <c r="AG1359" t="str">
        <f>HYPERLINK("https://doi.org/10.1515/9781474480963")</f>
        <v>https://doi.org/10.1515/9781474480963</v>
      </c>
      <c r="AH1359" t="str">
        <f>HYPERLINK("http://www.degruyter.com/isbn/9781474480963")</f>
        <v>http://www.degruyter.com/isbn/9781474480963</v>
      </c>
      <c r="AI1359" t="s">
        <v>68</v>
      </c>
      <c r="AL1359" t="s">
        <v>62</v>
      </c>
      <c r="AM1359">
        <v>1</v>
      </c>
      <c r="AN1359" s="2">
        <v>9780748623334</v>
      </c>
    </row>
    <row r="1360" spans="1:40" x14ac:dyDescent="0.3">
      <c r="A1360" t="s">
        <v>6675</v>
      </c>
      <c r="B1360" t="s">
        <v>1</v>
      </c>
      <c r="C1360" t="s">
        <v>6676</v>
      </c>
      <c r="D1360" t="s">
        <v>6677</v>
      </c>
      <c r="E1360" t="s">
        <v>6678</v>
      </c>
      <c r="F1360" t="s">
        <v>5</v>
      </c>
      <c r="G1360" t="s">
        <v>6</v>
      </c>
      <c r="L1360" t="s">
        <v>7</v>
      </c>
      <c r="M1360">
        <v>2016</v>
      </c>
      <c r="N1360" s="1">
        <v>42422</v>
      </c>
      <c r="O1360" t="s">
        <v>6679</v>
      </c>
      <c r="P1360">
        <v>1</v>
      </c>
      <c r="S1360">
        <v>227.95</v>
      </c>
      <c r="T1360">
        <v>260</v>
      </c>
      <c r="U1360">
        <v>200</v>
      </c>
      <c r="V1360" t="s">
        <v>79</v>
      </c>
      <c r="W1360" t="s">
        <v>783</v>
      </c>
      <c r="X1360" t="s">
        <v>783</v>
      </c>
      <c r="Y1360" t="s">
        <v>784</v>
      </c>
      <c r="AF1360" t="s">
        <v>13</v>
      </c>
      <c r="AG1360" t="str">
        <f>HYPERLINK("https://doi.org/10.1515/9781474407069")</f>
        <v>https://doi.org/10.1515/9781474407069</v>
      </c>
      <c r="AH1360" t="str">
        <f>HYPERLINK("http://www.degruyter.com/isbn/9781474407069")</f>
        <v>http://www.degruyter.com/isbn/9781474407069</v>
      </c>
      <c r="AI1360" t="s">
        <v>180</v>
      </c>
      <c r="AL1360" t="s">
        <v>83</v>
      </c>
      <c r="AM1360">
        <v>1</v>
      </c>
      <c r="AN1360" s="2">
        <v>9781474407045</v>
      </c>
    </row>
    <row r="1361" spans="1:40" x14ac:dyDescent="0.3">
      <c r="A1361" t="s">
        <v>6680</v>
      </c>
      <c r="B1361" t="s">
        <v>1</v>
      </c>
      <c r="C1361" t="s">
        <v>6681</v>
      </c>
      <c r="E1361" t="s">
        <v>6682</v>
      </c>
      <c r="F1361" t="s">
        <v>5</v>
      </c>
      <c r="G1361" t="s">
        <v>6</v>
      </c>
      <c r="K1361" t="s">
        <v>923</v>
      </c>
      <c r="L1361" t="s">
        <v>7</v>
      </c>
      <c r="M1361">
        <v>2016</v>
      </c>
      <c r="N1361" s="1">
        <v>42559</v>
      </c>
      <c r="O1361" t="s">
        <v>6683</v>
      </c>
      <c r="P1361">
        <v>1</v>
      </c>
      <c r="V1361" t="s">
        <v>58</v>
      </c>
      <c r="W1361" t="s">
        <v>59</v>
      </c>
      <c r="X1361" t="s">
        <v>60</v>
      </c>
      <c r="Y1361" t="s">
        <v>1669</v>
      </c>
      <c r="AF1361" t="s">
        <v>13</v>
      </c>
      <c r="AG1361" t="str">
        <f>HYPERLINK("https://doi.org/10.1515/9781474415514?locatt=mode:legacy")</f>
        <v>https://doi.org/10.1515/9781474415514?locatt=mode:legacy</v>
      </c>
      <c r="AH1361" t="str">
        <f>HYPERLINK("http://www.degruyter.com/isbn/9781474415514")</f>
        <v>http://www.degruyter.com/isbn/9781474415514</v>
      </c>
      <c r="AI1361" t="s">
        <v>180</v>
      </c>
      <c r="AM1361">
        <v>1</v>
      </c>
      <c r="AN1361" s="2"/>
    </row>
    <row r="1362" spans="1:40" x14ac:dyDescent="0.3">
      <c r="A1362" t="s">
        <v>6684</v>
      </c>
      <c r="B1362" t="s">
        <v>1</v>
      </c>
      <c r="C1362" t="s">
        <v>6685</v>
      </c>
      <c r="D1362" t="s">
        <v>6686</v>
      </c>
      <c r="E1362" t="s">
        <v>6687</v>
      </c>
      <c r="F1362" t="s">
        <v>5</v>
      </c>
      <c r="G1362" t="s">
        <v>6</v>
      </c>
      <c r="L1362" t="s">
        <v>7</v>
      </c>
      <c r="M1362">
        <v>2020</v>
      </c>
      <c r="N1362" s="1">
        <v>44656</v>
      </c>
      <c r="O1362" t="s">
        <v>6688</v>
      </c>
      <c r="P1362">
        <v>1</v>
      </c>
      <c r="S1362">
        <v>243.95</v>
      </c>
      <c r="T1362">
        <v>280</v>
      </c>
      <c r="U1362">
        <v>210</v>
      </c>
      <c r="V1362" t="s">
        <v>20</v>
      </c>
      <c r="W1362" t="s">
        <v>21</v>
      </c>
      <c r="X1362" t="s">
        <v>4875</v>
      </c>
      <c r="Y1362" t="s">
        <v>4876</v>
      </c>
      <c r="AF1362" t="s">
        <v>13</v>
      </c>
      <c r="AG1362" t="str">
        <f>HYPERLINK("https://doi.org/10.1515/9781474444316")</f>
        <v>https://doi.org/10.1515/9781474444316</v>
      </c>
      <c r="AH1362" t="str">
        <f>HYPERLINK("http://www.degruyter.com/isbn/9781474444316")</f>
        <v>http://www.degruyter.com/isbn/9781474444316</v>
      </c>
      <c r="AI1362" t="s">
        <v>14</v>
      </c>
      <c r="AL1362" t="s">
        <v>15</v>
      </c>
      <c r="AM1362">
        <v>1</v>
      </c>
      <c r="AN1362" s="2">
        <v>9781474444293</v>
      </c>
    </row>
    <row r="1363" spans="1:40" x14ac:dyDescent="0.3">
      <c r="A1363" t="s">
        <v>6689</v>
      </c>
      <c r="B1363" t="s">
        <v>1</v>
      </c>
      <c r="C1363" t="s">
        <v>6690</v>
      </c>
      <c r="D1363" t="s">
        <v>6691</v>
      </c>
      <c r="E1363" t="s">
        <v>6692</v>
      </c>
      <c r="F1363" t="s">
        <v>5</v>
      </c>
      <c r="G1363" t="s">
        <v>6</v>
      </c>
      <c r="L1363" t="s">
        <v>7</v>
      </c>
      <c r="M1363">
        <v>2019</v>
      </c>
      <c r="N1363" s="1">
        <v>44656</v>
      </c>
      <c r="O1363" t="s">
        <v>6693</v>
      </c>
      <c r="P1363">
        <v>1</v>
      </c>
      <c r="Q1363" t="s">
        <v>6694</v>
      </c>
      <c r="S1363">
        <v>227.95</v>
      </c>
      <c r="T1363">
        <v>260</v>
      </c>
      <c r="U1363">
        <v>200</v>
      </c>
      <c r="V1363" t="s">
        <v>42</v>
      </c>
      <c r="W1363" t="s">
        <v>161</v>
      </c>
      <c r="X1363" t="s">
        <v>162</v>
      </c>
      <c r="Y1363" t="s">
        <v>896</v>
      </c>
      <c r="AF1363" t="s">
        <v>13</v>
      </c>
      <c r="AG1363" t="str">
        <f>HYPERLINK("https://doi.org/10.1515/9781474448925")</f>
        <v>https://doi.org/10.1515/9781474448925</v>
      </c>
      <c r="AH1363" t="str">
        <f>HYPERLINK("http://www.degruyter.com/isbn/9781474448925")</f>
        <v>http://www.degruyter.com/isbn/9781474448925</v>
      </c>
      <c r="AI1363" t="s">
        <v>280</v>
      </c>
      <c r="AL1363" t="s">
        <v>47</v>
      </c>
      <c r="AM1363">
        <v>1</v>
      </c>
      <c r="AN1363" s="2">
        <v>9781474448901</v>
      </c>
    </row>
    <row r="1364" spans="1:40" x14ac:dyDescent="0.3">
      <c r="A1364" t="s">
        <v>6695</v>
      </c>
      <c r="B1364" t="s">
        <v>1</v>
      </c>
      <c r="C1364" t="s">
        <v>6696</v>
      </c>
      <c r="D1364" t="s">
        <v>6697</v>
      </c>
      <c r="E1364" t="s">
        <v>6698</v>
      </c>
      <c r="F1364" t="s">
        <v>5</v>
      </c>
      <c r="G1364" t="s">
        <v>6</v>
      </c>
      <c r="L1364" t="s">
        <v>7</v>
      </c>
      <c r="M1364">
        <v>1995</v>
      </c>
      <c r="N1364" s="1">
        <v>44719</v>
      </c>
      <c r="O1364" t="s">
        <v>6699</v>
      </c>
      <c r="P1364">
        <v>1</v>
      </c>
      <c r="S1364">
        <v>217.95</v>
      </c>
      <c r="T1364">
        <v>250</v>
      </c>
      <c r="U1364">
        <v>190</v>
      </c>
      <c r="V1364" t="s">
        <v>20</v>
      </c>
      <c r="W1364" t="s">
        <v>470</v>
      </c>
      <c r="X1364" t="s">
        <v>1269</v>
      </c>
      <c r="Y1364" t="s">
        <v>6700</v>
      </c>
      <c r="AF1364" t="s">
        <v>13</v>
      </c>
      <c r="AG1364" t="str">
        <f>HYPERLINK("https://doi.org/10.1515/9781474473675")</f>
        <v>https://doi.org/10.1515/9781474473675</v>
      </c>
      <c r="AH1364" t="str">
        <f>HYPERLINK("http://www.degruyter.com/isbn/9781474473675")</f>
        <v>http://www.degruyter.com/isbn/9781474473675</v>
      </c>
      <c r="AI1364" t="s">
        <v>24</v>
      </c>
      <c r="AL1364" t="s">
        <v>15</v>
      </c>
      <c r="AM1364">
        <v>1</v>
      </c>
      <c r="AN1364" s="2">
        <v>9781853310515</v>
      </c>
    </row>
    <row r="1365" spans="1:40" x14ac:dyDescent="0.3">
      <c r="A1365" t="s">
        <v>6701</v>
      </c>
      <c r="B1365" t="s">
        <v>1</v>
      </c>
      <c r="C1365" t="s">
        <v>6702</v>
      </c>
      <c r="E1365" t="s">
        <v>6703</v>
      </c>
      <c r="F1365" t="s">
        <v>5</v>
      </c>
      <c r="G1365" t="s">
        <v>6</v>
      </c>
      <c r="L1365" t="s">
        <v>7</v>
      </c>
      <c r="M1365">
        <v>2005</v>
      </c>
      <c r="N1365" s="1">
        <v>38476</v>
      </c>
      <c r="O1365" t="s">
        <v>2282</v>
      </c>
      <c r="P1365">
        <v>1</v>
      </c>
      <c r="S1365">
        <v>261.95</v>
      </c>
      <c r="T1365">
        <v>300</v>
      </c>
      <c r="U1365">
        <v>230</v>
      </c>
      <c r="V1365" t="s">
        <v>98</v>
      </c>
      <c r="W1365" t="s">
        <v>2283</v>
      </c>
      <c r="X1365" t="s">
        <v>2284</v>
      </c>
      <c r="Y1365" t="s">
        <v>2285</v>
      </c>
      <c r="AF1365" t="s">
        <v>13</v>
      </c>
      <c r="AG1365" t="str">
        <f>HYPERLINK("https://doi.org/10.1515/9780748680801")</f>
        <v>https://doi.org/10.1515/9780748680801</v>
      </c>
      <c r="AH1365" t="str">
        <f>HYPERLINK("http://www.degruyter.com/isbn/9780748680801")</f>
        <v>http://www.degruyter.com/isbn/9780748680801</v>
      </c>
      <c r="AI1365" t="s">
        <v>68</v>
      </c>
      <c r="AL1365" t="s">
        <v>102</v>
      </c>
      <c r="AM1365">
        <v>1</v>
      </c>
      <c r="AN1365" s="2">
        <v>9780748617579</v>
      </c>
    </row>
    <row r="1366" spans="1:40" x14ac:dyDescent="0.3">
      <c r="A1366" t="s">
        <v>6704</v>
      </c>
      <c r="B1366" t="s">
        <v>1</v>
      </c>
      <c r="C1366" t="s">
        <v>6705</v>
      </c>
      <c r="D1366" t="s">
        <v>6706</v>
      </c>
      <c r="E1366" t="s">
        <v>6707</v>
      </c>
      <c r="F1366" t="s">
        <v>5</v>
      </c>
      <c r="G1366" t="s">
        <v>6</v>
      </c>
      <c r="L1366" t="s">
        <v>7</v>
      </c>
      <c r="M1366">
        <v>2011</v>
      </c>
      <c r="N1366" s="1">
        <v>40731</v>
      </c>
      <c r="O1366" t="s">
        <v>6708</v>
      </c>
      <c r="P1366">
        <v>1</v>
      </c>
      <c r="S1366">
        <v>217.95</v>
      </c>
      <c r="T1366">
        <v>250</v>
      </c>
      <c r="U1366">
        <v>190</v>
      </c>
      <c r="V1366" t="s">
        <v>98</v>
      </c>
      <c r="W1366" t="s">
        <v>99</v>
      </c>
      <c r="X1366" t="s">
        <v>386</v>
      </c>
      <c r="Y1366" t="s">
        <v>387</v>
      </c>
      <c r="AF1366" t="s">
        <v>13</v>
      </c>
      <c r="AG1366" t="str">
        <f>HYPERLINK("https://doi.org/10.1515/9780748637218")</f>
        <v>https://doi.org/10.1515/9780748637218</v>
      </c>
      <c r="AH1366" t="str">
        <f>HYPERLINK("http://www.degruyter.com/isbn/9780748637218")</f>
        <v>http://www.degruyter.com/isbn/9780748637218</v>
      </c>
      <c r="AI1366" t="s">
        <v>68</v>
      </c>
      <c r="AL1366" t="s">
        <v>102</v>
      </c>
      <c r="AM1366">
        <v>1</v>
      </c>
      <c r="AN1366" s="2">
        <v>9780748637201</v>
      </c>
    </row>
    <row r="1367" spans="1:40" x14ac:dyDescent="0.3">
      <c r="A1367" t="s">
        <v>6709</v>
      </c>
      <c r="B1367" t="s">
        <v>1</v>
      </c>
      <c r="C1367" t="s">
        <v>6710</v>
      </c>
      <c r="D1367" t="s">
        <v>6711</v>
      </c>
      <c r="E1367" t="s">
        <v>6712</v>
      </c>
      <c r="F1367" t="s">
        <v>5</v>
      </c>
      <c r="G1367" t="s">
        <v>6</v>
      </c>
      <c r="L1367" t="s">
        <v>7</v>
      </c>
      <c r="M1367">
        <v>2018</v>
      </c>
      <c r="N1367" s="1">
        <v>44644</v>
      </c>
      <c r="O1367" t="s">
        <v>6713</v>
      </c>
      <c r="P1367">
        <v>1</v>
      </c>
      <c r="S1367">
        <v>253.95</v>
      </c>
      <c r="T1367">
        <v>290</v>
      </c>
      <c r="U1367">
        <v>220</v>
      </c>
      <c r="V1367" t="s">
        <v>42</v>
      </c>
      <c r="W1367" t="s">
        <v>107</v>
      </c>
      <c r="X1367" t="s">
        <v>108</v>
      </c>
      <c r="Y1367" t="s">
        <v>5001</v>
      </c>
      <c r="AF1367" t="s">
        <v>13</v>
      </c>
      <c r="AG1367" t="str">
        <f>HYPERLINK("https://doi.org/10.1515/9781474434379")</f>
        <v>https://doi.org/10.1515/9781474434379</v>
      </c>
      <c r="AH1367" t="str">
        <f>HYPERLINK("http://www.degruyter.com/isbn/9781474434379")</f>
        <v>http://www.degruyter.com/isbn/9781474434379</v>
      </c>
      <c r="AI1367" t="s">
        <v>46</v>
      </c>
      <c r="AL1367" t="s">
        <v>47</v>
      </c>
      <c r="AM1367">
        <v>1</v>
      </c>
      <c r="AN1367" s="2">
        <v>9781474434355</v>
      </c>
    </row>
    <row r="1368" spans="1:40" x14ac:dyDescent="0.3">
      <c r="A1368" t="s">
        <v>6714</v>
      </c>
      <c r="B1368" t="s">
        <v>1</v>
      </c>
      <c r="C1368" t="s">
        <v>6715</v>
      </c>
      <c r="D1368" t="s">
        <v>6716</v>
      </c>
      <c r="E1368" t="s">
        <v>6717</v>
      </c>
      <c r="F1368" t="s">
        <v>5</v>
      </c>
      <c r="G1368" t="s">
        <v>6</v>
      </c>
      <c r="L1368" t="s">
        <v>7</v>
      </c>
      <c r="M1368">
        <v>2011</v>
      </c>
      <c r="N1368" s="1">
        <v>40679</v>
      </c>
      <c r="O1368" t="s">
        <v>6718</v>
      </c>
      <c r="P1368">
        <v>1</v>
      </c>
      <c r="S1368">
        <v>217.95</v>
      </c>
      <c r="T1368">
        <v>250</v>
      </c>
      <c r="U1368">
        <v>190</v>
      </c>
      <c r="V1368" t="s">
        <v>20</v>
      </c>
      <c r="W1368" t="s">
        <v>21</v>
      </c>
      <c r="X1368" t="s">
        <v>22</v>
      </c>
      <c r="Y1368" t="s">
        <v>489</v>
      </c>
      <c r="AF1368" t="s">
        <v>13</v>
      </c>
      <c r="AG1368" t="str">
        <f>HYPERLINK("https://doi.org/10.1515/9780748643745")</f>
        <v>https://doi.org/10.1515/9780748643745</v>
      </c>
      <c r="AH1368" t="str">
        <f>HYPERLINK("http://www.degruyter.com/isbn/9780748643745")</f>
        <v>http://www.degruyter.com/isbn/9780748643745</v>
      </c>
      <c r="AI1368" t="s">
        <v>68</v>
      </c>
      <c r="AL1368" t="s">
        <v>15</v>
      </c>
      <c r="AM1368">
        <v>1</v>
      </c>
      <c r="AN1368" s="2">
        <v>9780748643561</v>
      </c>
    </row>
    <row r="1369" spans="1:40" x14ac:dyDescent="0.3">
      <c r="A1369" t="s">
        <v>6719</v>
      </c>
      <c r="B1369" t="s">
        <v>1</v>
      </c>
      <c r="C1369" t="s">
        <v>6720</v>
      </c>
      <c r="E1369" t="s">
        <v>6721</v>
      </c>
      <c r="F1369" t="s">
        <v>5</v>
      </c>
      <c r="G1369" t="s">
        <v>6</v>
      </c>
      <c r="L1369" t="s">
        <v>7</v>
      </c>
      <c r="M1369">
        <v>2006</v>
      </c>
      <c r="N1369" s="1">
        <v>38919</v>
      </c>
      <c r="O1369" t="s">
        <v>6722</v>
      </c>
      <c r="P1369">
        <v>1</v>
      </c>
      <c r="Q1369" t="s">
        <v>6723</v>
      </c>
      <c r="S1369">
        <v>253.95</v>
      </c>
      <c r="T1369">
        <v>290</v>
      </c>
      <c r="U1369">
        <v>220</v>
      </c>
      <c r="V1369" t="s">
        <v>79</v>
      </c>
      <c r="W1369" t="s">
        <v>138</v>
      </c>
      <c r="X1369" t="s">
        <v>138</v>
      </c>
      <c r="Y1369" t="s">
        <v>2824</v>
      </c>
      <c r="AF1369" t="s">
        <v>13</v>
      </c>
      <c r="AG1369" t="str">
        <f>HYPERLINK("https://doi.org/10.1515/9780748627028")</f>
        <v>https://doi.org/10.1515/9780748627028</v>
      </c>
      <c r="AH1369" t="str">
        <f>HYPERLINK("http://www.degruyter.com/isbn/9780748627028")</f>
        <v>http://www.degruyter.com/isbn/9780748627028</v>
      </c>
      <c r="AI1369" t="s">
        <v>68</v>
      </c>
      <c r="AJ1369" t="s">
        <v>35</v>
      </c>
      <c r="AL1369" t="s">
        <v>718</v>
      </c>
      <c r="AM1369">
        <v>1</v>
      </c>
      <c r="AN1369" s="2">
        <v>9780748622122</v>
      </c>
    </row>
    <row r="1370" spans="1:40" x14ac:dyDescent="0.3">
      <c r="A1370" t="s">
        <v>6724</v>
      </c>
      <c r="B1370" t="s">
        <v>1</v>
      </c>
      <c r="C1370" t="s">
        <v>6725</v>
      </c>
      <c r="D1370" t="s">
        <v>6726</v>
      </c>
      <c r="E1370" t="s">
        <v>6727</v>
      </c>
      <c r="F1370" t="s">
        <v>5</v>
      </c>
      <c r="G1370" t="s">
        <v>6</v>
      </c>
      <c r="L1370" t="s">
        <v>7</v>
      </c>
      <c r="M1370">
        <v>2021</v>
      </c>
      <c r="N1370" s="1">
        <v>44644</v>
      </c>
      <c r="O1370" t="s">
        <v>6728</v>
      </c>
      <c r="P1370">
        <v>1</v>
      </c>
      <c r="Q1370" t="s">
        <v>6729</v>
      </c>
      <c r="S1370">
        <v>227.95</v>
      </c>
      <c r="T1370">
        <v>260</v>
      </c>
      <c r="U1370">
        <v>200</v>
      </c>
      <c r="V1370" t="s">
        <v>79</v>
      </c>
      <c r="W1370" t="s">
        <v>209</v>
      </c>
      <c r="X1370" t="s">
        <v>209</v>
      </c>
      <c r="Y1370" t="s">
        <v>699</v>
      </c>
      <c r="AF1370" t="s">
        <v>13</v>
      </c>
      <c r="AG1370" t="str">
        <f>HYPERLINK("https://doi.org/10.1515/9781474410359")</f>
        <v>https://doi.org/10.1515/9781474410359</v>
      </c>
      <c r="AH1370" t="str">
        <f>HYPERLINK("http://www.degruyter.com/isbn/9781474410359")</f>
        <v>http://www.degruyter.com/isbn/9781474410359</v>
      </c>
      <c r="AI1370" t="s">
        <v>82</v>
      </c>
      <c r="AL1370" t="s">
        <v>83</v>
      </c>
      <c r="AM1370">
        <v>1</v>
      </c>
      <c r="AN1370" s="2">
        <v>9781474410342</v>
      </c>
    </row>
    <row r="1371" spans="1:40" x14ac:dyDescent="0.3">
      <c r="A1371" t="s">
        <v>6730</v>
      </c>
      <c r="B1371" t="s">
        <v>1</v>
      </c>
      <c r="C1371" t="s">
        <v>6731</v>
      </c>
      <c r="D1371" t="s">
        <v>6732</v>
      </c>
      <c r="E1371" t="s">
        <v>6733</v>
      </c>
      <c r="F1371" t="s">
        <v>5</v>
      </c>
      <c r="G1371" t="s">
        <v>6</v>
      </c>
      <c r="L1371" t="s">
        <v>7</v>
      </c>
      <c r="M1371">
        <v>2012</v>
      </c>
      <c r="N1371" s="1">
        <v>41127</v>
      </c>
      <c r="O1371" t="s">
        <v>1205</v>
      </c>
      <c r="P1371">
        <v>1</v>
      </c>
      <c r="Q1371" t="s">
        <v>6606</v>
      </c>
      <c r="S1371">
        <v>227.95</v>
      </c>
      <c r="T1371">
        <v>260</v>
      </c>
      <c r="U1371">
        <v>200</v>
      </c>
      <c r="V1371" t="s">
        <v>79</v>
      </c>
      <c r="W1371" t="s">
        <v>209</v>
      </c>
      <c r="X1371" t="s">
        <v>209</v>
      </c>
      <c r="Y1371" t="s">
        <v>510</v>
      </c>
      <c r="AF1371" t="s">
        <v>13</v>
      </c>
      <c r="AG1371" t="str">
        <f>HYPERLINK("https://doi.org/10.1515/9780748655878?locatt=mode:legacy")</f>
        <v>https://doi.org/10.1515/9780748655878?locatt=mode:legacy</v>
      </c>
      <c r="AH1371" t="str">
        <f>HYPERLINK("http://www.degruyter.com/isbn/9780748655878")</f>
        <v>http://www.degruyter.com/isbn/9780748655878</v>
      </c>
      <c r="AI1371" t="s">
        <v>68</v>
      </c>
      <c r="AL1371" t="s">
        <v>83</v>
      </c>
      <c r="AM1371">
        <v>1</v>
      </c>
      <c r="AN1371" s="2">
        <v>9780748655861</v>
      </c>
    </row>
    <row r="1372" spans="1:40" x14ac:dyDescent="0.3">
      <c r="A1372" t="s">
        <v>6734</v>
      </c>
      <c r="B1372" t="s">
        <v>1</v>
      </c>
      <c r="C1372" t="s">
        <v>6735</v>
      </c>
      <c r="D1372" t="s">
        <v>6736</v>
      </c>
      <c r="E1372" t="s">
        <v>6737</v>
      </c>
      <c r="F1372" t="s">
        <v>5</v>
      </c>
      <c r="G1372" t="s">
        <v>6</v>
      </c>
      <c r="L1372" t="s">
        <v>7</v>
      </c>
      <c r="M1372">
        <v>2000</v>
      </c>
      <c r="N1372" s="1">
        <v>44599</v>
      </c>
      <c r="O1372" t="s">
        <v>6738</v>
      </c>
      <c r="P1372">
        <v>1</v>
      </c>
      <c r="S1372">
        <v>217.95</v>
      </c>
      <c r="T1372">
        <v>250</v>
      </c>
      <c r="U1372">
        <v>190</v>
      </c>
      <c r="V1372" t="s">
        <v>42</v>
      </c>
      <c r="W1372" t="s">
        <v>116</v>
      </c>
      <c r="X1372" t="s">
        <v>116</v>
      </c>
      <c r="Y1372" t="s">
        <v>117</v>
      </c>
      <c r="AF1372" t="s">
        <v>13</v>
      </c>
      <c r="AG1372" t="str">
        <f>HYPERLINK("https://doi.org/10.1515/9781474471596")</f>
        <v>https://doi.org/10.1515/9781474471596</v>
      </c>
      <c r="AH1372" t="str">
        <f>HYPERLINK("http://www.degruyter.com/isbn/9781474471596")</f>
        <v>http://www.degruyter.com/isbn/9781474471596</v>
      </c>
      <c r="AI1372" t="s">
        <v>68</v>
      </c>
      <c r="AJ1372" t="s">
        <v>35</v>
      </c>
      <c r="AL1372" t="s">
        <v>520</v>
      </c>
      <c r="AM1372">
        <v>1</v>
      </c>
      <c r="AN1372" s="2">
        <v>9780748613403</v>
      </c>
    </row>
    <row r="1373" spans="1:40" x14ac:dyDescent="0.3">
      <c r="A1373" t="s">
        <v>6739</v>
      </c>
      <c r="B1373" t="s">
        <v>1</v>
      </c>
      <c r="C1373" t="s">
        <v>6740</v>
      </c>
      <c r="E1373" t="s">
        <v>6741</v>
      </c>
      <c r="F1373" t="s">
        <v>5</v>
      </c>
      <c r="G1373" t="s">
        <v>6</v>
      </c>
      <c r="L1373" t="s">
        <v>7</v>
      </c>
      <c r="M1373">
        <v>2011</v>
      </c>
      <c r="N1373" s="1">
        <v>40722</v>
      </c>
      <c r="O1373" t="s">
        <v>6742</v>
      </c>
      <c r="P1373">
        <v>1</v>
      </c>
      <c r="S1373">
        <v>217.95</v>
      </c>
      <c r="T1373">
        <v>250</v>
      </c>
      <c r="U1373">
        <v>190</v>
      </c>
      <c r="V1373" t="s">
        <v>42</v>
      </c>
      <c r="W1373" t="s">
        <v>107</v>
      </c>
      <c r="X1373" t="s">
        <v>108</v>
      </c>
      <c r="Y1373" t="s">
        <v>221</v>
      </c>
      <c r="AF1373" t="s">
        <v>13</v>
      </c>
      <c r="AG1373" t="str">
        <f>HYPERLINK("https://doi.org/10.1515/9780748646975?locatt=mode:legacy")</f>
        <v>https://doi.org/10.1515/9780748646975?locatt=mode:legacy</v>
      </c>
      <c r="AH1373" t="str">
        <f>HYPERLINK("http://www.degruyter.com/isbn/9780748646975")</f>
        <v>http://www.degruyter.com/isbn/9780748646975</v>
      </c>
      <c r="AI1373" t="s">
        <v>68</v>
      </c>
      <c r="AL1373" t="s">
        <v>47</v>
      </c>
      <c r="AM1373">
        <v>1</v>
      </c>
      <c r="AN1373" s="2">
        <v>9780748638529</v>
      </c>
    </row>
    <row r="1374" spans="1:40" x14ac:dyDescent="0.3">
      <c r="A1374" t="s">
        <v>6743</v>
      </c>
      <c r="B1374" t="s">
        <v>1</v>
      </c>
      <c r="C1374" t="s">
        <v>6744</v>
      </c>
      <c r="D1374" t="s">
        <v>6745</v>
      </c>
      <c r="E1374" t="s">
        <v>6746</v>
      </c>
      <c r="F1374" t="s">
        <v>5</v>
      </c>
      <c r="G1374" t="s">
        <v>6</v>
      </c>
      <c r="L1374" t="s">
        <v>7</v>
      </c>
      <c r="M1374">
        <v>2007</v>
      </c>
      <c r="N1374" s="1">
        <v>39279</v>
      </c>
      <c r="O1374" t="s">
        <v>6747</v>
      </c>
      <c r="P1374">
        <v>1</v>
      </c>
      <c r="S1374">
        <v>261.95</v>
      </c>
      <c r="T1374">
        <v>300</v>
      </c>
      <c r="U1374">
        <v>230</v>
      </c>
      <c r="V1374" t="s">
        <v>58</v>
      </c>
      <c r="W1374" t="s">
        <v>59</v>
      </c>
      <c r="X1374" t="s">
        <v>60</v>
      </c>
      <c r="Y1374" t="s">
        <v>1029</v>
      </c>
      <c r="AF1374" t="s">
        <v>13</v>
      </c>
      <c r="AG1374" t="str">
        <f>HYPERLINK("https://doi.org/10.1515/9780748630820?locatt=mode:legacy")</f>
        <v>https://doi.org/10.1515/9780748630820?locatt=mode:legacy</v>
      </c>
      <c r="AH1374" t="str">
        <f>HYPERLINK("http://www.degruyter.com/isbn/9780748630820")</f>
        <v>http://www.degruyter.com/isbn/9780748630820</v>
      </c>
      <c r="AI1374" t="s">
        <v>68</v>
      </c>
      <c r="AL1374" t="s">
        <v>62</v>
      </c>
      <c r="AM1374">
        <v>1</v>
      </c>
      <c r="AN1374" s="2">
        <v>9780748625178</v>
      </c>
    </row>
    <row r="1375" spans="1:40" x14ac:dyDescent="0.3">
      <c r="A1375" t="s">
        <v>6748</v>
      </c>
      <c r="B1375" t="s">
        <v>1</v>
      </c>
      <c r="C1375" t="s">
        <v>6749</v>
      </c>
      <c r="E1375" t="s">
        <v>6750</v>
      </c>
      <c r="F1375" t="s">
        <v>5</v>
      </c>
      <c r="G1375" t="s">
        <v>6</v>
      </c>
      <c r="L1375" t="s">
        <v>7</v>
      </c>
      <c r="M1375">
        <v>2012</v>
      </c>
      <c r="N1375" s="1">
        <v>41113</v>
      </c>
      <c r="O1375" t="s">
        <v>6751</v>
      </c>
      <c r="P1375">
        <v>1</v>
      </c>
      <c r="S1375">
        <v>217.95</v>
      </c>
      <c r="T1375">
        <v>250</v>
      </c>
      <c r="U1375">
        <v>190</v>
      </c>
      <c r="V1375" t="s">
        <v>20</v>
      </c>
      <c r="W1375" t="s">
        <v>21</v>
      </c>
      <c r="X1375" t="s">
        <v>22</v>
      </c>
      <c r="Y1375" t="s">
        <v>23</v>
      </c>
      <c r="AF1375" t="s">
        <v>13</v>
      </c>
      <c r="AG1375" t="str">
        <f>HYPERLINK("https://doi.org/10.1515/9780748668045")</f>
        <v>https://doi.org/10.1515/9780748668045</v>
      </c>
      <c r="AH1375" t="str">
        <f>HYPERLINK("http://www.degruyter.com/isbn/9780748668045")</f>
        <v>http://www.degruyter.com/isbn/9780748668045</v>
      </c>
      <c r="AI1375" t="s">
        <v>68</v>
      </c>
      <c r="AL1375" t="s">
        <v>15</v>
      </c>
      <c r="AM1375">
        <v>1</v>
      </c>
      <c r="AN1375" s="2">
        <v>9780748638284</v>
      </c>
    </row>
    <row r="1376" spans="1:40" x14ac:dyDescent="0.3">
      <c r="A1376" t="s">
        <v>6752</v>
      </c>
      <c r="B1376" t="s">
        <v>1</v>
      </c>
      <c r="C1376" t="s">
        <v>6753</v>
      </c>
      <c r="D1376" t="s">
        <v>6754</v>
      </c>
      <c r="E1376" t="s">
        <v>6755</v>
      </c>
      <c r="F1376" t="s">
        <v>5</v>
      </c>
      <c r="G1376" t="s">
        <v>6</v>
      </c>
      <c r="L1376" t="s">
        <v>7</v>
      </c>
      <c r="M1376">
        <v>2017</v>
      </c>
      <c r="N1376" s="1">
        <v>42860</v>
      </c>
      <c r="O1376" t="s">
        <v>6756</v>
      </c>
      <c r="P1376">
        <v>1</v>
      </c>
      <c r="S1376">
        <v>217.95</v>
      </c>
      <c r="T1376">
        <v>250</v>
      </c>
      <c r="U1376">
        <v>190</v>
      </c>
      <c r="V1376" t="s">
        <v>42</v>
      </c>
      <c r="W1376" t="s">
        <v>43</v>
      </c>
      <c r="X1376" t="s">
        <v>44</v>
      </c>
      <c r="Y1376" t="s">
        <v>45</v>
      </c>
      <c r="AF1376" t="s">
        <v>13</v>
      </c>
      <c r="AG1376" t="str">
        <f>HYPERLINK("https://doi.org/10.1515/9781474415231?locatt=mode:legacy")</f>
        <v>https://doi.org/10.1515/9781474415231?locatt=mode:legacy</v>
      </c>
      <c r="AH1376" t="str">
        <f>HYPERLINK("http://www.degruyter.com/isbn/9781474415231")</f>
        <v>http://www.degruyter.com/isbn/9781474415231</v>
      </c>
      <c r="AI1376" t="s">
        <v>222</v>
      </c>
      <c r="AL1376" t="s">
        <v>47</v>
      </c>
      <c r="AM1376">
        <v>1</v>
      </c>
      <c r="AN1376" s="2">
        <v>9781474415224</v>
      </c>
    </row>
    <row r="1377" spans="1:40" x14ac:dyDescent="0.3">
      <c r="A1377" t="s">
        <v>6757</v>
      </c>
      <c r="B1377" t="s">
        <v>1</v>
      </c>
      <c r="C1377" t="s">
        <v>6758</v>
      </c>
      <c r="E1377" t="s">
        <v>6759</v>
      </c>
      <c r="F1377" t="s">
        <v>5</v>
      </c>
      <c r="G1377" t="s">
        <v>6</v>
      </c>
      <c r="L1377" t="s">
        <v>7</v>
      </c>
      <c r="M1377">
        <v>2017</v>
      </c>
      <c r="N1377" s="1">
        <v>42853</v>
      </c>
      <c r="O1377" t="s">
        <v>6760</v>
      </c>
      <c r="P1377">
        <v>1</v>
      </c>
      <c r="Q1377" t="s">
        <v>5715</v>
      </c>
      <c r="S1377">
        <v>217.95</v>
      </c>
      <c r="T1377">
        <v>250</v>
      </c>
      <c r="U1377">
        <v>190</v>
      </c>
      <c r="V1377" t="s">
        <v>98</v>
      </c>
      <c r="W1377" t="s">
        <v>99</v>
      </c>
      <c r="X1377" t="s">
        <v>100</v>
      </c>
      <c r="Y1377" t="s">
        <v>4678</v>
      </c>
      <c r="AF1377" t="s">
        <v>13</v>
      </c>
      <c r="AG1377" t="str">
        <f>HYPERLINK("https://doi.org/10.1515/9781474401470")</f>
        <v>https://doi.org/10.1515/9781474401470</v>
      </c>
      <c r="AH1377" t="str">
        <f>HYPERLINK("http://www.degruyter.com/isbn/9781474401470")</f>
        <v>http://www.degruyter.com/isbn/9781474401470</v>
      </c>
      <c r="AI1377" t="s">
        <v>222</v>
      </c>
      <c r="AL1377" t="s">
        <v>102</v>
      </c>
      <c r="AM1377">
        <v>1</v>
      </c>
      <c r="AN1377" s="2">
        <v>9781474401463</v>
      </c>
    </row>
    <row r="1378" spans="1:40" x14ac:dyDescent="0.3">
      <c r="A1378" t="s">
        <v>6761</v>
      </c>
      <c r="B1378" t="s">
        <v>1</v>
      </c>
      <c r="C1378" t="s">
        <v>6762</v>
      </c>
      <c r="E1378" t="s">
        <v>6763</v>
      </c>
      <c r="F1378" t="s">
        <v>5</v>
      </c>
      <c r="G1378" t="s">
        <v>6</v>
      </c>
      <c r="L1378" t="s">
        <v>7</v>
      </c>
      <c r="M1378">
        <v>2016</v>
      </c>
      <c r="N1378" s="1">
        <v>42451</v>
      </c>
      <c r="O1378" t="s">
        <v>6764</v>
      </c>
      <c r="P1378">
        <v>1</v>
      </c>
      <c r="S1378">
        <v>217.95</v>
      </c>
      <c r="T1378">
        <v>250</v>
      </c>
      <c r="U1378">
        <v>190</v>
      </c>
      <c r="V1378" t="s">
        <v>20</v>
      </c>
      <c r="W1378" t="s">
        <v>21</v>
      </c>
      <c r="X1378" t="s">
        <v>575</v>
      </c>
      <c r="Y1378" t="s">
        <v>576</v>
      </c>
      <c r="AF1378" t="s">
        <v>13</v>
      </c>
      <c r="AG1378" t="str">
        <f>HYPERLINK("https://doi.org/10.1515/9780748685745?locatt=mode:legacy")</f>
        <v>https://doi.org/10.1515/9780748685745?locatt=mode:legacy</v>
      </c>
      <c r="AH1378" t="str">
        <f>HYPERLINK("http://www.degruyter.com/isbn/9780748685745")</f>
        <v>http://www.degruyter.com/isbn/9780748685745</v>
      </c>
      <c r="AI1378" t="s">
        <v>180</v>
      </c>
      <c r="AL1378" t="s">
        <v>15</v>
      </c>
      <c r="AM1378">
        <v>1</v>
      </c>
      <c r="AN1378" s="2">
        <v>9780748685721</v>
      </c>
    </row>
    <row r="1379" spans="1:40" x14ac:dyDescent="0.3">
      <c r="A1379" t="s">
        <v>6765</v>
      </c>
      <c r="B1379" t="s">
        <v>1</v>
      </c>
      <c r="C1379" t="s">
        <v>6766</v>
      </c>
      <c r="D1379" t="s">
        <v>6767</v>
      </c>
      <c r="E1379" t="s">
        <v>6768</v>
      </c>
      <c r="F1379" t="s">
        <v>5</v>
      </c>
      <c r="G1379" t="s">
        <v>6</v>
      </c>
      <c r="L1379" t="s">
        <v>7</v>
      </c>
      <c r="M1379">
        <v>2001</v>
      </c>
      <c r="N1379" s="1">
        <v>37149</v>
      </c>
      <c r="O1379" t="s">
        <v>6769</v>
      </c>
      <c r="P1379">
        <v>1</v>
      </c>
      <c r="S1379">
        <v>217.95</v>
      </c>
      <c r="T1379">
        <v>250</v>
      </c>
      <c r="U1379">
        <v>190</v>
      </c>
      <c r="V1379" t="s">
        <v>98</v>
      </c>
      <c r="W1379" t="s">
        <v>1513</v>
      </c>
      <c r="X1379" t="s">
        <v>1514</v>
      </c>
      <c r="Y1379" t="s">
        <v>1515</v>
      </c>
      <c r="AF1379" t="s">
        <v>13</v>
      </c>
      <c r="AG1379" t="str">
        <f>HYPERLINK("https://doi.org/10.1515/9780585442051")</f>
        <v>https://doi.org/10.1515/9780585442051</v>
      </c>
      <c r="AH1379" t="str">
        <f>HYPERLINK("http://www.degruyter.com/isbn/9780585442051")</f>
        <v>http://www.degruyter.com/isbn/9780585442051</v>
      </c>
      <c r="AI1379" t="s">
        <v>68</v>
      </c>
      <c r="AL1379" t="s">
        <v>102</v>
      </c>
      <c r="AM1379">
        <v>1</v>
      </c>
      <c r="AN1379" s="2">
        <v>9780748614776</v>
      </c>
    </row>
    <row r="1380" spans="1:40" x14ac:dyDescent="0.3">
      <c r="A1380" t="s">
        <v>6770</v>
      </c>
      <c r="B1380" t="s">
        <v>1</v>
      </c>
      <c r="C1380" t="s">
        <v>6771</v>
      </c>
      <c r="E1380" t="s">
        <v>6772</v>
      </c>
      <c r="F1380" t="s">
        <v>5</v>
      </c>
      <c r="G1380" t="s">
        <v>6</v>
      </c>
      <c r="L1380" t="s">
        <v>7</v>
      </c>
      <c r="M1380">
        <v>2018</v>
      </c>
      <c r="N1380" s="1">
        <v>44644</v>
      </c>
      <c r="O1380" t="s">
        <v>6773</v>
      </c>
      <c r="P1380">
        <v>1</v>
      </c>
      <c r="Q1380" t="s">
        <v>5764</v>
      </c>
      <c r="S1380">
        <v>217.95</v>
      </c>
      <c r="T1380">
        <v>250</v>
      </c>
      <c r="U1380">
        <v>190</v>
      </c>
      <c r="V1380" t="s">
        <v>20</v>
      </c>
      <c r="W1380" t="s">
        <v>556</v>
      </c>
      <c r="X1380" t="s">
        <v>1540</v>
      </c>
      <c r="Y1380" t="s">
        <v>2459</v>
      </c>
      <c r="AF1380" t="s">
        <v>13</v>
      </c>
      <c r="AG1380" t="str">
        <f>HYPERLINK("https://doi.org/10.1515/9781474412957")</f>
        <v>https://doi.org/10.1515/9781474412957</v>
      </c>
      <c r="AH1380" t="str">
        <f>HYPERLINK("http://www.degruyter.com/isbn/9781474412957")</f>
        <v>http://www.degruyter.com/isbn/9781474412957</v>
      </c>
      <c r="AI1380" t="s">
        <v>46</v>
      </c>
      <c r="AL1380" t="s">
        <v>15</v>
      </c>
      <c r="AM1380">
        <v>1</v>
      </c>
      <c r="AN1380" s="2">
        <v>9781474412940</v>
      </c>
    </row>
    <row r="1381" spans="1:40" x14ac:dyDescent="0.3">
      <c r="A1381" t="s">
        <v>6774</v>
      </c>
      <c r="B1381" t="s">
        <v>1</v>
      </c>
      <c r="C1381" t="s">
        <v>6775</v>
      </c>
      <c r="D1381" t="s">
        <v>6776</v>
      </c>
      <c r="E1381" t="s">
        <v>6777</v>
      </c>
      <c r="F1381" t="s">
        <v>5</v>
      </c>
      <c r="G1381" t="s">
        <v>6</v>
      </c>
      <c r="L1381" t="s">
        <v>7</v>
      </c>
      <c r="M1381">
        <v>2017</v>
      </c>
      <c r="N1381" s="1">
        <v>42815</v>
      </c>
      <c r="O1381" t="s">
        <v>6778</v>
      </c>
      <c r="P1381">
        <v>1</v>
      </c>
      <c r="Q1381" t="s">
        <v>6779</v>
      </c>
      <c r="S1381">
        <v>217.95</v>
      </c>
      <c r="T1381">
        <v>250</v>
      </c>
      <c r="U1381">
        <v>190</v>
      </c>
      <c r="V1381" t="s">
        <v>9</v>
      </c>
      <c r="W1381" t="s">
        <v>10</v>
      </c>
      <c r="X1381" t="s">
        <v>11</v>
      </c>
      <c r="Y1381" t="s">
        <v>52</v>
      </c>
      <c r="AF1381" t="s">
        <v>13</v>
      </c>
      <c r="AG1381" t="str">
        <f>HYPERLINK("https://doi.org/10.1515/9781474421812")</f>
        <v>https://doi.org/10.1515/9781474421812</v>
      </c>
      <c r="AH1381" t="str">
        <f>HYPERLINK("http://www.degruyter.com/isbn/9781474421812")</f>
        <v>http://www.degruyter.com/isbn/9781474421812</v>
      </c>
      <c r="AI1381" t="s">
        <v>222</v>
      </c>
      <c r="AL1381" t="s">
        <v>15</v>
      </c>
      <c r="AM1381">
        <v>1</v>
      </c>
      <c r="AN1381" s="2">
        <v>9781474421805</v>
      </c>
    </row>
    <row r="1382" spans="1:40" x14ac:dyDescent="0.3">
      <c r="A1382" t="s">
        <v>6780</v>
      </c>
      <c r="B1382" t="s">
        <v>1</v>
      </c>
      <c r="C1382" t="s">
        <v>6781</v>
      </c>
      <c r="D1382" t="s">
        <v>6782</v>
      </c>
      <c r="E1382" t="s">
        <v>6783</v>
      </c>
      <c r="F1382" t="s">
        <v>5</v>
      </c>
      <c r="G1382" t="s">
        <v>6</v>
      </c>
      <c r="L1382" t="s">
        <v>7</v>
      </c>
      <c r="M1382">
        <v>1999</v>
      </c>
      <c r="N1382" s="1">
        <v>44599</v>
      </c>
      <c r="O1382" t="s">
        <v>6784</v>
      </c>
      <c r="P1382">
        <v>1</v>
      </c>
      <c r="Q1382" t="s">
        <v>6785</v>
      </c>
      <c r="S1382">
        <v>217.95</v>
      </c>
      <c r="T1382">
        <v>250</v>
      </c>
      <c r="U1382">
        <v>190</v>
      </c>
      <c r="V1382" t="s">
        <v>9</v>
      </c>
      <c r="W1382" t="s">
        <v>10</v>
      </c>
      <c r="X1382" t="s">
        <v>11</v>
      </c>
      <c r="Y1382" t="s">
        <v>12</v>
      </c>
      <c r="AF1382" t="s">
        <v>13</v>
      </c>
      <c r="AG1382" t="str">
        <f>HYPERLINK("https://doi.org/10.1515/9781474472517")</f>
        <v>https://doi.org/10.1515/9781474472517</v>
      </c>
      <c r="AH1382" t="str">
        <f>HYPERLINK("http://www.degruyter.com/isbn/9781474472517")</f>
        <v>http://www.degruyter.com/isbn/9781474472517</v>
      </c>
      <c r="AI1382" t="s">
        <v>24</v>
      </c>
      <c r="AL1382" t="s">
        <v>15</v>
      </c>
      <c r="AM1382">
        <v>1</v>
      </c>
      <c r="AN1382" s="2">
        <v>9780748612895</v>
      </c>
    </row>
    <row r="1383" spans="1:40" x14ac:dyDescent="0.3">
      <c r="A1383" t="s">
        <v>6786</v>
      </c>
      <c r="B1383" t="s">
        <v>1</v>
      </c>
      <c r="C1383" t="s">
        <v>6787</v>
      </c>
      <c r="E1383" t="s">
        <v>6788</v>
      </c>
      <c r="F1383" t="s">
        <v>5</v>
      </c>
      <c r="G1383" t="s">
        <v>6</v>
      </c>
      <c r="L1383" t="s">
        <v>7</v>
      </c>
      <c r="M1383">
        <v>2015</v>
      </c>
      <c r="N1383" s="1">
        <v>42178</v>
      </c>
      <c r="O1383" t="s">
        <v>6789</v>
      </c>
      <c r="P1383">
        <v>1</v>
      </c>
      <c r="Q1383" t="s">
        <v>6665</v>
      </c>
      <c r="S1383">
        <v>217.95</v>
      </c>
      <c r="T1383">
        <v>250</v>
      </c>
      <c r="U1383">
        <v>190</v>
      </c>
      <c r="V1383" t="s">
        <v>42</v>
      </c>
      <c r="W1383" t="s">
        <v>43</v>
      </c>
      <c r="X1383" t="s">
        <v>44</v>
      </c>
      <c r="Y1383" t="s">
        <v>45</v>
      </c>
      <c r="AF1383" t="s">
        <v>13</v>
      </c>
      <c r="AG1383" t="str">
        <f>HYPERLINK("https://doi.org/10.1515/9780748683741")</f>
        <v>https://doi.org/10.1515/9780748683741</v>
      </c>
      <c r="AH1383" t="str">
        <f>HYPERLINK("http://www.degruyter.com/isbn/9780748683741")</f>
        <v>http://www.degruyter.com/isbn/9780748683741</v>
      </c>
      <c r="AI1383" t="s">
        <v>34</v>
      </c>
      <c r="AL1383" t="s">
        <v>47</v>
      </c>
      <c r="AM1383">
        <v>1</v>
      </c>
      <c r="AN1383" s="2">
        <v>9780748683734</v>
      </c>
    </row>
    <row r="1384" spans="1:40" x14ac:dyDescent="0.3">
      <c r="A1384" t="s">
        <v>6790</v>
      </c>
      <c r="B1384" t="s">
        <v>1</v>
      </c>
      <c r="C1384" t="s">
        <v>377</v>
      </c>
      <c r="D1384" t="s">
        <v>6791</v>
      </c>
      <c r="E1384" t="s">
        <v>379</v>
      </c>
      <c r="F1384" t="s">
        <v>5</v>
      </c>
      <c r="G1384" t="s">
        <v>6</v>
      </c>
      <c r="L1384" t="s">
        <v>7</v>
      </c>
      <c r="M1384">
        <v>1995</v>
      </c>
      <c r="N1384" s="1">
        <v>44719</v>
      </c>
      <c r="O1384" t="s">
        <v>6792</v>
      </c>
      <c r="P1384">
        <v>1</v>
      </c>
      <c r="S1384">
        <v>243.95</v>
      </c>
      <c r="T1384">
        <v>280</v>
      </c>
      <c r="U1384">
        <v>210</v>
      </c>
      <c r="V1384" t="s">
        <v>42</v>
      </c>
      <c r="W1384" t="s">
        <v>107</v>
      </c>
      <c r="X1384" t="s">
        <v>108</v>
      </c>
      <c r="Y1384" t="s">
        <v>109</v>
      </c>
      <c r="AF1384" t="s">
        <v>13</v>
      </c>
      <c r="AG1384" t="str">
        <f>HYPERLINK("https://www.degruyter.com/isbn/9781474469609")</f>
        <v>https://www.degruyter.com/isbn/9781474469609</v>
      </c>
      <c r="AH1384" t="str">
        <f>HYPERLINK("http://www.degruyter.com/isbn/9781474469609")</f>
        <v>http://www.degruyter.com/isbn/9781474469609</v>
      </c>
      <c r="AI1384" t="s">
        <v>24</v>
      </c>
      <c r="AL1384" t="s">
        <v>47</v>
      </c>
      <c r="AM1384">
        <v>1</v>
      </c>
      <c r="AN1384" s="2">
        <v>9781853310560</v>
      </c>
    </row>
    <row r="1385" spans="1:40" x14ac:dyDescent="0.3">
      <c r="A1385" t="s">
        <v>6793</v>
      </c>
      <c r="B1385" t="s">
        <v>1</v>
      </c>
      <c r="C1385" t="s">
        <v>6794</v>
      </c>
      <c r="E1385" t="s">
        <v>6795</v>
      </c>
      <c r="F1385" t="s">
        <v>5</v>
      </c>
      <c r="G1385" t="s">
        <v>6</v>
      </c>
      <c r="L1385" t="s">
        <v>7</v>
      </c>
      <c r="M1385">
        <v>2002</v>
      </c>
      <c r="N1385" s="1">
        <v>37578</v>
      </c>
      <c r="O1385" t="s">
        <v>6796</v>
      </c>
      <c r="P1385">
        <v>1</v>
      </c>
      <c r="Q1385" t="s">
        <v>6797</v>
      </c>
      <c r="S1385">
        <v>487.95</v>
      </c>
      <c r="T1385">
        <v>560</v>
      </c>
      <c r="U1385">
        <v>430</v>
      </c>
      <c r="V1385" t="s">
        <v>79</v>
      </c>
      <c r="W1385" t="s">
        <v>209</v>
      </c>
      <c r="X1385" t="s">
        <v>209</v>
      </c>
      <c r="Y1385" t="s">
        <v>510</v>
      </c>
      <c r="AF1385" t="s">
        <v>13</v>
      </c>
      <c r="AG1385" t="str">
        <f>HYPERLINK("https://doi.org/10.1515/9780748692408")</f>
        <v>https://doi.org/10.1515/9780748692408</v>
      </c>
      <c r="AH1385" t="str">
        <f>HYPERLINK("http://www.degruyter.com/isbn/9780748692408")</f>
        <v>http://www.degruyter.com/isbn/9780748692408</v>
      </c>
      <c r="AI1385" t="s">
        <v>68</v>
      </c>
      <c r="AL1385" t="s">
        <v>83</v>
      </c>
      <c r="AM1385">
        <v>1</v>
      </c>
      <c r="AN1385" s="2">
        <v>9780748611638</v>
      </c>
    </row>
    <row r="1386" spans="1:40" x14ac:dyDescent="0.3">
      <c r="A1386" t="s">
        <v>6798</v>
      </c>
      <c r="B1386" t="s">
        <v>1</v>
      </c>
      <c r="C1386" t="s">
        <v>6799</v>
      </c>
      <c r="E1386" t="s">
        <v>6800</v>
      </c>
      <c r="F1386" t="s">
        <v>5</v>
      </c>
      <c r="G1386" t="s">
        <v>6</v>
      </c>
      <c r="L1386" t="s">
        <v>7</v>
      </c>
      <c r="M1386">
        <v>2018</v>
      </c>
      <c r="N1386" s="1">
        <v>44656</v>
      </c>
      <c r="O1386" t="s">
        <v>6801</v>
      </c>
      <c r="P1386">
        <v>1</v>
      </c>
      <c r="Q1386" t="s">
        <v>6539</v>
      </c>
      <c r="S1386">
        <v>217.95</v>
      </c>
      <c r="T1386">
        <v>250</v>
      </c>
      <c r="U1386">
        <v>190</v>
      </c>
      <c r="V1386" t="s">
        <v>42</v>
      </c>
      <c r="W1386" t="s">
        <v>116</v>
      </c>
      <c r="X1386" t="s">
        <v>116</v>
      </c>
      <c r="Y1386" t="s">
        <v>117</v>
      </c>
      <c r="AF1386" t="s">
        <v>13</v>
      </c>
      <c r="AG1386" t="str">
        <f>HYPERLINK("https://doi.org/10.1515/9781474428620")</f>
        <v>https://doi.org/10.1515/9781474428620</v>
      </c>
      <c r="AH1386" t="str">
        <f>HYPERLINK("http://www.degruyter.com/isbn/9781474428620")</f>
        <v>http://www.degruyter.com/isbn/9781474428620</v>
      </c>
      <c r="AI1386" t="s">
        <v>46</v>
      </c>
      <c r="AL1386" t="s">
        <v>47</v>
      </c>
      <c r="AM1386">
        <v>1</v>
      </c>
      <c r="AN1386" s="2">
        <v>9781474428606</v>
      </c>
    </row>
    <row r="1387" spans="1:40" x14ac:dyDescent="0.3">
      <c r="A1387" t="s">
        <v>6802</v>
      </c>
      <c r="B1387" t="s">
        <v>1</v>
      </c>
      <c r="C1387" t="s">
        <v>6803</v>
      </c>
      <c r="E1387" t="s">
        <v>6804</v>
      </c>
      <c r="F1387" t="s">
        <v>5</v>
      </c>
      <c r="G1387" t="s">
        <v>6</v>
      </c>
      <c r="L1387" t="s">
        <v>7</v>
      </c>
      <c r="M1387">
        <v>2007</v>
      </c>
      <c r="N1387" s="1">
        <v>39275</v>
      </c>
      <c r="O1387" t="s">
        <v>6805</v>
      </c>
      <c r="P1387">
        <v>1</v>
      </c>
      <c r="S1387">
        <v>217.95</v>
      </c>
      <c r="T1387">
        <v>250</v>
      </c>
      <c r="U1387">
        <v>190</v>
      </c>
      <c r="V1387" t="s">
        <v>20</v>
      </c>
      <c r="W1387" t="s">
        <v>21</v>
      </c>
      <c r="X1387" t="s">
        <v>22</v>
      </c>
      <c r="Y1387" t="s">
        <v>23</v>
      </c>
      <c r="AF1387" t="s">
        <v>13</v>
      </c>
      <c r="AG1387" t="str">
        <f>HYPERLINK("https://doi.org/10.1515/9780748630783?locatt=mode:legacy")</f>
        <v>https://doi.org/10.1515/9780748630783?locatt=mode:legacy</v>
      </c>
      <c r="AH1387" t="str">
        <f>HYPERLINK("http://www.degruyter.com/isbn/9780748630783")</f>
        <v>http://www.degruyter.com/isbn/9780748630783</v>
      </c>
      <c r="AI1387" t="s">
        <v>68</v>
      </c>
      <c r="AL1387" t="s">
        <v>15</v>
      </c>
      <c r="AM1387">
        <v>1</v>
      </c>
      <c r="AN1387" s="2">
        <v>9780748625055</v>
      </c>
    </row>
    <row r="1388" spans="1:40" x14ac:dyDescent="0.3">
      <c r="A1388" t="s">
        <v>6806</v>
      </c>
      <c r="B1388" t="s">
        <v>1</v>
      </c>
      <c r="C1388" t="s">
        <v>6807</v>
      </c>
      <c r="E1388" t="s">
        <v>6808</v>
      </c>
      <c r="F1388" t="s">
        <v>5</v>
      </c>
      <c r="G1388" t="s">
        <v>6</v>
      </c>
      <c r="L1388" t="s">
        <v>7</v>
      </c>
      <c r="M1388">
        <v>2016</v>
      </c>
      <c r="N1388" s="1">
        <v>42625</v>
      </c>
      <c r="O1388" t="s">
        <v>6809</v>
      </c>
      <c r="P1388">
        <v>1</v>
      </c>
      <c r="S1388">
        <v>91.95</v>
      </c>
      <c r="T1388">
        <v>101.99</v>
      </c>
      <c r="U1388">
        <v>84</v>
      </c>
      <c r="V1388" t="s">
        <v>42</v>
      </c>
      <c r="W1388" t="s">
        <v>161</v>
      </c>
      <c r="X1388" t="s">
        <v>162</v>
      </c>
      <c r="Y1388" t="s">
        <v>6810</v>
      </c>
      <c r="AF1388" t="s">
        <v>13</v>
      </c>
      <c r="AG1388" t="str">
        <f>HYPERLINK("https://doi.org/10.1515/9781399504096")</f>
        <v>https://doi.org/10.1515/9781399504096</v>
      </c>
      <c r="AH1388" t="str">
        <f>HYPERLINK("http://www.degruyter.com/isbn/9781399504096")</f>
        <v>http://www.degruyter.com/isbn/9781399504096</v>
      </c>
      <c r="AI1388" t="s">
        <v>180</v>
      </c>
      <c r="AL1388" t="s">
        <v>47</v>
      </c>
      <c r="AM1388">
        <v>1</v>
      </c>
      <c r="AN1388" s="2">
        <v>9781474417273</v>
      </c>
    </row>
    <row r="1389" spans="1:40" x14ac:dyDescent="0.3">
      <c r="A1389" t="s">
        <v>6811</v>
      </c>
      <c r="B1389" t="s">
        <v>1</v>
      </c>
      <c r="C1389" t="s">
        <v>6812</v>
      </c>
      <c r="E1389" t="s">
        <v>6813</v>
      </c>
      <c r="F1389" t="s">
        <v>5</v>
      </c>
      <c r="G1389" t="s">
        <v>6</v>
      </c>
      <c r="L1389" t="s">
        <v>7</v>
      </c>
      <c r="M1389">
        <v>2012</v>
      </c>
      <c r="N1389" s="1">
        <v>41239</v>
      </c>
      <c r="O1389" t="s">
        <v>6814</v>
      </c>
      <c r="P1389">
        <v>1</v>
      </c>
      <c r="Q1389" t="s">
        <v>6815</v>
      </c>
      <c r="S1389">
        <v>217.95</v>
      </c>
      <c r="T1389">
        <v>250</v>
      </c>
      <c r="U1389">
        <v>190</v>
      </c>
      <c r="V1389" t="s">
        <v>20</v>
      </c>
      <c r="W1389" t="s">
        <v>21</v>
      </c>
      <c r="X1389" t="s">
        <v>3445</v>
      </c>
      <c r="Y1389" t="s">
        <v>3932</v>
      </c>
      <c r="AF1389" t="s">
        <v>13</v>
      </c>
      <c r="AG1389" t="str">
        <f>HYPERLINK("https://doi.org/10.1515/9780748644629")</f>
        <v>https://doi.org/10.1515/9780748644629</v>
      </c>
      <c r="AH1389" t="str">
        <f>HYPERLINK("http://www.degruyter.com/isbn/9780748644629")</f>
        <v>http://www.degruyter.com/isbn/9780748644629</v>
      </c>
      <c r="AI1389" t="s">
        <v>3007</v>
      </c>
      <c r="AL1389" t="s">
        <v>15</v>
      </c>
      <c r="AM1389">
        <v>1</v>
      </c>
      <c r="AN1389" s="2">
        <v>9780748644612</v>
      </c>
    </row>
    <row r="1390" spans="1:40" x14ac:dyDescent="0.3">
      <c r="A1390" t="s">
        <v>6816</v>
      </c>
      <c r="B1390" t="s">
        <v>1</v>
      </c>
      <c r="C1390" t="s">
        <v>6817</v>
      </c>
      <c r="E1390" t="s">
        <v>6818</v>
      </c>
      <c r="F1390" t="s">
        <v>5</v>
      </c>
      <c r="G1390" t="s">
        <v>6</v>
      </c>
      <c r="L1390" t="s">
        <v>7</v>
      </c>
      <c r="M1390">
        <v>2004</v>
      </c>
      <c r="N1390" s="1">
        <v>44719</v>
      </c>
      <c r="O1390" t="s">
        <v>6819</v>
      </c>
      <c r="P1390">
        <v>1</v>
      </c>
      <c r="Q1390" t="s">
        <v>6820</v>
      </c>
      <c r="S1390">
        <v>217.95</v>
      </c>
      <c r="T1390">
        <v>250</v>
      </c>
      <c r="U1390">
        <v>190</v>
      </c>
      <c r="V1390" t="s">
        <v>6821</v>
      </c>
      <c r="W1390" t="s">
        <v>6822</v>
      </c>
      <c r="X1390" t="s">
        <v>6822</v>
      </c>
      <c r="Y1390" t="s">
        <v>6823</v>
      </c>
      <c r="AF1390" t="s">
        <v>13</v>
      </c>
      <c r="AG1390" t="str">
        <f>HYPERLINK("https://doi.org/10.1515/9781474472678")</f>
        <v>https://doi.org/10.1515/9781474472678</v>
      </c>
      <c r="AH1390" t="str">
        <f>HYPERLINK("http://www.degruyter.com/isbn/9781474472678")</f>
        <v>http://www.degruyter.com/isbn/9781474472678</v>
      </c>
      <c r="AI1390" t="s">
        <v>68</v>
      </c>
      <c r="AL1390" t="s">
        <v>6824</v>
      </c>
      <c r="AM1390">
        <v>1</v>
      </c>
      <c r="AN1390" s="2">
        <v>9780748619566</v>
      </c>
    </row>
    <row r="1391" spans="1:40" x14ac:dyDescent="0.3">
      <c r="A1391" t="s">
        <v>6825</v>
      </c>
      <c r="B1391" t="s">
        <v>1</v>
      </c>
      <c r="C1391" t="s">
        <v>6826</v>
      </c>
      <c r="E1391" t="s">
        <v>6827</v>
      </c>
      <c r="F1391" t="s">
        <v>5</v>
      </c>
      <c r="G1391" t="s">
        <v>6</v>
      </c>
      <c r="L1391" t="s">
        <v>7</v>
      </c>
      <c r="M1391">
        <v>2020</v>
      </c>
      <c r="N1391" s="1">
        <v>44644</v>
      </c>
      <c r="O1391" t="s">
        <v>6828</v>
      </c>
      <c r="P1391">
        <v>1</v>
      </c>
      <c r="Q1391" t="s">
        <v>6829</v>
      </c>
      <c r="S1391">
        <v>217.95</v>
      </c>
      <c r="T1391">
        <v>250</v>
      </c>
      <c r="U1391">
        <v>190</v>
      </c>
      <c r="V1391" t="s">
        <v>42</v>
      </c>
      <c r="W1391" t="s">
        <v>43</v>
      </c>
      <c r="X1391" t="s">
        <v>44</v>
      </c>
      <c r="Y1391" t="s">
        <v>45</v>
      </c>
      <c r="AF1391" t="s">
        <v>13</v>
      </c>
      <c r="AG1391" t="str">
        <f>HYPERLINK("https://doi.org/10.1515/9781474451383")</f>
        <v>https://doi.org/10.1515/9781474451383</v>
      </c>
      <c r="AH1391" t="str">
        <f>HYPERLINK("http://www.degruyter.com/isbn/9781474451383")</f>
        <v>http://www.degruyter.com/isbn/9781474451383</v>
      </c>
      <c r="AI1391" t="s">
        <v>14</v>
      </c>
      <c r="AL1391" t="s">
        <v>47</v>
      </c>
      <c r="AM1391">
        <v>1</v>
      </c>
      <c r="AN1391" s="2">
        <v>9781474451369</v>
      </c>
    </row>
    <row r="1392" spans="1:40" x14ac:dyDescent="0.3">
      <c r="A1392" t="s">
        <v>6830</v>
      </c>
      <c r="B1392" t="s">
        <v>1</v>
      </c>
      <c r="C1392" t="s">
        <v>6831</v>
      </c>
      <c r="D1392" t="s">
        <v>6832</v>
      </c>
      <c r="E1392" t="s">
        <v>6833</v>
      </c>
      <c r="F1392" t="s">
        <v>5</v>
      </c>
      <c r="G1392" t="s">
        <v>6</v>
      </c>
      <c r="K1392" t="s">
        <v>929</v>
      </c>
      <c r="L1392" t="s">
        <v>7</v>
      </c>
      <c r="M1392">
        <v>2016</v>
      </c>
      <c r="N1392" s="1">
        <v>42535</v>
      </c>
      <c r="O1392" t="s">
        <v>6834</v>
      </c>
      <c r="P1392">
        <v>1</v>
      </c>
      <c r="V1392" t="s">
        <v>9</v>
      </c>
      <c r="W1392" t="s">
        <v>10</v>
      </c>
      <c r="X1392" t="s">
        <v>11</v>
      </c>
      <c r="Y1392" t="s">
        <v>12</v>
      </c>
      <c r="AF1392" t="s">
        <v>13</v>
      </c>
      <c r="AG1392" t="str">
        <f>HYPERLINK("https://doi.org/10.1515/9781474402910?locatt=mode:legacy")</f>
        <v>https://doi.org/10.1515/9781474402910?locatt=mode:legacy</v>
      </c>
      <c r="AH1392" t="str">
        <f>HYPERLINK("http://www.degruyter.com/isbn/9781474402910")</f>
        <v>http://www.degruyter.com/isbn/9781474402910</v>
      </c>
      <c r="AI1392" t="s">
        <v>180</v>
      </c>
      <c r="AM1392">
        <v>1</v>
      </c>
      <c r="AN1392" s="2"/>
    </row>
    <row r="1393" spans="1:40" x14ac:dyDescent="0.3">
      <c r="A1393" t="s">
        <v>6835</v>
      </c>
      <c r="B1393" t="s">
        <v>1</v>
      </c>
      <c r="C1393" t="s">
        <v>6836</v>
      </c>
      <c r="E1393" t="s">
        <v>6837</v>
      </c>
      <c r="F1393" t="s">
        <v>5</v>
      </c>
      <c r="G1393" t="s">
        <v>6</v>
      </c>
      <c r="L1393" t="s">
        <v>7</v>
      </c>
      <c r="M1393">
        <v>2016</v>
      </c>
      <c r="N1393" s="1">
        <v>42662</v>
      </c>
      <c r="O1393" t="s">
        <v>6838</v>
      </c>
      <c r="P1393">
        <v>1</v>
      </c>
      <c r="S1393">
        <v>217.95</v>
      </c>
      <c r="T1393">
        <v>250</v>
      </c>
      <c r="U1393">
        <v>190</v>
      </c>
      <c r="V1393" t="s">
        <v>42</v>
      </c>
      <c r="W1393" t="s">
        <v>116</v>
      </c>
      <c r="X1393" t="s">
        <v>116</v>
      </c>
      <c r="Y1393" t="s">
        <v>117</v>
      </c>
      <c r="AF1393" t="s">
        <v>13</v>
      </c>
      <c r="AG1393" t="str">
        <f>HYPERLINK("https://doi.org/10.1515/9781474414449")</f>
        <v>https://doi.org/10.1515/9781474414449</v>
      </c>
      <c r="AH1393" t="str">
        <f>HYPERLINK("http://www.degruyter.com/isbn/9781474414449")</f>
        <v>http://www.degruyter.com/isbn/9781474414449</v>
      </c>
      <c r="AI1393" t="s">
        <v>180</v>
      </c>
      <c r="AL1393" t="s">
        <v>47</v>
      </c>
      <c r="AM1393">
        <v>1</v>
      </c>
      <c r="AN1393" s="2">
        <v>9781474414432</v>
      </c>
    </row>
    <row r="1394" spans="1:40" x14ac:dyDescent="0.3">
      <c r="A1394" t="s">
        <v>6839</v>
      </c>
      <c r="B1394" t="s">
        <v>1</v>
      </c>
      <c r="C1394" t="s">
        <v>6840</v>
      </c>
      <c r="D1394" t="s">
        <v>6841</v>
      </c>
      <c r="E1394" t="s">
        <v>6842</v>
      </c>
      <c r="F1394" t="s">
        <v>5</v>
      </c>
      <c r="G1394" t="s">
        <v>6</v>
      </c>
      <c r="L1394" t="s">
        <v>7</v>
      </c>
      <c r="M1394">
        <v>2020</v>
      </c>
      <c r="N1394" s="1">
        <v>44644</v>
      </c>
      <c r="O1394" t="s">
        <v>6843</v>
      </c>
      <c r="P1394">
        <v>1</v>
      </c>
      <c r="Q1394" t="s">
        <v>6840</v>
      </c>
      <c r="S1394">
        <v>253.95</v>
      </c>
      <c r="T1394">
        <v>290</v>
      </c>
      <c r="U1394">
        <v>220</v>
      </c>
      <c r="V1394" t="s">
        <v>98</v>
      </c>
      <c r="W1394" t="s">
        <v>1513</v>
      </c>
      <c r="X1394" t="s">
        <v>1514</v>
      </c>
      <c r="Y1394" t="s">
        <v>1515</v>
      </c>
      <c r="AF1394" t="s">
        <v>13</v>
      </c>
      <c r="AG1394" t="str">
        <f>HYPERLINK("https://doi.org/10.1515/9781474461894")</f>
        <v>https://doi.org/10.1515/9781474461894</v>
      </c>
      <c r="AH1394" t="str">
        <f>HYPERLINK("http://www.degruyter.com/isbn/9781474461894")</f>
        <v>http://www.degruyter.com/isbn/9781474461894</v>
      </c>
      <c r="AI1394" t="s">
        <v>14</v>
      </c>
      <c r="AL1394" t="s">
        <v>102</v>
      </c>
      <c r="AM1394">
        <v>1</v>
      </c>
      <c r="AN1394" s="2">
        <v>9781474461887</v>
      </c>
    </row>
    <row r="1395" spans="1:40" x14ac:dyDescent="0.3">
      <c r="A1395" t="s">
        <v>6844</v>
      </c>
      <c r="B1395" t="s">
        <v>1</v>
      </c>
      <c r="C1395" t="s">
        <v>6845</v>
      </c>
      <c r="D1395" t="s">
        <v>6846</v>
      </c>
      <c r="E1395" t="s">
        <v>6847</v>
      </c>
      <c r="F1395" t="s">
        <v>5</v>
      </c>
      <c r="G1395" t="s">
        <v>6</v>
      </c>
      <c r="L1395" t="s">
        <v>7</v>
      </c>
      <c r="M1395">
        <v>2020</v>
      </c>
      <c r="N1395" s="1">
        <v>44656</v>
      </c>
      <c r="O1395" t="s">
        <v>6848</v>
      </c>
      <c r="P1395">
        <v>1</v>
      </c>
      <c r="Q1395" t="s">
        <v>6539</v>
      </c>
      <c r="S1395">
        <v>227.95</v>
      </c>
      <c r="T1395">
        <v>260</v>
      </c>
      <c r="U1395">
        <v>200</v>
      </c>
      <c r="V1395" t="s">
        <v>42</v>
      </c>
      <c r="W1395" t="s">
        <v>107</v>
      </c>
      <c r="X1395" t="s">
        <v>108</v>
      </c>
      <c r="Y1395" t="s">
        <v>109</v>
      </c>
      <c r="AF1395" t="s">
        <v>13</v>
      </c>
      <c r="AG1395" t="str">
        <f>HYPERLINK("https://doi.org/10.1515/9781474464383?locatt=mode:legacy")</f>
        <v>https://doi.org/10.1515/9781474464383?locatt=mode:legacy</v>
      </c>
      <c r="AH1395" t="str">
        <f>HYPERLINK("http://www.degruyter.com/isbn/9781474464383")</f>
        <v>http://www.degruyter.com/isbn/9781474464383</v>
      </c>
      <c r="AI1395" t="s">
        <v>14</v>
      </c>
      <c r="AL1395" t="s">
        <v>47</v>
      </c>
      <c r="AM1395">
        <v>1</v>
      </c>
      <c r="AN1395" s="2">
        <v>9781474464369</v>
      </c>
    </row>
    <row r="1396" spans="1:40" x14ac:dyDescent="0.3">
      <c r="A1396" t="s">
        <v>6849</v>
      </c>
      <c r="B1396" t="s">
        <v>1</v>
      </c>
      <c r="C1396" t="s">
        <v>6850</v>
      </c>
      <c r="E1396" t="s">
        <v>6851</v>
      </c>
      <c r="F1396" t="s">
        <v>5</v>
      </c>
      <c r="G1396" t="s">
        <v>6</v>
      </c>
      <c r="L1396" t="s">
        <v>7</v>
      </c>
      <c r="M1396">
        <v>2012</v>
      </c>
      <c r="N1396" s="1">
        <v>41089</v>
      </c>
      <c r="O1396" t="s">
        <v>6852</v>
      </c>
      <c r="P1396">
        <v>1</v>
      </c>
      <c r="Q1396" t="s">
        <v>6665</v>
      </c>
      <c r="S1396">
        <v>217.95</v>
      </c>
      <c r="T1396">
        <v>250</v>
      </c>
      <c r="U1396">
        <v>190</v>
      </c>
      <c r="V1396" t="s">
        <v>9</v>
      </c>
      <c r="W1396" t="s">
        <v>10</v>
      </c>
      <c r="X1396" t="s">
        <v>11</v>
      </c>
      <c r="Y1396" t="s">
        <v>12</v>
      </c>
      <c r="AF1396" t="s">
        <v>13</v>
      </c>
      <c r="AG1396" t="str">
        <f>HYPERLINK("https://doi.org/10.1515/9780748636136")</f>
        <v>https://doi.org/10.1515/9780748636136</v>
      </c>
      <c r="AH1396" t="str">
        <f>HYPERLINK("http://www.degruyter.com/isbn/9780748636136")</f>
        <v>http://www.degruyter.com/isbn/9780748636136</v>
      </c>
      <c r="AI1396" t="s">
        <v>68</v>
      </c>
      <c r="AL1396" t="s">
        <v>15</v>
      </c>
      <c r="AM1396">
        <v>1</v>
      </c>
      <c r="AN1396" s="2">
        <v>9780748636112</v>
      </c>
    </row>
    <row r="1397" spans="1:40" x14ac:dyDescent="0.3">
      <c r="A1397" t="s">
        <v>6853</v>
      </c>
      <c r="B1397" t="s">
        <v>1</v>
      </c>
      <c r="C1397" t="s">
        <v>6854</v>
      </c>
      <c r="D1397" t="s">
        <v>6855</v>
      </c>
      <c r="E1397" t="s">
        <v>6856</v>
      </c>
      <c r="F1397" t="s">
        <v>5</v>
      </c>
      <c r="G1397" t="s">
        <v>6</v>
      </c>
      <c r="L1397" t="s">
        <v>7</v>
      </c>
      <c r="M1397">
        <v>2020</v>
      </c>
      <c r="N1397" s="1">
        <v>44644</v>
      </c>
      <c r="O1397" t="s">
        <v>6857</v>
      </c>
      <c r="P1397">
        <v>1</v>
      </c>
      <c r="Q1397" t="s">
        <v>6858</v>
      </c>
      <c r="S1397">
        <v>253.95</v>
      </c>
      <c r="T1397">
        <v>290</v>
      </c>
      <c r="U1397">
        <v>220</v>
      </c>
      <c r="V1397" t="s">
        <v>58</v>
      </c>
      <c r="W1397" t="s">
        <v>59</v>
      </c>
      <c r="X1397" t="s">
        <v>278</v>
      </c>
      <c r="Y1397" t="s">
        <v>932</v>
      </c>
      <c r="AF1397" t="s">
        <v>13</v>
      </c>
      <c r="AG1397" t="str">
        <f>HYPERLINK("https://doi.org/10.1515/9781474446204?locatt=mode:legacy")</f>
        <v>https://doi.org/10.1515/9781474446204?locatt=mode:legacy</v>
      </c>
      <c r="AH1397" t="str">
        <f>HYPERLINK("http://www.degruyter.com/isbn/9781474446204")</f>
        <v>http://www.degruyter.com/isbn/9781474446204</v>
      </c>
      <c r="AI1397" t="s">
        <v>14</v>
      </c>
      <c r="AL1397" t="s">
        <v>62</v>
      </c>
      <c r="AM1397">
        <v>1</v>
      </c>
      <c r="AN1397" s="2">
        <v>9781474446181</v>
      </c>
    </row>
    <row r="1398" spans="1:40" x14ac:dyDescent="0.3">
      <c r="A1398" t="s">
        <v>6859</v>
      </c>
      <c r="B1398" t="s">
        <v>1</v>
      </c>
      <c r="C1398" t="s">
        <v>6860</v>
      </c>
      <c r="D1398" t="s">
        <v>6861</v>
      </c>
      <c r="E1398" t="s">
        <v>6862</v>
      </c>
      <c r="F1398" t="s">
        <v>5</v>
      </c>
      <c r="G1398" t="s">
        <v>6</v>
      </c>
      <c r="L1398" t="s">
        <v>7</v>
      </c>
      <c r="M1398">
        <v>2015</v>
      </c>
      <c r="N1398" s="1">
        <v>42139</v>
      </c>
      <c r="O1398" t="s">
        <v>6863</v>
      </c>
      <c r="P1398">
        <v>1</v>
      </c>
      <c r="Q1398" t="s">
        <v>6779</v>
      </c>
      <c r="S1398">
        <v>217.95</v>
      </c>
      <c r="T1398">
        <v>250</v>
      </c>
      <c r="U1398">
        <v>190</v>
      </c>
      <c r="V1398" t="s">
        <v>42</v>
      </c>
      <c r="W1398" t="s">
        <v>43</v>
      </c>
      <c r="X1398" t="s">
        <v>44</v>
      </c>
      <c r="Y1398" t="s">
        <v>45</v>
      </c>
      <c r="AF1398" t="s">
        <v>13</v>
      </c>
      <c r="AG1398" t="str">
        <f>HYPERLINK("https://doi.org/10.1515/9780748695638")</f>
        <v>https://doi.org/10.1515/9780748695638</v>
      </c>
      <c r="AH1398" t="str">
        <f>HYPERLINK("http://www.degruyter.com/isbn/9780748695638")</f>
        <v>http://www.degruyter.com/isbn/9780748695638</v>
      </c>
      <c r="AI1398" t="s">
        <v>34</v>
      </c>
      <c r="AJ1398" t="s">
        <v>35</v>
      </c>
      <c r="AL1398" t="s">
        <v>520</v>
      </c>
      <c r="AM1398">
        <v>1</v>
      </c>
      <c r="AN1398" s="2">
        <v>9780748695621</v>
      </c>
    </row>
    <row r="1399" spans="1:40" x14ac:dyDescent="0.3">
      <c r="A1399" t="s">
        <v>6864</v>
      </c>
      <c r="B1399" t="s">
        <v>1</v>
      </c>
      <c r="C1399" t="s">
        <v>6865</v>
      </c>
      <c r="E1399" t="s">
        <v>6866</v>
      </c>
      <c r="F1399" t="s">
        <v>5</v>
      </c>
      <c r="G1399" t="s">
        <v>6</v>
      </c>
      <c r="L1399" t="s">
        <v>7</v>
      </c>
      <c r="M1399">
        <v>2012</v>
      </c>
      <c r="N1399" s="1">
        <v>40939</v>
      </c>
      <c r="O1399" t="s">
        <v>6867</v>
      </c>
      <c r="P1399">
        <v>1</v>
      </c>
      <c r="Q1399" t="s">
        <v>6665</v>
      </c>
      <c r="S1399">
        <v>217.95</v>
      </c>
      <c r="T1399">
        <v>250</v>
      </c>
      <c r="U1399">
        <v>190</v>
      </c>
      <c r="V1399" t="s">
        <v>58</v>
      </c>
      <c r="W1399" t="s">
        <v>129</v>
      </c>
      <c r="X1399" t="s">
        <v>1290</v>
      </c>
      <c r="Y1399" t="s">
        <v>1291</v>
      </c>
      <c r="AF1399" t="s">
        <v>13</v>
      </c>
      <c r="AG1399" t="str">
        <f>HYPERLINK("https://doi.org/10.1515/9780748634781")</f>
        <v>https://doi.org/10.1515/9780748634781</v>
      </c>
      <c r="AH1399" t="str">
        <f>HYPERLINK("http://www.degruyter.com/isbn/9780748634781")</f>
        <v>http://www.degruyter.com/isbn/9780748634781</v>
      </c>
      <c r="AI1399" t="s">
        <v>68</v>
      </c>
      <c r="AL1399" t="s">
        <v>62</v>
      </c>
      <c r="AM1399">
        <v>1</v>
      </c>
      <c r="AN1399" s="2">
        <v>9780748634767</v>
      </c>
    </row>
    <row r="1400" spans="1:40" x14ac:dyDescent="0.3">
      <c r="A1400" t="s">
        <v>6868</v>
      </c>
      <c r="B1400" t="s">
        <v>1</v>
      </c>
      <c r="C1400" t="s">
        <v>6869</v>
      </c>
      <c r="E1400" t="s">
        <v>6870</v>
      </c>
      <c r="F1400" t="s">
        <v>5</v>
      </c>
      <c r="G1400" t="s">
        <v>6</v>
      </c>
      <c r="L1400" t="s">
        <v>7</v>
      </c>
      <c r="M1400">
        <v>2017</v>
      </c>
      <c r="N1400" s="1">
        <v>42871</v>
      </c>
      <c r="O1400" t="s">
        <v>6871</v>
      </c>
      <c r="P1400">
        <v>1</v>
      </c>
      <c r="Q1400" t="s">
        <v>5764</v>
      </c>
      <c r="S1400">
        <v>217.95</v>
      </c>
      <c r="T1400">
        <v>250</v>
      </c>
      <c r="U1400">
        <v>190</v>
      </c>
      <c r="V1400" t="s">
        <v>9</v>
      </c>
      <c r="W1400" t="s">
        <v>10</v>
      </c>
      <c r="X1400" t="s">
        <v>11</v>
      </c>
      <c r="Y1400" t="s">
        <v>52</v>
      </c>
      <c r="AF1400" t="s">
        <v>13</v>
      </c>
      <c r="AG1400" t="str">
        <f>HYPERLINK("https://doi.org/10.1515/9781474423090?locatt=mode:legacy")</f>
        <v>https://doi.org/10.1515/9781474423090?locatt=mode:legacy</v>
      </c>
      <c r="AH1400" t="str">
        <f>HYPERLINK("http://www.degruyter.com/isbn/9781474423090")</f>
        <v>http://www.degruyter.com/isbn/9781474423090</v>
      </c>
      <c r="AI1400" t="s">
        <v>222</v>
      </c>
      <c r="AL1400" t="s">
        <v>15</v>
      </c>
      <c r="AM1400">
        <v>1</v>
      </c>
      <c r="AN1400" s="2">
        <v>9781474423083</v>
      </c>
    </row>
    <row r="1401" spans="1:40" x14ac:dyDescent="0.3">
      <c r="A1401" t="s">
        <v>6872</v>
      </c>
      <c r="B1401" t="s">
        <v>1</v>
      </c>
      <c r="C1401" t="s">
        <v>6873</v>
      </c>
      <c r="E1401" t="s">
        <v>6874</v>
      </c>
      <c r="F1401" t="s">
        <v>5</v>
      </c>
      <c r="G1401" t="s">
        <v>6</v>
      </c>
      <c r="L1401" t="s">
        <v>7</v>
      </c>
      <c r="M1401">
        <v>2019</v>
      </c>
      <c r="N1401" s="1">
        <v>44656</v>
      </c>
      <c r="O1401" t="s">
        <v>6875</v>
      </c>
      <c r="P1401">
        <v>1</v>
      </c>
      <c r="Q1401" t="s">
        <v>6876</v>
      </c>
      <c r="S1401">
        <v>217.95</v>
      </c>
      <c r="T1401">
        <v>250</v>
      </c>
      <c r="U1401">
        <v>190</v>
      </c>
      <c r="V1401" t="s">
        <v>20</v>
      </c>
      <c r="W1401" t="s">
        <v>21</v>
      </c>
      <c r="X1401" t="s">
        <v>458</v>
      </c>
      <c r="Y1401" t="s">
        <v>1816</v>
      </c>
      <c r="AF1401" t="s">
        <v>13</v>
      </c>
      <c r="AG1401" t="str">
        <f>HYPERLINK("https://doi.org/10.1515/9781474427661?locatt=mode:legacy")</f>
        <v>https://doi.org/10.1515/9781474427661?locatt=mode:legacy</v>
      </c>
      <c r="AH1401" t="str">
        <f>HYPERLINK("http://www.degruyter.com/isbn/9781474427661")</f>
        <v>http://www.degruyter.com/isbn/9781474427661</v>
      </c>
      <c r="AI1401" t="s">
        <v>280</v>
      </c>
      <c r="AL1401" t="s">
        <v>15</v>
      </c>
      <c r="AM1401">
        <v>1</v>
      </c>
      <c r="AN1401" s="2">
        <v>9781474427647</v>
      </c>
    </row>
    <row r="1402" spans="1:40" x14ac:dyDescent="0.3">
      <c r="A1402" t="s">
        <v>6877</v>
      </c>
      <c r="B1402" t="s">
        <v>1</v>
      </c>
      <c r="C1402" t="s">
        <v>6878</v>
      </c>
      <c r="E1402" t="s">
        <v>6879</v>
      </c>
      <c r="F1402" t="s">
        <v>5</v>
      </c>
      <c r="G1402" t="s">
        <v>6</v>
      </c>
      <c r="L1402" t="s">
        <v>7</v>
      </c>
      <c r="M1402">
        <v>2014</v>
      </c>
      <c r="N1402" s="1">
        <v>41984</v>
      </c>
      <c r="O1402" t="s">
        <v>6880</v>
      </c>
      <c r="P1402">
        <v>1</v>
      </c>
      <c r="Q1402" t="s">
        <v>6881</v>
      </c>
      <c r="S1402">
        <v>227.95</v>
      </c>
      <c r="T1402">
        <v>260</v>
      </c>
      <c r="U1402">
        <v>200</v>
      </c>
      <c r="V1402" t="s">
        <v>98</v>
      </c>
      <c r="W1402" t="s">
        <v>99</v>
      </c>
      <c r="X1402" t="s">
        <v>386</v>
      </c>
      <c r="Y1402" t="s">
        <v>387</v>
      </c>
      <c r="AF1402" t="s">
        <v>13</v>
      </c>
      <c r="AG1402" t="str">
        <f>HYPERLINK("https://doi.org/10.1515/9780748655755")</f>
        <v>https://doi.org/10.1515/9780748655755</v>
      </c>
      <c r="AH1402" t="str">
        <f>HYPERLINK("http://www.degruyter.com/isbn/9780748655755")</f>
        <v>http://www.degruyter.com/isbn/9780748655755</v>
      </c>
      <c r="AI1402" t="s">
        <v>34</v>
      </c>
      <c r="AL1402" t="s">
        <v>102</v>
      </c>
      <c r="AM1402">
        <v>1</v>
      </c>
      <c r="AN1402" s="2">
        <v>9780748655731</v>
      </c>
    </row>
    <row r="1403" spans="1:40" x14ac:dyDescent="0.3">
      <c r="A1403" t="s">
        <v>6882</v>
      </c>
      <c r="B1403" t="s">
        <v>1</v>
      </c>
      <c r="C1403" t="s">
        <v>6883</v>
      </c>
      <c r="D1403" t="s">
        <v>6884</v>
      </c>
      <c r="E1403" t="s">
        <v>6885</v>
      </c>
      <c r="F1403" t="s">
        <v>5</v>
      </c>
      <c r="G1403" t="s">
        <v>6</v>
      </c>
      <c r="L1403" t="s">
        <v>7</v>
      </c>
      <c r="M1403">
        <v>2016</v>
      </c>
      <c r="N1403" s="1">
        <v>42557</v>
      </c>
      <c r="O1403" t="s">
        <v>6886</v>
      </c>
      <c r="P1403">
        <v>1</v>
      </c>
      <c r="S1403">
        <v>217.95</v>
      </c>
      <c r="T1403">
        <v>250</v>
      </c>
      <c r="U1403">
        <v>190</v>
      </c>
      <c r="V1403" t="s">
        <v>42</v>
      </c>
      <c r="W1403" t="s">
        <v>290</v>
      </c>
      <c r="X1403" t="s">
        <v>290</v>
      </c>
      <c r="Y1403" t="s">
        <v>515</v>
      </c>
      <c r="AF1403" t="s">
        <v>13</v>
      </c>
      <c r="AG1403" t="str">
        <f>HYPERLINK("https://doi.org/10.1515/9781474401111")</f>
        <v>https://doi.org/10.1515/9781474401111</v>
      </c>
      <c r="AH1403" t="str">
        <f>HYPERLINK("http://www.degruyter.com/isbn/9781474401111")</f>
        <v>http://www.degruyter.com/isbn/9781474401111</v>
      </c>
      <c r="AI1403" t="s">
        <v>180</v>
      </c>
      <c r="AL1403" t="s">
        <v>47</v>
      </c>
      <c r="AM1403">
        <v>1</v>
      </c>
      <c r="AN1403" s="2">
        <v>9781474401104</v>
      </c>
    </row>
    <row r="1404" spans="1:40" x14ac:dyDescent="0.3">
      <c r="A1404" t="s">
        <v>6887</v>
      </c>
      <c r="B1404" t="s">
        <v>1</v>
      </c>
      <c r="C1404" t="s">
        <v>6888</v>
      </c>
      <c r="E1404" t="s">
        <v>6889</v>
      </c>
      <c r="F1404" t="s">
        <v>5</v>
      </c>
      <c r="G1404" t="s">
        <v>6</v>
      </c>
      <c r="L1404" t="s">
        <v>7</v>
      </c>
      <c r="M1404">
        <v>2003</v>
      </c>
      <c r="N1404" s="1">
        <v>44599</v>
      </c>
      <c r="O1404" t="s">
        <v>3242</v>
      </c>
      <c r="P1404">
        <v>1</v>
      </c>
      <c r="S1404">
        <v>217.95</v>
      </c>
      <c r="T1404">
        <v>250</v>
      </c>
      <c r="U1404">
        <v>190</v>
      </c>
      <c r="V1404" t="s">
        <v>58</v>
      </c>
      <c r="W1404" t="s">
        <v>59</v>
      </c>
      <c r="X1404" t="s">
        <v>60</v>
      </c>
      <c r="Y1404" t="s">
        <v>399</v>
      </c>
      <c r="AF1404" t="s">
        <v>13</v>
      </c>
      <c r="AG1404" t="str">
        <f>HYPERLINK("https://doi.org/10.1515/9781474465410")</f>
        <v>https://doi.org/10.1515/9781474465410</v>
      </c>
      <c r="AH1404" t="str">
        <f>HYPERLINK("http://www.degruyter.com/isbn/9781474465410")</f>
        <v>http://www.degruyter.com/isbn/9781474465410</v>
      </c>
      <c r="AI1404" t="s">
        <v>68</v>
      </c>
      <c r="AL1404" t="s">
        <v>62</v>
      </c>
      <c r="AM1404">
        <v>1</v>
      </c>
      <c r="AN1404" s="2">
        <v>9780748618088</v>
      </c>
    </row>
    <row r="1405" spans="1:40" x14ac:dyDescent="0.3">
      <c r="A1405" t="s">
        <v>6890</v>
      </c>
      <c r="B1405" t="s">
        <v>1</v>
      </c>
      <c r="C1405" t="s">
        <v>6891</v>
      </c>
      <c r="E1405" t="s">
        <v>6892</v>
      </c>
      <c r="F1405" t="s">
        <v>5</v>
      </c>
      <c r="G1405" t="s">
        <v>6</v>
      </c>
      <c r="L1405" t="s">
        <v>7</v>
      </c>
      <c r="M1405">
        <v>2013</v>
      </c>
      <c r="N1405" s="1">
        <v>41324</v>
      </c>
      <c r="O1405" t="s">
        <v>6893</v>
      </c>
      <c r="P1405">
        <v>1</v>
      </c>
      <c r="Q1405" t="s">
        <v>6894</v>
      </c>
      <c r="S1405">
        <v>217.95</v>
      </c>
      <c r="T1405">
        <v>250</v>
      </c>
      <c r="U1405">
        <v>190</v>
      </c>
      <c r="V1405" t="s">
        <v>30</v>
      </c>
      <c r="W1405" t="s">
        <v>1629</v>
      </c>
      <c r="X1405" t="s">
        <v>1630</v>
      </c>
      <c r="Y1405" t="s">
        <v>1631</v>
      </c>
      <c r="AF1405" t="s">
        <v>13</v>
      </c>
      <c r="AG1405" t="str">
        <f>HYPERLINK("https://doi.org/10.1515/9780748670093")</f>
        <v>https://doi.org/10.1515/9780748670093</v>
      </c>
      <c r="AH1405" t="str">
        <f>HYPERLINK("http://www.degruyter.com/isbn/9780748670093")</f>
        <v>http://www.degruyter.com/isbn/9780748670093</v>
      </c>
      <c r="AI1405" t="s">
        <v>68</v>
      </c>
      <c r="AL1405" t="s">
        <v>272</v>
      </c>
      <c r="AM1405">
        <v>1</v>
      </c>
      <c r="AN1405" s="2">
        <v>9780748670079</v>
      </c>
    </row>
    <row r="1406" spans="1:40" x14ac:dyDescent="0.3">
      <c r="A1406" t="s">
        <v>6895</v>
      </c>
      <c r="B1406" t="s">
        <v>1</v>
      </c>
      <c r="C1406" t="s">
        <v>6896</v>
      </c>
      <c r="E1406" t="s">
        <v>6897</v>
      </c>
      <c r="F1406" t="s">
        <v>5</v>
      </c>
      <c r="G1406" t="s">
        <v>6</v>
      </c>
      <c r="L1406" t="s">
        <v>7</v>
      </c>
      <c r="M1406">
        <v>2020</v>
      </c>
      <c r="N1406" s="1">
        <v>44644</v>
      </c>
      <c r="O1406" t="s">
        <v>6898</v>
      </c>
      <c r="P1406">
        <v>1</v>
      </c>
      <c r="Q1406" t="s">
        <v>6899</v>
      </c>
      <c r="S1406">
        <v>227.95</v>
      </c>
      <c r="T1406">
        <v>260</v>
      </c>
      <c r="U1406">
        <v>200</v>
      </c>
      <c r="V1406" t="s">
        <v>329</v>
      </c>
      <c r="W1406" t="s">
        <v>330</v>
      </c>
      <c r="X1406" t="s">
        <v>331</v>
      </c>
      <c r="Y1406" t="s">
        <v>4770</v>
      </c>
      <c r="AF1406" t="s">
        <v>13</v>
      </c>
      <c r="AG1406" t="str">
        <f>HYPERLINK("https://doi.org/10.1515/9781474447065")</f>
        <v>https://doi.org/10.1515/9781474447065</v>
      </c>
      <c r="AH1406" t="str">
        <f>HYPERLINK("http://www.degruyter.com/isbn/9781474447065")</f>
        <v>http://www.degruyter.com/isbn/9781474447065</v>
      </c>
      <c r="AI1406" t="s">
        <v>6900</v>
      </c>
      <c r="AL1406" t="s">
        <v>333</v>
      </c>
      <c r="AM1406">
        <v>1</v>
      </c>
      <c r="AN1406" s="2">
        <v>9781474447041</v>
      </c>
    </row>
    <row r="1407" spans="1:40" x14ac:dyDescent="0.3">
      <c r="A1407" t="s">
        <v>6901</v>
      </c>
      <c r="B1407" t="s">
        <v>1</v>
      </c>
      <c r="C1407" t="s">
        <v>6902</v>
      </c>
      <c r="D1407" t="s">
        <v>6903</v>
      </c>
      <c r="E1407" t="s">
        <v>6904</v>
      </c>
      <c r="F1407" t="s">
        <v>5</v>
      </c>
      <c r="G1407" t="s">
        <v>6</v>
      </c>
      <c r="L1407" t="s">
        <v>7</v>
      </c>
      <c r="M1407">
        <v>2001</v>
      </c>
      <c r="N1407" s="1">
        <v>36937</v>
      </c>
      <c r="O1407" t="s">
        <v>6905</v>
      </c>
      <c r="P1407">
        <v>1</v>
      </c>
      <c r="Q1407" t="s">
        <v>6906</v>
      </c>
      <c r="S1407">
        <v>217.95</v>
      </c>
      <c r="T1407">
        <v>250</v>
      </c>
      <c r="U1407">
        <v>190</v>
      </c>
      <c r="V1407" t="s">
        <v>20</v>
      </c>
      <c r="W1407" t="s">
        <v>21</v>
      </c>
      <c r="X1407" t="s">
        <v>22</v>
      </c>
      <c r="Y1407" t="s">
        <v>489</v>
      </c>
      <c r="AF1407" t="s">
        <v>13</v>
      </c>
      <c r="AG1407" t="str">
        <f>HYPERLINK("https://doi.org/10.1515/9780585441665")</f>
        <v>https://doi.org/10.1515/9780585441665</v>
      </c>
      <c r="AH1407" t="str">
        <f>HYPERLINK("http://www.degruyter.com/isbn/9780585441665")</f>
        <v>http://www.degruyter.com/isbn/9780585441665</v>
      </c>
      <c r="AI1407" t="s">
        <v>68</v>
      </c>
      <c r="AL1407" t="s">
        <v>15</v>
      </c>
      <c r="AM1407">
        <v>1</v>
      </c>
      <c r="AN1407" s="2">
        <v>9780748612857</v>
      </c>
    </row>
    <row r="1408" spans="1:40" x14ac:dyDescent="0.3">
      <c r="A1408" t="s">
        <v>6907</v>
      </c>
      <c r="B1408" t="s">
        <v>1</v>
      </c>
      <c r="C1408" t="s">
        <v>6908</v>
      </c>
      <c r="D1408" t="s">
        <v>6909</v>
      </c>
      <c r="E1408" t="s">
        <v>6910</v>
      </c>
      <c r="F1408" t="s">
        <v>5</v>
      </c>
      <c r="G1408" t="s">
        <v>6</v>
      </c>
      <c r="L1408" t="s">
        <v>7</v>
      </c>
      <c r="M1408">
        <v>2016</v>
      </c>
      <c r="N1408" s="1">
        <v>42461</v>
      </c>
      <c r="O1408" t="s">
        <v>6911</v>
      </c>
      <c r="P1408">
        <v>1</v>
      </c>
      <c r="Q1408" t="s">
        <v>6912</v>
      </c>
      <c r="S1408">
        <v>253.95</v>
      </c>
      <c r="T1408">
        <v>290</v>
      </c>
      <c r="U1408">
        <v>220</v>
      </c>
      <c r="V1408" t="s">
        <v>98</v>
      </c>
      <c r="W1408" t="s">
        <v>2283</v>
      </c>
      <c r="X1408" t="s">
        <v>2284</v>
      </c>
      <c r="Y1408" t="s">
        <v>2285</v>
      </c>
      <c r="AF1408" t="s">
        <v>13</v>
      </c>
      <c r="AG1408" t="str">
        <f>HYPERLINK("https://doi.org/10.1515/9780748677771")</f>
        <v>https://doi.org/10.1515/9780748677771</v>
      </c>
      <c r="AH1408" t="str">
        <f>HYPERLINK("http://www.degruyter.com/isbn/9780748677771")</f>
        <v>http://www.degruyter.com/isbn/9780748677771</v>
      </c>
      <c r="AI1408" t="s">
        <v>180</v>
      </c>
      <c r="AL1408" t="s">
        <v>102</v>
      </c>
      <c r="AM1408">
        <v>1</v>
      </c>
      <c r="AN1408" s="2">
        <v>9780748640447</v>
      </c>
    </row>
    <row r="1409" spans="1:40" x14ac:dyDescent="0.3">
      <c r="A1409" t="s">
        <v>6913</v>
      </c>
      <c r="B1409" t="s">
        <v>1</v>
      </c>
      <c r="C1409" t="s">
        <v>6914</v>
      </c>
      <c r="E1409" t="s">
        <v>6915</v>
      </c>
      <c r="F1409" t="s">
        <v>5</v>
      </c>
      <c r="G1409" t="s">
        <v>6</v>
      </c>
      <c r="L1409" t="s">
        <v>7</v>
      </c>
      <c r="M1409">
        <v>2014</v>
      </c>
      <c r="N1409" s="1">
        <v>41778</v>
      </c>
      <c r="O1409" t="s">
        <v>6916</v>
      </c>
      <c r="P1409">
        <v>1</v>
      </c>
      <c r="Q1409" t="s">
        <v>6659</v>
      </c>
      <c r="S1409">
        <v>227.95</v>
      </c>
      <c r="T1409">
        <v>260</v>
      </c>
      <c r="U1409">
        <v>200</v>
      </c>
      <c r="V1409" t="s">
        <v>268</v>
      </c>
      <c r="W1409" t="s">
        <v>2337</v>
      </c>
      <c r="X1409" t="s">
        <v>2337</v>
      </c>
      <c r="Y1409" t="s">
        <v>2338</v>
      </c>
      <c r="AF1409" t="s">
        <v>13</v>
      </c>
      <c r="AG1409" t="str">
        <f>HYPERLINK("https://doi.org/10.1515/9780748693658?locatt=mode:legacy")</f>
        <v>https://doi.org/10.1515/9780748693658?locatt=mode:legacy</v>
      </c>
      <c r="AH1409" t="str">
        <f>HYPERLINK("http://www.degruyter.com/isbn/9780748693658")</f>
        <v>http://www.degruyter.com/isbn/9780748693658</v>
      </c>
      <c r="AI1409" t="s">
        <v>6917</v>
      </c>
      <c r="AL1409" t="s">
        <v>272</v>
      </c>
      <c r="AM1409">
        <v>1</v>
      </c>
      <c r="AN1409" s="2">
        <v>9780748693641</v>
      </c>
    </row>
    <row r="1410" spans="1:40" x14ac:dyDescent="0.3">
      <c r="A1410" t="s">
        <v>6918</v>
      </c>
      <c r="B1410" t="s">
        <v>1</v>
      </c>
      <c r="C1410" t="s">
        <v>6919</v>
      </c>
      <c r="D1410" t="s">
        <v>6920</v>
      </c>
      <c r="E1410" t="s">
        <v>6921</v>
      </c>
      <c r="F1410" t="s">
        <v>5</v>
      </c>
      <c r="G1410" t="s">
        <v>6</v>
      </c>
      <c r="L1410" t="s">
        <v>7</v>
      </c>
      <c r="M1410">
        <v>2007</v>
      </c>
      <c r="N1410" s="1">
        <v>39184</v>
      </c>
      <c r="O1410" t="s">
        <v>6922</v>
      </c>
      <c r="P1410">
        <v>1</v>
      </c>
      <c r="Q1410" t="s">
        <v>6923</v>
      </c>
      <c r="S1410">
        <v>243.95</v>
      </c>
      <c r="T1410">
        <v>280</v>
      </c>
      <c r="U1410">
        <v>210</v>
      </c>
      <c r="V1410" t="s">
        <v>297</v>
      </c>
      <c r="W1410" t="s">
        <v>298</v>
      </c>
      <c r="X1410" t="s">
        <v>298</v>
      </c>
      <c r="Y1410" t="s">
        <v>299</v>
      </c>
      <c r="AF1410" t="s">
        <v>13</v>
      </c>
      <c r="AG1410" t="str">
        <f>HYPERLINK("https://doi.org/10.1515/9780748628971")</f>
        <v>https://doi.org/10.1515/9780748628971</v>
      </c>
      <c r="AH1410" t="str">
        <f>HYPERLINK("http://www.degruyter.com/isbn/9780748628971")</f>
        <v>http://www.degruyter.com/isbn/9780748628971</v>
      </c>
      <c r="AI1410" t="s">
        <v>68</v>
      </c>
      <c r="AL1410" t="s">
        <v>83</v>
      </c>
      <c r="AM1410">
        <v>1</v>
      </c>
      <c r="AN1410" s="2">
        <v>9780748619184</v>
      </c>
    </row>
    <row r="1411" spans="1:40" x14ac:dyDescent="0.3">
      <c r="A1411" t="s">
        <v>6924</v>
      </c>
      <c r="B1411" t="s">
        <v>1</v>
      </c>
      <c r="C1411" t="s">
        <v>6925</v>
      </c>
      <c r="D1411" t="s">
        <v>6926</v>
      </c>
      <c r="E1411" t="s">
        <v>6927</v>
      </c>
      <c r="F1411" t="s">
        <v>5</v>
      </c>
      <c r="G1411" t="s">
        <v>6</v>
      </c>
      <c r="L1411" t="s">
        <v>7</v>
      </c>
      <c r="M1411">
        <v>2005</v>
      </c>
      <c r="N1411" s="1">
        <v>38483</v>
      </c>
      <c r="O1411" t="s">
        <v>6928</v>
      </c>
      <c r="P1411">
        <v>1</v>
      </c>
      <c r="Q1411" t="s">
        <v>6929</v>
      </c>
      <c r="S1411">
        <v>217.95</v>
      </c>
      <c r="T1411">
        <v>250</v>
      </c>
      <c r="U1411">
        <v>190</v>
      </c>
      <c r="V1411" t="s">
        <v>20</v>
      </c>
      <c r="W1411" t="s">
        <v>21</v>
      </c>
      <c r="X1411" t="s">
        <v>3919</v>
      </c>
      <c r="Y1411" t="s">
        <v>4359</v>
      </c>
      <c r="AF1411" t="s">
        <v>13</v>
      </c>
      <c r="AG1411" t="str">
        <f>HYPERLINK("https://doi.org/10.1515/9781474471220")</f>
        <v>https://doi.org/10.1515/9781474471220</v>
      </c>
      <c r="AH1411" t="str">
        <f>HYPERLINK("http://www.degruyter.com/isbn/9781474471220")</f>
        <v>http://www.degruyter.com/isbn/9781474471220</v>
      </c>
      <c r="AI1411" t="s">
        <v>68</v>
      </c>
      <c r="AL1411" t="s">
        <v>15</v>
      </c>
      <c r="AM1411">
        <v>1</v>
      </c>
      <c r="AN1411" s="2">
        <v>9780748622849</v>
      </c>
    </row>
    <row r="1412" spans="1:40" x14ac:dyDescent="0.3">
      <c r="A1412" t="s">
        <v>6930</v>
      </c>
      <c r="B1412" t="s">
        <v>1</v>
      </c>
      <c r="C1412" t="s">
        <v>6931</v>
      </c>
      <c r="D1412" t="s">
        <v>6932</v>
      </c>
      <c r="E1412" t="s">
        <v>6933</v>
      </c>
      <c r="F1412" t="s">
        <v>5</v>
      </c>
      <c r="G1412" t="s">
        <v>6</v>
      </c>
      <c r="L1412" t="s">
        <v>7</v>
      </c>
      <c r="M1412">
        <v>2016</v>
      </c>
      <c r="N1412" s="1">
        <v>42425</v>
      </c>
      <c r="O1412" t="s">
        <v>6934</v>
      </c>
      <c r="P1412">
        <v>1</v>
      </c>
      <c r="S1412">
        <v>253.95</v>
      </c>
      <c r="T1412">
        <v>290</v>
      </c>
      <c r="U1412">
        <v>220</v>
      </c>
      <c r="V1412" t="s">
        <v>58</v>
      </c>
      <c r="W1412" t="s">
        <v>808</v>
      </c>
      <c r="X1412" t="s">
        <v>3096</v>
      </c>
      <c r="Y1412" t="s">
        <v>3097</v>
      </c>
      <c r="AF1412" t="s">
        <v>13</v>
      </c>
      <c r="AG1412" t="str">
        <f>HYPERLINK("https://doi.org/10.1515/9780748698981")</f>
        <v>https://doi.org/10.1515/9780748698981</v>
      </c>
      <c r="AH1412" t="str">
        <f>HYPERLINK("http://www.degruyter.com/isbn/9780748698981")</f>
        <v>http://www.degruyter.com/isbn/9780748698981</v>
      </c>
      <c r="AI1412" t="s">
        <v>180</v>
      </c>
      <c r="AL1412" t="s">
        <v>62</v>
      </c>
      <c r="AM1412">
        <v>1</v>
      </c>
      <c r="AN1412" s="2">
        <v>9780748698974</v>
      </c>
    </row>
    <row r="1413" spans="1:40" x14ac:dyDescent="0.3">
      <c r="A1413" t="s">
        <v>6935</v>
      </c>
      <c r="B1413" t="s">
        <v>1</v>
      </c>
      <c r="C1413" t="s">
        <v>6936</v>
      </c>
      <c r="D1413" t="s">
        <v>6937</v>
      </c>
      <c r="E1413" t="s">
        <v>6938</v>
      </c>
      <c r="F1413" t="s">
        <v>5</v>
      </c>
      <c r="G1413" t="s">
        <v>6</v>
      </c>
      <c r="L1413" t="s">
        <v>7</v>
      </c>
      <c r="M1413">
        <v>2003</v>
      </c>
      <c r="N1413" s="1">
        <v>44719</v>
      </c>
      <c r="O1413" t="s">
        <v>1759</v>
      </c>
      <c r="P1413">
        <v>1</v>
      </c>
      <c r="Q1413" t="s">
        <v>6939</v>
      </c>
      <c r="S1413">
        <v>217.95</v>
      </c>
      <c r="T1413">
        <v>250</v>
      </c>
      <c r="U1413">
        <v>190</v>
      </c>
      <c r="V1413" t="s">
        <v>42</v>
      </c>
      <c r="W1413" t="s">
        <v>116</v>
      </c>
      <c r="X1413" t="s">
        <v>116</v>
      </c>
      <c r="Y1413" t="s">
        <v>117</v>
      </c>
      <c r="AF1413" t="s">
        <v>13</v>
      </c>
      <c r="AG1413" t="str">
        <f>HYPERLINK("https://doi.org/10.1515/9781474472883")</f>
        <v>https://doi.org/10.1515/9781474472883</v>
      </c>
      <c r="AH1413" t="str">
        <f>HYPERLINK("http://www.degruyter.com/isbn/9781474472883")</f>
        <v>http://www.degruyter.com/isbn/9781474472883</v>
      </c>
      <c r="AI1413" t="s">
        <v>68</v>
      </c>
      <c r="AL1413" t="s">
        <v>47</v>
      </c>
      <c r="AM1413">
        <v>1</v>
      </c>
      <c r="AN1413" s="2">
        <v>9780748619382</v>
      </c>
    </row>
    <row r="1414" spans="1:40" x14ac:dyDescent="0.3">
      <c r="A1414" t="s">
        <v>6940</v>
      </c>
      <c r="B1414" t="s">
        <v>1</v>
      </c>
      <c r="C1414" t="s">
        <v>6941</v>
      </c>
      <c r="D1414" t="s">
        <v>6942</v>
      </c>
      <c r="E1414" t="s">
        <v>6943</v>
      </c>
      <c r="F1414" t="s">
        <v>5</v>
      </c>
      <c r="G1414" t="s">
        <v>6</v>
      </c>
      <c r="L1414" t="s">
        <v>7</v>
      </c>
      <c r="M1414">
        <v>2012</v>
      </c>
      <c r="N1414" s="1">
        <v>44656</v>
      </c>
      <c r="O1414" t="s">
        <v>6944</v>
      </c>
      <c r="P1414">
        <v>1</v>
      </c>
      <c r="Q1414" t="s">
        <v>6939</v>
      </c>
      <c r="S1414">
        <v>217.95</v>
      </c>
      <c r="T1414">
        <v>250</v>
      </c>
      <c r="U1414">
        <v>190</v>
      </c>
      <c r="V1414" t="s">
        <v>42</v>
      </c>
      <c r="W1414" t="s">
        <v>1379</v>
      </c>
      <c r="X1414" t="s">
        <v>1380</v>
      </c>
      <c r="Y1414" t="s">
        <v>1381</v>
      </c>
      <c r="AF1414" t="s">
        <v>13</v>
      </c>
      <c r="AG1414" t="str">
        <f>HYPERLINK("https://doi.org/10.1515/9781474463829")</f>
        <v>https://doi.org/10.1515/9781474463829</v>
      </c>
      <c r="AH1414" t="str">
        <f>HYPERLINK("http://www.degruyter.com/isbn/9781474463829")</f>
        <v>http://www.degruyter.com/isbn/9781474463829</v>
      </c>
      <c r="AI1414" t="s">
        <v>68</v>
      </c>
      <c r="AL1414" t="s">
        <v>47</v>
      </c>
      <c r="AM1414">
        <v>1</v>
      </c>
      <c r="AN1414" s="2">
        <v>9780748647132</v>
      </c>
    </row>
    <row r="1415" spans="1:40" x14ac:dyDescent="0.3">
      <c r="A1415" t="s">
        <v>6945</v>
      </c>
      <c r="B1415" t="s">
        <v>1</v>
      </c>
      <c r="C1415" t="s">
        <v>6840</v>
      </c>
      <c r="D1415" t="s">
        <v>6946</v>
      </c>
      <c r="E1415" t="s">
        <v>6842</v>
      </c>
      <c r="F1415" t="s">
        <v>5</v>
      </c>
      <c r="G1415" t="s">
        <v>6</v>
      </c>
      <c r="L1415" t="s">
        <v>7</v>
      </c>
      <c r="M1415">
        <v>2020</v>
      </c>
      <c r="N1415" s="1">
        <v>44644</v>
      </c>
      <c r="O1415" t="s">
        <v>6947</v>
      </c>
      <c r="P1415">
        <v>1</v>
      </c>
      <c r="Q1415" t="s">
        <v>6840</v>
      </c>
      <c r="S1415">
        <v>253.95</v>
      </c>
      <c r="T1415">
        <v>290</v>
      </c>
      <c r="U1415">
        <v>220</v>
      </c>
      <c r="V1415" t="s">
        <v>42</v>
      </c>
      <c r="W1415" t="s">
        <v>107</v>
      </c>
      <c r="X1415" t="s">
        <v>108</v>
      </c>
      <c r="Y1415" t="s">
        <v>109</v>
      </c>
      <c r="AF1415" t="s">
        <v>13</v>
      </c>
      <c r="AG1415" t="str">
        <f>HYPERLINK("https://doi.org/10.1515/9781474446099")</f>
        <v>https://doi.org/10.1515/9781474446099</v>
      </c>
      <c r="AH1415" t="str">
        <f>HYPERLINK("http://www.degruyter.com/isbn/9781474446099")</f>
        <v>http://www.degruyter.com/isbn/9781474446099</v>
      </c>
      <c r="AI1415" t="s">
        <v>14</v>
      </c>
      <c r="AL1415" t="s">
        <v>47</v>
      </c>
      <c r="AM1415">
        <v>1</v>
      </c>
      <c r="AN1415" s="2">
        <v>9781474446082</v>
      </c>
    </row>
    <row r="1416" spans="1:40" x14ac:dyDescent="0.3">
      <c r="A1416" t="s">
        <v>6948</v>
      </c>
      <c r="B1416" t="s">
        <v>1</v>
      </c>
      <c r="C1416" t="s">
        <v>6949</v>
      </c>
      <c r="D1416" t="s">
        <v>6950</v>
      </c>
      <c r="E1416" t="s">
        <v>6951</v>
      </c>
      <c r="F1416" t="s">
        <v>5</v>
      </c>
      <c r="G1416" t="s">
        <v>6</v>
      </c>
      <c r="L1416" t="s">
        <v>7</v>
      </c>
      <c r="M1416">
        <v>2016</v>
      </c>
      <c r="N1416" s="1">
        <v>42542</v>
      </c>
      <c r="O1416" t="s">
        <v>6952</v>
      </c>
      <c r="P1416">
        <v>1</v>
      </c>
      <c r="Q1416" t="s">
        <v>6665</v>
      </c>
      <c r="S1416">
        <v>217.95</v>
      </c>
      <c r="T1416">
        <v>250</v>
      </c>
      <c r="U1416">
        <v>190</v>
      </c>
      <c r="V1416" t="s">
        <v>42</v>
      </c>
      <c r="W1416" t="s">
        <v>43</v>
      </c>
      <c r="X1416" t="s">
        <v>44</v>
      </c>
      <c r="Y1416" t="s">
        <v>45</v>
      </c>
      <c r="AF1416" t="s">
        <v>13</v>
      </c>
      <c r="AG1416" t="str">
        <f>HYPERLINK("https://doi.org/10.1515/9780748698684")</f>
        <v>https://doi.org/10.1515/9780748698684</v>
      </c>
      <c r="AH1416" t="str">
        <f>HYPERLINK("http://www.degruyter.com/isbn/9780748698684")</f>
        <v>http://www.degruyter.com/isbn/9780748698684</v>
      </c>
      <c r="AI1416" t="s">
        <v>180</v>
      </c>
      <c r="AL1416" t="s">
        <v>47</v>
      </c>
      <c r="AM1416">
        <v>1</v>
      </c>
      <c r="AN1416" s="2">
        <v>9780748698677</v>
      </c>
    </row>
    <row r="1417" spans="1:40" x14ac:dyDescent="0.3">
      <c r="A1417" t="s">
        <v>6953</v>
      </c>
      <c r="B1417" t="s">
        <v>1</v>
      </c>
      <c r="C1417" t="s">
        <v>6954</v>
      </c>
      <c r="D1417" t="s">
        <v>6955</v>
      </c>
      <c r="E1417" t="s">
        <v>6956</v>
      </c>
      <c r="F1417" t="s">
        <v>5</v>
      </c>
      <c r="G1417" t="s">
        <v>6</v>
      </c>
      <c r="L1417" t="s">
        <v>7</v>
      </c>
      <c r="M1417">
        <v>2018</v>
      </c>
      <c r="N1417" s="1">
        <v>44644</v>
      </c>
      <c r="O1417" t="s">
        <v>4806</v>
      </c>
      <c r="P1417">
        <v>1</v>
      </c>
      <c r="S1417">
        <v>217.95</v>
      </c>
      <c r="T1417">
        <v>250</v>
      </c>
      <c r="U1417">
        <v>190</v>
      </c>
      <c r="V1417" t="s">
        <v>9</v>
      </c>
      <c r="W1417" t="s">
        <v>10</v>
      </c>
      <c r="X1417" t="s">
        <v>11</v>
      </c>
      <c r="Y1417" t="s">
        <v>52</v>
      </c>
      <c r="AF1417" t="s">
        <v>13</v>
      </c>
      <c r="AG1417" t="str">
        <f>HYPERLINK("https://doi.org/10.1515/9781474419451?locatt=mode:legacy")</f>
        <v>https://doi.org/10.1515/9781474419451?locatt=mode:legacy</v>
      </c>
      <c r="AH1417" t="str">
        <f>HYPERLINK("http://www.degruyter.com/isbn/9781474419451")</f>
        <v>http://www.degruyter.com/isbn/9781474419451</v>
      </c>
      <c r="AI1417" t="s">
        <v>46</v>
      </c>
      <c r="AL1417" t="s">
        <v>15</v>
      </c>
      <c r="AM1417">
        <v>1</v>
      </c>
      <c r="AN1417" s="2">
        <v>9781474419444</v>
      </c>
    </row>
    <row r="1418" spans="1:40" x14ac:dyDescent="0.3">
      <c r="A1418" t="s">
        <v>6957</v>
      </c>
      <c r="B1418" t="s">
        <v>1</v>
      </c>
      <c r="C1418" t="s">
        <v>6958</v>
      </c>
      <c r="D1418" t="s">
        <v>6959</v>
      </c>
      <c r="E1418" t="s">
        <v>6960</v>
      </c>
      <c r="F1418" t="s">
        <v>5</v>
      </c>
      <c r="G1418" t="s">
        <v>6</v>
      </c>
      <c r="L1418" t="s">
        <v>7</v>
      </c>
      <c r="M1418">
        <v>2020</v>
      </c>
      <c r="N1418" s="1">
        <v>44644</v>
      </c>
      <c r="O1418" t="s">
        <v>6961</v>
      </c>
      <c r="P1418">
        <v>1</v>
      </c>
      <c r="Q1418" t="s">
        <v>6876</v>
      </c>
      <c r="S1418">
        <v>217.95</v>
      </c>
      <c r="T1418">
        <v>250</v>
      </c>
      <c r="U1418">
        <v>190</v>
      </c>
      <c r="V1418" t="s">
        <v>42</v>
      </c>
      <c r="W1418" t="s">
        <v>161</v>
      </c>
      <c r="X1418" t="s">
        <v>162</v>
      </c>
      <c r="Y1418" t="s">
        <v>393</v>
      </c>
      <c r="AF1418" t="s">
        <v>13</v>
      </c>
      <c r="AG1418" t="str">
        <f>HYPERLINK("https://doi.org/10.1515/9781474457477")</f>
        <v>https://doi.org/10.1515/9781474457477</v>
      </c>
      <c r="AH1418" t="str">
        <f>HYPERLINK("http://www.degruyter.com/isbn/9781474457477")</f>
        <v>http://www.degruyter.com/isbn/9781474457477</v>
      </c>
      <c r="AI1418" t="s">
        <v>14</v>
      </c>
      <c r="AL1418" t="s">
        <v>47</v>
      </c>
      <c r="AM1418">
        <v>1</v>
      </c>
      <c r="AN1418" s="2">
        <v>9781474457453</v>
      </c>
    </row>
    <row r="1419" spans="1:40" x14ac:dyDescent="0.3">
      <c r="A1419" t="s">
        <v>6962</v>
      </c>
      <c r="B1419" t="s">
        <v>1</v>
      </c>
      <c r="C1419" t="s">
        <v>6963</v>
      </c>
      <c r="D1419" t="s">
        <v>6964</v>
      </c>
      <c r="E1419" t="s">
        <v>6965</v>
      </c>
      <c r="F1419" t="s">
        <v>5</v>
      </c>
      <c r="G1419" t="s">
        <v>6</v>
      </c>
      <c r="K1419" t="s">
        <v>929</v>
      </c>
      <c r="L1419" t="s">
        <v>7</v>
      </c>
      <c r="M1419">
        <v>2018</v>
      </c>
      <c r="N1419" s="1">
        <v>43325</v>
      </c>
      <c r="O1419" t="s">
        <v>2941</v>
      </c>
      <c r="P1419">
        <v>1</v>
      </c>
      <c r="V1419" t="s">
        <v>42</v>
      </c>
      <c r="W1419" t="s">
        <v>290</v>
      </c>
      <c r="X1419" t="s">
        <v>290</v>
      </c>
      <c r="Y1419" t="s">
        <v>536</v>
      </c>
      <c r="AF1419" t="s">
        <v>13</v>
      </c>
      <c r="AG1419" t="str">
        <f>HYPERLINK("https://doi.org/10.1515/9781474414678?locatt=mode:legacy")</f>
        <v>https://doi.org/10.1515/9781474414678?locatt=mode:legacy</v>
      </c>
      <c r="AH1419" t="str">
        <f>HYPERLINK("http://www.degruyter.com/isbn/9781474414678")</f>
        <v>http://www.degruyter.com/isbn/9781474414678</v>
      </c>
      <c r="AI1419" t="s">
        <v>46</v>
      </c>
      <c r="AM1419">
        <v>1</v>
      </c>
      <c r="AN1419" s="2"/>
    </row>
    <row r="1420" spans="1:40" x14ac:dyDescent="0.3">
      <c r="A1420" t="s">
        <v>6966</v>
      </c>
      <c r="B1420" t="s">
        <v>1</v>
      </c>
      <c r="C1420" t="s">
        <v>6967</v>
      </c>
      <c r="E1420" t="s">
        <v>6968</v>
      </c>
      <c r="F1420" t="s">
        <v>5</v>
      </c>
      <c r="G1420" t="s">
        <v>6</v>
      </c>
      <c r="L1420" t="s">
        <v>7</v>
      </c>
      <c r="M1420">
        <v>2017</v>
      </c>
      <c r="N1420" s="1">
        <v>42796</v>
      </c>
      <c r="O1420" t="s">
        <v>6969</v>
      </c>
      <c r="P1420">
        <v>1</v>
      </c>
      <c r="S1420">
        <v>253.95</v>
      </c>
      <c r="T1420">
        <v>290</v>
      </c>
      <c r="U1420">
        <v>220</v>
      </c>
      <c r="V1420" t="s">
        <v>847</v>
      </c>
      <c r="W1420" t="s">
        <v>848</v>
      </c>
      <c r="X1420" t="s">
        <v>20</v>
      </c>
      <c r="Y1420" t="s">
        <v>3205</v>
      </c>
      <c r="AF1420" t="s">
        <v>13</v>
      </c>
      <c r="AG1420" t="str">
        <f>HYPERLINK("https://doi.org/10.1515/9781474411301")</f>
        <v>https://doi.org/10.1515/9781474411301</v>
      </c>
      <c r="AH1420" t="str">
        <f>HYPERLINK("http://www.degruyter.com/isbn/9781474411301")</f>
        <v>http://www.degruyter.com/isbn/9781474411301</v>
      </c>
      <c r="AI1420" t="s">
        <v>222</v>
      </c>
      <c r="AL1420" t="s">
        <v>1070</v>
      </c>
      <c r="AM1420">
        <v>1</v>
      </c>
      <c r="AN1420" s="2">
        <v>9781474411295</v>
      </c>
    </row>
    <row r="1421" spans="1:40" x14ac:dyDescent="0.3">
      <c r="A1421" t="s">
        <v>6970</v>
      </c>
      <c r="B1421" t="s">
        <v>1</v>
      </c>
      <c r="C1421" t="s">
        <v>6971</v>
      </c>
      <c r="E1421" t="s">
        <v>6972</v>
      </c>
      <c r="F1421" t="s">
        <v>5</v>
      </c>
      <c r="G1421" t="s">
        <v>6</v>
      </c>
      <c r="L1421" t="s">
        <v>7</v>
      </c>
      <c r="M1421">
        <v>2020</v>
      </c>
      <c r="N1421" s="1">
        <v>44644</v>
      </c>
      <c r="O1421" t="s">
        <v>6973</v>
      </c>
      <c r="P1421">
        <v>1</v>
      </c>
      <c r="S1421">
        <v>243.95</v>
      </c>
      <c r="T1421">
        <v>280</v>
      </c>
      <c r="U1421">
        <v>210</v>
      </c>
      <c r="V1421" t="s">
        <v>98</v>
      </c>
      <c r="W1421" t="s">
        <v>99</v>
      </c>
      <c r="X1421" t="s">
        <v>2492</v>
      </c>
      <c r="Y1421" t="s">
        <v>2493</v>
      </c>
      <c r="AF1421" t="s">
        <v>13</v>
      </c>
      <c r="AG1421" t="str">
        <f>HYPERLINK("https://doi.org/10.1515/9781474448215?locatt=mode:legacy")</f>
        <v>https://doi.org/10.1515/9781474448215?locatt=mode:legacy</v>
      </c>
      <c r="AH1421" t="str">
        <f>HYPERLINK("http://www.degruyter.com/isbn/9781474448215")</f>
        <v>http://www.degruyter.com/isbn/9781474448215</v>
      </c>
      <c r="AI1421" t="s">
        <v>14</v>
      </c>
      <c r="AL1421" t="s">
        <v>102</v>
      </c>
      <c r="AM1421">
        <v>1</v>
      </c>
      <c r="AN1421" s="2">
        <v>9781474448208</v>
      </c>
    </row>
    <row r="1422" spans="1:40" x14ac:dyDescent="0.3">
      <c r="A1422" t="s">
        <v>6974</v>
      </c>
      <c r="B1422" t="s">
        <v>1</v>
      </c>
      <c r="C1422" t="s">
        <v>6975</v>
      </c>
      <c r="D1422" t="s">
        <v>6976</v>
      </c>
      <c r="E1422" t="s">
        <v>6977</v>
      </c>
      <c r="F1422" t="s">
        <v>5</v>
      </c>
      <c r="G1422" t="s">
        <v>6</v>
      </c>
      <c r="L1422" t="s">
        <v>7</v>
      </c>
      <c r="M1422">
        <v>2016</v>
      </c>
      <c r="N1422" s="1">
        <v>42661</v>
      </c>
      <c r="O1422" t="s">
        <v>6978</v>
      </c>
      <c r="P1422">
        <v>1</v>
      </c>
      <c r="S1422">
        <v>261.95</v>
      </c>
      <c r="T1422">
        <v>300</v>
      </c>
      <c r="U1422">
        <v>230</v>
      </c>
      <c r="V1422" t="s">
        <v>329</v>
      </c>
      <c r="W1422" t="s">
        <v>330</v>
      </c>
      <c r="X1422" t="s">
        <v>331</v>
      </c>
      <c r="Y1422" t="s">
        <v>4770</v>
      </c>
      <c r="AF1422" t="s">
        <v>13</v>
      </c>
      <c r="AG1422" t="str">
        <f>HYPERLINK("https://doi.org/10.1515/9781474417105?locatt=mode:legacy")</f>
        <v>https://doi.org/10.1515/9781474417105?locatt=mode:legacy</v>
      </c>
      <c r="AH1422" t="str">
        <f>HYPERLINK("http://www.degruyter.com/isbn/9781474417105")</f>
        <v>http://www.degruyter.com/isbn/9781474417105</v>
      </c>
      <c r="AI1422" t="s">
        <v>180</v>
      </c>
      <c r="AL1422" t="s">
        <v>333</v>
      </c>
      <c r="AM1422">
        <v>1</v>
      </c>
      <c r="AN1422" s="2">
        <v>9781474417099</v>
      </c>
    </row>
    <row r="1423" spans="1:40" x14ac:dyDescent="0.3">
      <c r="A1423" t="s">
        <v>6979</v>
      </c>
      <c r="B1423" t="s">
        <v>1</v>
      </c>
      <c r="C1423" t="s">
        <v>2222</v>
      </c>
      <c r="D1423" t="s">
        <v>6980</v>
      </c>
      <c r="E1423" t="s">
        <v>2224</v>
      </c>
      <c r="F1423" t="s">
        <v>5</v>
      </c>
      <c r="G1423" t="s">
        <v>6</v>
      </c>
      <c r="L1423" t="s">
        <v>7</v>
      </c>
      <c r="M1423">
        <v>1996</v>
      </c>
      <c r="N1423" s="1">
        <v>44607</v>
      </c>
      <c r="O1423" t="s">
        <v>6981</v>
      </c>
      <c r="P1423">
        <v>1</v>
      </c>
      <c r="S1423">
        <v>217.95</v>
      </c>
      <c r="T1423">
        <v>250</v>
      </c>
      <c r="U1423">
        <v>190</v>
      </c>
      <c r="V1423" t="s">
        <v>42</v>
      </c>
      <c r="W1423" t="s">
        <v>290</v>
      </c>
      <c r="X1423" t="s">
        <v>290</v>
      </c>
      <c r="Y1423" t="s">
        <v>291</v>
      </c>
      <c r="AF1423" t="s">
        <v>13</v>
      </c>
      <c r="AG1423" t="str">
        <f>HYPERLINK("https://www.degruyter.com/isbn/9781474464321")</f>
        <v>https://www.degruyter.com/isbn/9781474464321</v>
      </c>
      <c r="AH1423" t="str">
        <f>HYPERLINK("http://www.degruyter.com/isbn/9781474464321")</f>
        <v>http://www.degruyter.com/isbn/9781474464321</v>
      </c>
      <c r="AI1423" t="s">
        <v>24</v>
      </c>
      <c r="AL1423" t="s">
        <v>47</v>
      </c>
      <c r="AM1423">
        <v>1</v>
      </c>
      <c r="AN1423" s="2">
        <v>9780748608140</v>
      </c>
    </row>
    <row r="1424" spans="1:40" x14ac:dyDescent="0.3">
      <c r="A1424" t="s">
        <v>6982</v>
      </c>
      <c r="B1424" t="s">
        <v>1</v>
      </c>
      <c r="C1424" t="s">
        <v>6983</v>
      </c>
      <c r="D1424" t="s">
        <v>6984</v>
      </c>
      <c r="E1424" t="s">
        <v>6985</v>
      </c>
      <c r="F1424" t="s">
        <v>5</v>
      </c>
      <c r="G1424" t="s">
        <v>6</v>
      </c>
      <c r="L1424" t="s">
        <v>7</v>
      </c>
      <c r="M1424">
        <v>2021</v>
      </c>
      <c r="N1424" s="1">
        <v>44656</v>
      </c>
      <c r="O1424" t="s">
        <v>6986</v>
      </c>
      <c r="P1424">
        <v>1</v>
      </c>
      <c r="Q1424" t="s">
        <v>6987</v>
      </c>
      <c r="S1424">
        <v>227.95</v>
      </c>
      <c r="T1424">
        <v>260</v>
      </c>
      <c r="U1424">
        <v>200</v>
      </c>
      <c r="V1424" t="s">
        <v>9</v>
      </c>
      <c r="W1424" t="s">
        <v>10</v>
      </c>
      <c r="X1424" t="s">
        <v>11</v>
      </c>
      <c r="Y1424" t="s">
        <v>52</v>
      </c>
      <c r="AF1424" t="s">
        <v>13</v>
      </c>
      <c r="AG1424" t="str">
        <f>HYPERLINK("https://doi.org/10.1515/9781474480437")</f>
        <v>https://doi.org/10.1515/9781474480437</v>
      </c>
      <c r="AH1424" t="str">
        <f>HYPERLINK("http://www.degruyter.com/isbn/9781474480437")</f>
        <v>http://www.degruyter.com/isbn/9781474480437</v>
      </c>
      <c r="AI1424" t="s">
        <v>908</v>
      </c>
      <c r="AL1424" t="s">
        <v>15</v>
      </c>
      <c r="AM1424">
        <v>1</v>
      </c>
      <c r="AN1424" s="2">
        <v>9781474480413</v>
      </c>
    </row>
    <row r="1425" spans="1:40" x14ac:dyDescent="0.3">
      <c r="A1425" t="s">
        <v>6988</v>
      </c>
      <c r="B1425" t="s">
        <v>1</v>
      </c>
      <c r="C1425" t="s">
        <v>6989</v>
      </c>
      <c r="D1425" t="s">
        <v>6990</v>
      </c>
      <c r="E1425" t="s">
        <v>6991</v>
      </c>
      <c r="F1425" t="s">
        <v>5</v>
      </c>
      <c r="G1425" t="s">
        <v>6</v>
      </c>
      <c r="L1425" t="s">
        <v>7</v>
      </c>
      <c r="M1425">
        <v>2021</v>
      </c>
      <c r="N1425" s="1">
        <v>44634</v>
      </c>
      <c r="O1425" t="s">
        <v>6992</v>
      </c>
      <c r="P1425">
        <v>1</v>
      </c>
      <c r="Q1425" t="s">
        <v>6993</v>
      </c>
      <c r="S1425">
        <v>227.95</v>
      </c>
      <c r="T1425">
        <v>260</v>
      </c>
      <c r="U1425">
        <v>200</v>
      </c>
      <c r="V1425" t="s">
        <v>58</v>
      </c>
      <c r="W1425" t="s">
        <v>1135</v>
      </c>
      <c r="X1425" t="s">
        <v>1136</v>
      </c>
      <c r="Y1425" t="s">
        <v>1137</v>
      </c>
      <c r="AF1425" t="s">
        <v>13</v>
      </c>
      <c r="AG1425" t="str">
        <f>HYPERLINK("https://doi.org/10.1515/9781474474443")</f>
        <v>https://doi.org/10.1515/9781474474443</v>
      </c>
      <c r="AH1425" t="str">
        <f>HYPERLINK("http://www.degruyter.com/isbn/9781474474443")</f>
        <v>http://www.degruyter.com/isbn/9781474474443</v>
      </c>
      <c r="AI1425" t="s">
        <v>3339</v>
      </c>
      <c r="AL1425" t="s">
        <v>62</v>
      </c>
      <c r="AM1425">
        <v>1</v>
      </c>
      <c r="AN1425" s="2">
        <v>9781474474429</v>
      </c>
    </row>
    <row r="1426" spans="1:40" x14ac:dyDescent="0.3">
      <c r="A1426" t="s">
        <v>6994</v>
      </c>
      <c r="B1426" t="s">
        <v>1</v>
      </c>
      <c r="C1426" t="s">
        <v>6995</v>
      </c>
      <c r="E1426" t="s">
        <v>6996</v>
      </c>
      <c r="F1426" t="s">
        <v>5</v>
      </c>
      <c r="G1426" t="s">
        <v>6</v>
      </c>
      <c r="L1426" t="s">
        <v>7</v>
      </c>
      <c r="M1426">
        <v>1984</v>
      </c>
      <c r="N1426" s="1">
        <v>44607</v>
      </c>
      <c r="O1426" t="s">
        <v>6997</v>
      </c>
      <c r="P1426">
        <v>1</v>
      </c>
      <c r="Q1426" t="s">
        <v>6998</v>
      </c>
      <c r="S1426">
        <v>876.95</v>
      </c>
      <c r="T1426">
        <v>990</v>
      </c>
      <c r="U1426">
        <v>760</v>
      </c>
      <c r="V1426" t="s">
        <v>1325</v>
      </c>
      <c r="W1426" t="s">
        <v>1326</v>
      </c>
      <c r="X1426" t="s">
        <v>1326</v>
      </c>
      <c r="Y1426" t="s">
        <v>6999</v>
      </c>
      <c r="AF1426" t="s">
        <v>13</v>
      </c>
      <c r="AG1426" t="str">
        <f>HYPERLINK("https://doi.org/10.1515/9781474466073")</f>
        <v>https://doi.org/10.1515/9781474466073</v>
      </c>
      <c r="AH1426" t="str">
        <f>HYPERLINK("http://www.degruyter.com/isbn/9781474466073")</f>
        <v>http://www.degruyter.com/isbn/9781474466073</v>
      </c>
      <c r="AI1426" t="s">
        <v>24</v>
      </c>
      <c r="AL1426" t="s">
        <v>1328</v>
      </c>
      <c r="AM1426">
        <v>1</v>
      </c>
      <c r="AN1426" s="2">
        <v>9780852240007</v>
      </c>
    </row>
    <row r="1427" spans="1:40" x14ac:dyDescent="0.3">
      <c r="A1427" t="s">
        <v>7000</v>
      </c>
      <c r="B1427" t="s">
        <v>1</v>
      </c>
      <c r="C1427" t="s">
        <v>7001</v>
      </c>
      <c r="E1427" t="s">
        <v>7002</v>
      </c>
      <c r="F1427" t="s">
        <v>5</v>
      </c>
      <c r="G1427" t="s">
        <v>6</v>
      </c>
      <c r="L1427" t="s">
        <v>7</v>
      </c>
      <c r="M1427">
        <v>2015</v>
      </c>
      <c r="N1427" s="1">
        <v>42349</v>
      </c>
      <c r="O1427" t="s">
        <v>7003</v>
      </c>
      <c r="P1427">
        <v>1</v>
      </c>
      <c r="Q1427" t="s">
        <v>6665</v>
      </c>
      <c r="S1427">
        <v>209.95</v>
      </c>
      <c r="T1427">
        <v>240</v>
      </c>
      <c r="U1427">
        <v>180</v>
      </c>
      <c r="V1427" t="s">
        <v>9</v>
      </c>
      <c r="W1427" t="s">
        <v>10</v>
      </c>
      <c r="X1427" t="s">
        <v>11</v>
      </c>
      <c r="Y1427" t="s">
        <v>52</v>
      </c>
      <c r="AF1427" t="s">
        <v>13</v>
      </c>
      <c r="AG1427" t="str">
        <f>HYPERLINK("https://doi.org/10.1515/9780748696031")</f>
        <v>https://doi.org/10.1515/9780748696031</v>
      </c>
      <c r="AH1427" t="str">
        <f>HYPERLINK("http://www.degruyter.com/isbn/9780748696031")</f>
        <v>http://www.degruyter.com/isbn/9780748696031</v>
      </c>
      <c r="AI1427" t="s">
        <v>7004</v>
      </c>
      <c r="AL1427" t="s">
        <v>15</v>
      </c>
      <c r="AM1427">
        <v>1</v>
      </c>
      <c r="AN1427" s="2">
        <v>9780748696024</v>
      </c>
    </row>
    <row r="1428" spans="1:40" x14ac:dyDescent="0.3">
      <c r="A1428" t="s">
        <v>7005</v>
      </c>
      <c r="B1428" t="s">
        <v>1</v>
      </c>
      <c r="C1428" t="s">
        <v>7006</v>
      </c>
      <c r="E1428" t="s">
        <v>7007</v>
      </c>
      <c r="F1428" t="s">
        <v>5</v>
      </c>
      <c r="G1428" t="s">
        <v>6</v>
      </c>
      <c r="L1428" t="s">
        <v>7</v>
      </c>
      <c r="M1428">
        <v>2010</v>
      </c>
      <c r="N1428" s="1">
        <v>40326</v>
      </c>
      <c r="O1428" t="s">
        <v>7008</v>
      </c>
      <c r="P1428">
        <v>1</v>
      </c>
      <c r="Q1428" t="s">
        <v>7009</v>
      </c>
      <c r="S1428">
        <v>243.95</v>
      </c>
      <c r="T1428">
        <v>280</v>
      </c>
      <c r="U1428">
        <v>210</v>
      </c>
      <c r="V1428" t="s">
        <v>329</v>
      </c>
      <c r="W1428" t="s">
        <v>330</v>
      </c>
      <c r="X1428" t="s">
        <v>331</v>
      </c>
      <c r="Y1428" t="s">
        <v>1035</v>
      </c>
      <c r="AF1428" t="s">
        <v>13</v>
      </c>
      <c r="AG1428" t="str">
        <f>HYPERLINK("https://doi.org/10.1515/9780748629053")</f>
        <v>https://doi.org/10.1515/9780748629053</v>
      </c>
      <c r="AH1428" t="str">
        <f>HYPERLINK("http://www.degruyter.com/isbn/9780748629053")</f>
        <v>http://www.degruyter.com/isbn/9780748629053</v>
      </c>
      <c r="AI1428" t="s">
        <v>68</v>
      </c>
      <c r="AL1428" t="s">
        <v>333</v>
      </c>
      <c r="AM1428">
        <v>1</v>
      </c>
      <c r="AN1428" s="2">
        <v>9780748619627</v>
      </c>
    </row>
    <row r="1429" spans="1:40" x14ac:dyDescent="0.3">
      <c r="A1429" t="s">
        <v>7010</v>
      </c>
      <c r="B1429" t="s">
        <v>1</v>
      </c>
      <c r="C1429" t="s">
        <v>7011</v>
      </c>
      <c r="E1429" t="s">
        <v>7012</v>
      </c>
      <c r="F1429" t="s">
        <v>5</v>
      </c>
      <c r="G1429" t="s">
        <v>6</v>
      </c>
      <c r="L1429" t="s">
        <v>7</v>
      </c>
      <c r="M1429">
        <v>1997</v>
      </c>
      <c r="N1429" s="1">
        <v>44607</v>
      </c>
      <c r="O1429" t="s">
        <v>7013</v>
      </c>
      <c r="P1429">
        <v>1</v>
      </c>
      <c r="S1429">
        <v>217.95</v>
      </c>
      <c r="T1429">
        <v>250</v>
      </c>
      <c r="U1429">
        <v>190</v>
      </c>
      <c r="V1429" t="s">
        <v>42</v>
      </c>
      <c r="W1429" t="s">
        <v>290</v>
      </c>
      <c r="X1429" t="s">
        <v>290</v>
      </c>
      <c r="Y1429" t="s">
        <v>515</v>
      </c>
      <c r="AF1429" t="s">
        <v>13</v>
      </c>
      <c r="AG1429" t="str">
        <f>HYPERLINK("https://doi.org/10.1515/9780748672622")</f>
        <v>https://doi.org/10.1515/9780748672622</v>
      </c>
      <c r="AH1429" t="str">
        <f>HYPERLINK("http://www.degruyter.com/isbn/9780748672622")</f>
        <v>http://www.degruyter.com/isbn/9780748672622</v>
      </c>
      <c r="AI1429" t="s">
        <v>24</v>
      </c>
      <c r="AL1429" t="s">
        <v>47</v>
      </c>
      <c r="AM1429">
        <v>1</v>
      </c>
      <c r="AN1429" s="2">
        <v>9780748608201</v>
      </c>
    </row>
    <row r="1430" spans="1:40" x14ac:dyDescent="0.3">
      <c r="A1430" t="s">
        <v>7014</v>
      </c>
      <c r="B1430" t="s">
        <v>1</v>
      </c>
      <c r="C1430" t="s">
        <v>7015</v>
      </c>
      <c r="D1430" t="s">
        <v>7016</v>
      </c>
      <c r="E1430" t="s">
        <v>7017</v>
      </c>
      <c r="F1430" t="s">
        <v>5</v>
      </c>
      <c r="G1430" t="s">
        <v>6</v>
      </c>
      <c r="L1430" t="s">
        <v>7</v>
      </c>
      <c r="M1430">
        <v>2020</v>
      </c>
      <c r="N1430" s="1">
        <v>44656</v>
      </c>
      <c r="O1430" t="s">
        <v>7018</v>
      </c>
      <c r="P1430">
        <v>1</v>
      </c>
      <c r="Q1430" t="s">
        <v>7019</v>
      </c>
      <c r="S1430">
        <v>217.95</v>
      </c>
      <c r="T1430">
        <v>250</v>
      </c>
      <c r="U1430">
        <v>190</v>
      </c>
      <c r="V1430" t="s">
        <v>305</v>
      </c>
      <c r="W1430" t="s">
        <v>7020</v>
      </c>
      <c r="X1430" t="s">
        <v>7020</v>
      </c>
      <c r="Y1430" t="s">
        <v>7021</v>
      </c>
      <c r="AF1430" t="s">
        <v>13</v>
      </c>
      <c r="AG1430" t="str">
        <f>HYPERLINK("https://doi.org/10.1515/9781474448147")</f>
        <v>https://doi.org/10.1515/9781474448147</v>
      </c>
      <c r="AH1430" t="str">
        <f>HYPERLINK("http://www.degruyter.com/isbn/9781474448147")</f>
        <v>http://www.degruyter.com/isbn/9781474448147</v>
      </c>
      <c r="AI1430" t="s">
        <v>14</v>
      </c>
      <c r="AL1430" t="s">
        <v>308</v>
      </c>
      <c r="AM1430">
        <v>1</v>
      </c>
      <c r="AN1430" s="2">
        <v>9781474448123</v>
      </c>
    </row>
    <row r="1431" spans="1:40" x14ac:dyDescent="0.3">
      <c r="A1431" t="s">
        <v>7022</v>
      </c>
      <c r="B1431" t="s">
        <v>1</v>
      </c>
      <c r="C1431" t="s">
        <v>7023</v>
      </c>
      <c r="D1431" t="s">
        <v>7024</v>
      </c>
      <c r="E1431" t="s">
        <v>7025</v>
      </c>
      <c r="F1431" t="s">
        <v>5</v>
      </c>
      <c r="G1431" t="s">
        <v>6</v>
      </c>
      <c r="L1431" t="s">
        <v>7</v>
      </c>
      <c r="M1431">
        <v>2012</v>
      </c>
      <c r="N1431" s="1">
        <v>40975</v>
      </c>
      <c r="O1431" t="s">
        <v>7026</v>
      </c>
      <c r="P1431">
        <v>1</v>
      </c>
      <c r="Q1431" t="s">
        <v>7027</v>
      </c>
      <c r="S1431">
        <v>217.95</v>
      </c>
      <c r="T1431">
        <v>250</v>
      </c>
      <c r="U1431">
        <v>190</v>
      </c>
      <c r="V1431" t="s">
        <v>98</v>
      </c>
      <c r="W1431" t="s">
        <v>99</v>
      </c>
      <c r="X1431" t="s">
        <v>100</v>
      </c>
      <c r="Y1431" t="s">
        <v>937</v>
      </c>
      <c r="AF1431" t="s">
        <v>13</v>
      </c>
      <c r="AG1431" t="str">
        <f>HYPERLINK("https://doi.org/10.1515/9780748664450")</f>
        <v>https://doi.org/10.1515/9780748664450</v>
      </c>
      <c r="AH1431" t="str">
        <f>HYPERLINK("http://www.degruyter.com/isbn/9780748664450")</f>
        <v>http://www.degruyter.com/isbn/9780748664450</v>
      </c>
      <c r="AI1431" t="s">
        <v>68</v>
      </c>
      <c r="AL1431" t="s">
        <v>102</v>
      </c>
      <c r="AM1431">
        <v>1</v>
      </c>
      <c r="AN1431" s="2">
        <v>9780748639298</v>
      </c>
    </row>
    <row r="1432" spans="1:40" x14ac:dyDescent="0.3">
      <c r="A1432" t="s">
        <v>7028</v>
      </c>
      <c r="B1432" t="s">
        <v>1</v>
      </c>
      <c r="C1432" t="s">
        <v>7029</v>
      </c>
      <c r="D1432" t="s">
        <v>7030</v>
      </c>
      <c r="E1432" t="s">
        <v>7031</v>
      </c>
      <c r="F1432" t="s">
        <v>5</v>
      </c>
      <c r="G1432" t="s">
        <v>6</v>
      </c>
      <c r="L1432" t="s">
        <v>7</v>
      </c>
      <c r="M1432">
        <v>2008</v>
      </c>
      <c r="N1432" s="1">
        <v>39553</v>
      </c>
      <c r="O1432" t="s">
        <v>7032</v>
      </c>
      <c r="P1432">
        <v>1</v>
      </c>
      <c r="Q1432" t="s">
        <v>7033</v>
      </c>
      <c r="S1432">
        <v>253.95</v>
      </c>
      <c r="T1432">
        <v>290</v>
      </c>
      <c r="U1432">
        <v>220</v>
      </c>
      <c r="V1432" t="s">
        <v>79</v>
      </c>
      <c r="W1432" t="s">
        <v>227</v>
      </c>
      <c r="X1432" t="s">
        <v>234</v>
      </c>
      <c r="Y1432" t="s">
        <v>355</v>
      </c>
      <c r="AF1432" t="s">
        <v>13</v>
      </c>
      <c r="AG1432" t="str">
        <f>HYPERLINK("https://doi.org/10.1515/9780748631452")</f>
        <v>https://doi.org/10.1515/9780748631452</v>
      </c>
      <c r="AH1432" t="str">
        <f>HYPERLINK("http://www.degruyter.com/isbn/9780748631452")</f>
        <v>http://www.degruyter.com/isbn/9780748631452</v>
      </c>
      <c r="AI1432" t="s">
        <v>68</v>
      </c>
      <c r="AL1432" t="s">
        <v>83</v>
      </c>
      <c r="AM1432">
        <v>1</v>
      </c>
      <c r="AN1432" s="2">
        <v>9780748627332</v>
      </c>
    </row>
    <row r="1433" spans="1:40" x14ac:dyDescent="0.3">
      <c r="A1433" t="s">
        <v>7034</v>
      </c>
      <c r="B1433" t="s">
        <v>1</v>
      </c>
      <c r="C1433" t="s">
        <v>7035</v>
      </c>
      <c r="D1433" t="s">
        <v>7036</v>
      </c>
      <c r="E1433" t="s">
        <v>7037</v>
      </c>
      <c r="F1433" t="s">
        <v>5</v>
      </c>
      <c r="G1433" t="s">
        <v>6</v>
      </c>
      <c r="L1433" t="s">
        <v>7</v>
      </c>
      <c r="M1433">
        <v>2016</v>
      </c>
      <c r="N1433" s="1">
        <v>42661</v>
      </c>
      <c r="O1433" t="s">
        <v>7038</v>
      </c>
      <c r="P1433">
        <v>1</v>
      </c>
      <c r="Q1433" t="s">
        <v>6606</v>
      </c>
      <c r="S1433">
        <v>217.95</v>
      </c>
      <c r="T1433">
        <v>250</v>
      </c>
      <c r="U1433">
        <v>190</v>
      </c>
      <c r="V1433" t="s">
        <v>79</v>
      </c>
      <c r="W1433" t="s">
        <v>734</v>
      </c>
      <c r="X1433" t="s">
        <v>734</v>
      </c>
      <c r="Y1433" t="s">
        <v>6064</v>
      </c>
      <c r="AF1433" t="s">
        <v>13</v>
      </c>
      <c r="AG1433" t="str">
        <f>HYPERLINK("https://doi.org/10.1515/9781474409032?locatt=mode:legacy")</f>
        <v>https://doi.org/10.1515/9781474409032?locatt=mode:legacy</v>
      </c>
      <c r="AH1433" t="str">
        <f>HYPERLINK("http://www.degruyter.com/isbn/9781474409032")</f>
        <v>http://www.degruyter.com/isbn/9781474409032</v>
      </c>
      <c r="AI1433" t="s">
        <v>180</v>
      </c>
      <c r="AL1433" t="s">
        <v>83</v>
      </c>
      <c r="AM1433">
        <v>1</v>
      </c>
      <c r="AN1433" s="2">
        <v>9781474409025</v>
      </c>
    </row>
    <row r="1434" spans="1:40" x14ac:dyDescent="0.3">
      <c r="A1434" t="s">
        <v>7039</v>
      </c>
      <c r="B1434" t="s">
        <v>1</v>
      </c>
      <c r="C1434" t="s">
        <v>7040</v>
      </c>
      <c r="E1434" t="s">
        <v>7041</v>
      </c>
      <c r="F1434" t="s">
        <v>5</v>
      </c>
      <c r="G1434" t="s">
        <v>6</v>
      </c>
      <c r="L1434" t="s">
        <v>7</v>
      </c>
      <c r="M1434">
        <v>2006</v>
      </c>
      <c r="N1434" s="1">
        <v>38770</v>
      </c>
      <c r="O1434" t="s">
        <v>7042</v>
      </c>
      <c r="P1434">
        <v>1</v>
      </c>
      <c r="S1434">
        <v>287.95</v>
      </c>
      <c r="T1434">
        <v>330</v>
      </c>
      <c r="U1434">
        <v>250</v>
      </c>
      <c r="V1434" t="s">
        <v>329</v>
      </c>
      <c r="W1434" t="s">
        <v>330</v>
      </c>
      <c r="X1434" t="s">
        <v>331</v>
      </c>
      <c r="Y1434" t="s">
        <v>4770</v>
      </c>
      <c r="AF1434" t="s">
        <v>13</v>
      </c>
      <c r="AG1434" t="str">
        <f>HYPERLINK("https://doi.org/10.1515/9780748626434?locatt=mode:legacy")</f>
        <v>https://doi.org/10.1515/9780748626434?locatt=mode:legacy</v>
      </c>
      <c r="AH1434" t="str">
        <f>HYPERLINK("http://www.degruyter.com/isbn/9780748626434")</f>
        <v>http://www.degruyter.com/isbn/9780748626434</v>
      </c>
      <c r="AI1434" t="s">
        <v>68</v>
      </c>
      <c r="AL1434" t="s">
        <v>333</v>
      </c>
      <c r="AM1434">
        <v>1</v>
      </c>
      <c r="AN1434" s="2">
        <v>9780748621255</v>
      </c>
    </row>
    <row r="1435" spans="1:40" x14ac:dyDescent="0.3">
      <c r="A1435" t="s">
        <v>7043</v>
      </c>
      <c r="B1435" t="s">
        <v>1</v>
      </c>
      <c r="C1435" t="s">
        <v>7044</v>
      </c>
      <c r="E1435" t="s">
        <v>7045</v>
      </c>
      <c r="F1435" t="s">
        <v>5</v>
      </c>
      <c r="G1435" t="s">
        <v>6</v>
      </c>
      <c r="L1435" t="s">
        <v>7</v>
      </c>
      <c r="M1435">
        <v>2012</v>
      </c>
      <c r="N1435" s="1">
        <v>41177</v>
      </c>
      <c r="O1435" t="s">
        <v>7046</v>
      </c>
      <c r="P1435">
        <v>1</v>
      </c>
      <c r="Q1435" t="s">
        <v>7047</v>
      </c>
      <c r="S1435">
        <v>191.95</v>
      </c>
      <c r="T1435">
        <v>220</v>
      </c>
      <c r="U1435">
        <v>170</v>
      </c>
      <c r="V1435" t="s">
        <v>42</v>
      </c>
      <c r="W1435" t="s">
        <v>107</v>
      </c>
      <c r="X1435" t="s">
        <v>108</v>
      </c>
      <c r="Y1435" t="s">
        <v>952</v>
      </c>
      <c r="AF1435" t="s">
        <v>13</v>
      </c>
      <c r="AG1435" t="str">
        <f>HYPERLINK("https://doi.org/10.1515/9780748670192")</f>
        <v>https://doi.org/10.1515/9780748670192</v>
      </c>
      <c r="AH1435" t="str">
        <f>HYPERLINK("http://www.degruyter.com/isbn/9780748670192")</f>
        <v>http://www.degruyter.com/isbn/9780748670192</v>
      </c>
      <c r="AI1435" t="s">
        <v>68</v>
      </c>
      <c r="AL1435" t="s">
        <v>47</v>
      </c>
      <c r="AM1435">
        <v>1</v>
      </c>
      <c r="AN1435" s="2">
        <v>9780748641307</v>
      </c>
    </row>
    <row r="1436" spans="1:40" x14ac:dyDescent="0.3">
      <c r="A1436" t="s">
        <v>7048</v>
      </c>
      <c r="B1436" t="s">
        <v>1</v>
      </c>
      <c r="C1436" t="s">
        <v>7049</v>
      </c>
      <c r="E1436" t="s">
        <v>7050</v>
      </c>
      <c r="F1436" t="s">
        <v>5</v>
      </c>
      <c r="G1436" t="s">
        <v>6</v>
      </c>
      <c r="K1436" t="s">
        <v>929</v>
      </c>
      <c r="L1436" t="s">
        <v>7</v>
      </c>
      <c r="M1436">
        <v>2017</v>
      </c>
      <c r="N1436" s="1">
        <v>43012</v>
      </c>
      <c r="O1436" t="s">
        <v>7051</v>
      </c>
      <c r="P1436">
        <v>1</v>
      </c>
      <c r="Q1436" t="s">
        <v>7052</v>
      </c>
      <c r="V1436" t="s">
        <v>42</v>
      </c>
      <c r="W1436" t="s">
        <v>161</v>
      </c>
      <c r="X1436" t="s">
        <v>162</v>
      </c>
      <c r="Y1436" t="s">
        <v>7053</v>
      </c>
      <c r="AF1436" t="s">
        <v>13</v>
      </c>
      <c r="AG1436" t="str">
        <f>HYPERLINK("https://doi.org/10.1515/9781474423557")</f>
        <v>https://doi.org/10.1515/9781474423557</v>
      </c>
      <c r="AH1436" t="str">
        <f>HYPERLINK("http://www.degruyter.com/isbn/9781474423557")</f>
        <v>http://www.degruyter.com/isbn/9781474423557</v>
      </c>
      <c r="AI1436" t="s">
        <v>222</v>
      </c>
      <c r="AM1436">
        <v>1</v>
      </c>
      <c r="AN1436" s="2"/>
    </row>
    <row r="1437" spans="1:40" x14ac:dyDescent="0.3">
      <c r="A1437" t="s">
        <v>7054</v>
      </c>
      <c r="B1437" t="s">
        <v>1</v>
      </c>
      <c r="C1437" t="s">
        <v>7055</v>
      </c>
      <c r="D1437" t="s">
        <v>7056</v>
      </c>
      <c r="E1437" t="s">
        <v>7057</v>
      </c>
      <c r="F1437" t="s">
        <v>5</v>
      </c>
      <c r="G1437" t="s">
        <v>6</v>
      </c>
      <c r="K1437" t="s">
        <v>929</v>
      </c>
      <c r="L1437" t="s">
        <v>7</v>
      </c>
      <c r="M1437">
        <v>2021</v>
      </c>
      <c r="N1437" s="1">
        <v>44201</v>
      </c>
      <c r="O1437" t="s">
        <v>7058</v>
      </c>
      <c r="P1437">
        <v>1</v>
      </c>
      <c r="Q1437" t="s">
        <v>7059</v>
      </c>
      <c r="V1437" t="s">
        <v>9</v>
      </c>
      <c r="W1437" t="s">
        <v>10</v>
      </c>
      <c r="X1437" t="s">
        <v>44</v>
      </c>
      <c r="Y1437" t="s">
        <v>7060</v>
      </c>
      <c r="AF1437" t="s">
        <v>13</v>
      </c>
      <c r="AG1437" t="str">
        <f>HYPERLINK("https://doi.org/10.1515/9781474447669")</f>
        <v>https://doi.org/10.1515/9781474447669</v>
      </c>
      <c r="AH1437" t="str">
        <f>HYPERLINK("http://www.degruyter.com/isbn/9781474447669")</f>
        <v>http://www.degruyter.com/isbn/9781474447669</v>
      </c>
      <c r="AI1437" t="s">
        <v>908</v>
      </c>
      <c r="AM1437">
        <v>1</v>
      </c>
      <c r="AN1437" s="2"/>
    </row>
    <row r="1438" spans="1:40" x14ac:dyDescent="0.3">
      <c r="A1438" t="s">
        <v>7061</v>
      </c>
      <c r="B1438" t="s">
        <v>1</v>
      </c>
      <c r="C1438" t="s">
        <v>7062</v>
      </c>
      <c r="D1438" t="s">
        <v>7063</v>
      </c>
      <c r="E1438" t="s">
        <v>7064</v>
      </c>
      <c r="F1438" t="s">
        <v>5</v>
      </c>
      <c r="G1438" t="s">
        <v>6</v>
      </c>
      <c r="L1438" t="s">
        <v>7</v>
      </c>
      <c r="M1438">
        <v>2009</v>
      </c>
      <c r="N1438" s="1">
        <v>40004</v>
      </c>
      <c r="O1438" t="s">
        <v>7065</v>
      </c>
      <c r="P1438">
        <v>1</v>
      </c>
      <c r="S1438">
        <v>243.95</v>
      </c>
      <c r="T1438">
        <v>280</v>
      </c>
      <c r="U1438">
        <v>210</v>
      </c>
      <c r="V1438" t="s">
        <v>79</v>
      </c>
      <c r="W1438" t="s">
        <v>123</v>
      </c>
      <c r="X1438" t="s">
        <v>123</v>
      </c>
      <c r="Y1438" t="s">
        <v>124</v>
      </c>
      <c r="AF1438" t="s">
        <v>13</v>
      </c>
      <c r="AG1438" t="str">
        <f>HYPERLINK("https://doi.org/10.1515/9780748641376")</f>
        <v>https://doi.org/10.1515/9780748641376</v>
      </c>
      <c r="AH1438" t="str">
        <f>HYPERLINK("http://www.degruyter.com/isbn/9780748641376")</f>
        <v>http://www.degruyter.com/isbn/9780748641376</v>
      </c>
      <c r="AI1438" t="s">
        <v>68</v>
      </c>
      <c r="AL1438" t="s">
        <v>83</v>
      </c>
      <c r="AM1438">
        <v>1</v>
      </c>
      <c r="AN1438" s="2">
        <v>9780748638697</v>
      </c>
    </row>
    <row r="1439" spans="1:40" x14ac:dyDescent="0.3">
      <c r="A1439" t="s">
        <v>7066</v>
      </c>
      <c r="B1439" t="s">
        <v>1</v>
      </c>
      <c r="C1439" t="s">
        <v>7067</v>
      </c>
      <c r="E1439" t="s">
        <v>7068</v>
      </c>
      <c r="F1439" t="s">
        <v>5</v>
      </c>
      <c r="G1439" t="s">
        <v>6</v>
      </c>
      <c r="L1439" t="s">
        <v>7</v>
      </c>
      <c r="M1439">
        <v>1999</v>
      </c>
      <c r="N1439" s="1">
        <v>44719</v>
      </c>
      <c r="O1439" t="s">
        <v>7069</v>
      </c>
      <c r="P1439">
        <v>1</v>
      </c>
      <c r="S1439">
        <v>339.95</v>
      </c>
      <c r="T1439">
        <v>390</v>
      </c>
      <c r="U1439">
        <v>300</v>
      </c>
      <c r="V1439" t="s">
        <v>58</v>
      </c>
      <c r="W1439" t="s">
        <v>59</v>
      </c>
      <c r="X1439" t="s">
        <v>60</v>
      </c>
      <c r="Y1439" t="s">
        <v>145</v>
      </c>
      <c r="AF1439" t="s">
        <v>13</v>
      </c>
      <c r="AG1439" t="str">
        <f>HYPERLINK("https://doi.org/10.1515/9781474400534")</f>
        <v>https://doi.org/10.1515/9781474400534</v>
      </c>
      <c r="AH1439" t="str">
        <f>HYPERLINK("http://www.degruyter.com/isbn/9781474400534")</f>
        <v>http://www.degruyter.com/isbn/9781474400534</v>
      </c>
      <c r="AI1439" t="s">
        <v>24</v>
      </c>
      <c r="AJ1439" t="s">
        <v>35</v>
      </c>
      <c r="AL1439" t="s">
        <v>155</v>
      </c>
      <c r="AM1439">
        <v>1</v>
      </c>
      <c r="AN1439" s="2">
        <v>9780748611973</v>
      </c>
    </row>
    <row r="1440" spans="1:40" x14ac:dyDescent="0.3">
      <c r="A1440" t="s">
        <v>7070</v>
      </c>
      <c r="B1440" t="s">
        <v>1</v>
      </c>
      <c r="C1440" t="s">
        <v>7071</v>
      </c>
      <c r="D1440" t="s">
        <v>7072</v>
      </c>
      <c r="E1440" t="s">
        <v>7073</v>
      </c>
      <c r="F1440" t="s">
        <v>5</v>
      </c>
      <c r="G1440" t="s">
        <v>6</v>
      </c>
      <c r="L1440" t="s">
        <v>7</v>
      </c>
      <c r="M1440">
        <v>2019</v>
      </c>
      <c r="N1440" s="1">
        <v>44644</v>
      </c>
      <c r="O1440" t="s">
        <v>7074</v>
      </c>
      <c r="P1440">
        <v>1</v>
      </c>
      <c r="S1440">
        <v>217.95</v>
      </c>
      <c r="T1440">
        <v>250</v>
      </c>
      <c r="U1440">
        <v>190</v>
      </c>
      <c r="V1440" t="s">
        <v>1325</v>
      </c>
      <c r="W1440" t="s">
        <v>5954</v>
      </c>
      <c r="X1440" t="s">
        <v>5954</v>
      </c>
      <c r="Y1440" t="s">
        <v>7075</v>
      </c>
      <c r="AF1440" t="s">
        <v>13</v>
      </c>
      <c r="AG1440" t="str">
        <f>HYPERLINK("https://doi.org/10.1515/9781474446402?locatt=mode:legacy")</f>
        <v>https://doi.org/10.1515/9781474446402?locatt=mode:legacy</v>
      </c>
      <c r="AH1440" t="str">
        <f>HYPERLINK("http://www.degruyter.com/isbn/9781474446402")</f>
        <v>http://www.degruyter.com/isbn/9781474446402</v>
      </c>
      <c r="AI1440" t="s">
        <v>280</v>
      </c>
      <c r="AL1440" t="s">
        <v>1328</v>
      </c>
      <c r="AM1440">
        <v>1</v>
      </c>
      <c r="AN1440" s="2">
        <v>9781474446389</v>
      </c>
    </row>
    <row r="1441" spans="1:40" x14ac:dyDescent="0.3">
      <c r="A1441" t="s">
        <v>7076</v>
      </c>
      <c r="B1441" t="s">
        <v>1</v>
      </c>
      <c r="C1441" t="s">
        <v>7077</v>
      </c>
      <c r="D1441" t="s">
        <v>7078</v>
      </c>
      <c r="E1441" t="s">
        <v>7079</v>
      </c>
      <c r="F1441" t="s">
        <v>5</v>
      </c>
      <c r="G1441" t="s">
        <v>6</v>
      </c>
      <c r="L1441" t="s">
        <v>7</v>
      </c>
      <c r="M1441">
        <v>2009</v>
      </c>
      <c r="N1441" s="1">
        <v>40071</v>
      </c>
      <c r="O1441" t="s">
        <v>7080</v>
      </c>
      <c r="P1441">
        <v>1</v>
      </c>
      <c r="S1441">
        <v>217.95</v>
      </c>
      <c r="T1441">
        <v>250</v>
      </c>
      <c r="U1441">
        <v>190</v>
      </c>
      <c r="V1441" t="s">
        <v>58</v>
      </c>
      <c r="W1441" t="s">
        <v>59</v>
      </c>
      <c r="X1441" t="s">
        <v>60</v>
      </c>
      <c r="Y1441" t="s">
        <v>1669</v>
      </c>
      <c r="AF1441" t="s">
        <v>13</v>
      </c>
      <c r="AG1441" t="str">
        <f>HYPERLINK("https://doi.org/10.1515/9780748628513")</f>
        <v>https://doi.org/10.1515/9780748628513</v>
      </c>
      <c r="AH1441" t="str">
        <f>HYPERLINK("http://www.degruyter.com/isbn/9780748628513")</f>
        <v>http://www.degruyter.com/isbn/9780748628513</v>
      </c>
      <c r="AI1441" t="s">
        <v>68</v>
      </c>
      <c r="AL1441" t="s">
        <v>62</v>
      </c>
      <c r="AM1441">
        <v>1</v>
      </c>
      <c r="AN1441" s="2">
        <v>9780748615599</v>
      </c>
    </row>
    <row r="1442" spans="1:40" x14ac:dyDescent="0.3">
      <c r="A1442" t="s">
        <v>7081</v>
      </c>
      <c r="B1442" t="s">
        <v>1</v>
      </c>
      <c r="C1442" t="s">
        <v>7082</v>
      </c>
      <c r="D1442" t="s">
        <v>7083</v>
      </c>
      <c r="E1442" t="s">
        <v>7084</v>
      </c>
      <c r="F1442" t="s">
        <v>5</v>
      </c>
      <c r="G1442" t="s">
        <v>6</v>
      </c>
      <c r="L1442" t="s">
        <v>7</v>
      </c>
      <c r="M1442">
        <v>2019</v>
      </c>
      <c r="N1442" s="1">
        <v>44644</v>
      </c>
      <c r="O1442" t="s">
        <v>7085</v>
      </c>
      <c r="P1442">
        <v>1</v>
      </c>
      <c r="Q1442" t="s">
        <v>7086</v>
      </c>
      <c r="S1442">
        <v>217.95</v>
      </c>
      <c r="T1442">
        <v>250</v>
      </c>
      <c r="U1442">
        <v>190</v>
      </c>
      <c r="V1442" t="s">
        <v>20</v>
      </c>
      <c r="W1442" t="s">
        <v>556</v>
      </c>
      <c r="X1442" t="s">
        <v>1540</v>
      </c>
      <c r="Y1442" t="s">
        <v>2459</v>
      </c>
      <c r="AF1442" t="s">
        <v>13</v>
      </c>
      <c r="AG1442" t="str">
        <f>HYPERLINK("https://doi.org/10.1515/9781474445269?locatt=mode:legacy")</f>
        <v>https://doi.org/10.1515/9781474445269?locatt=mode:legacy</v>
      </c>
      <c r="AH1442" t="str">
        <f>HYPERLINK("http://www.degruyter.com/isbn/9781474445269")</f>
        <v>http://www.degruyter.com/isbn/9781474445269</v>
      </c>
      <c r="AI1442" t="s">
        <v>280</v>
      </c>
      <c r="AL1442" t="s">
        <v>15</v>
      </c>
      <c r="AM1442">
        <v>1</v>
      </c>
      <c r="AN1442" s="2">
        <v>9781474445245</v>
      </c>
    </row>
    <row r="1443" spans="1:40" x14ac:dyDescent="0.3">
      <c r="A1443" t="s">
        <v>7087</v>
      </c>
      <c r="B1443" t="s">
        <v>1</v>
      </c>
      <c r="C1443" t="s">
        <v>7088</v>
      </c>
      <c r="E1443" t="s">
        <v>7089</v>
      </c>
      <c r="F1443" t="s">
        <v>5</v>
      </c>
      <c r="G1443" t="s">
        <v>6</v>
      </c>
      <c r="L1443" t="s">
        <v>7</v>
      </c>
      <c r="M1443">
        <v>2011</v>
      </c>
      <c r="N1443" s="1">
        <v>40597</v>
      </c>
      <c r="O1443" t="s">
        <v>7090</v>
      </c>
      <c r="P1443">
        <v>1</v>
      </c>
      <c r="S1443">
        <v>217.95</v>
      </c>
      <c r="T1443">
        <v>250</v>
      </c>
      <c r="U1443">
        <v>190</v>
      </c>
      <c r="V1443" t="s">
        <v>42</v>
      </c>
      <c r="W1443" t="s">
        <v>107</v>
      </c>
      <c r="X1443" t="s">
        <v>108</v>
      </c>
      <c r="Y1443" t="s">
        <v>221</v>
      </c>
      <c r="AF1443" t="s">
        <v>13</v>
      </c>
      <c r="AG1443" t="str">
        <f>HYPERLINK("https://doi.org/10.1515/9780748645466?locatt=mode:legacy")</f>
        <v>https://doi.org/10.1515/9780748645466?locatt=mode:legacy</v>
      </c>
      <c r="AH1443" t="str">
        <f>HYPERLINK("http://www.degruyter.com/isbn/9780748645466")</f>
        <v>http://www.degruyter.com/isbn/9780748645466</v>
      </c>
      <c r="AI1443" t="s">
        <v>68</v>
      </c>
      <c r="AL1443" t="s">
        <v>47</v>
      </c>
      <c r="AM1443">
        <v>1</v>
      </c>
      <c r="AN1443" s="2">
        <v>9780748641185</v>
      </c>
    </row>
    <row r="1444" spans="1:40" x14ac:dyDescent="0.3">
      <c r="A1444" t="s">
        <v>7091</v>
      </c>
      <c r="B1444" t="s">
        <v>1</v>
      </c>
      <c r="C1444" t="s">
        <v>7092</v>
      </c>
      <c r="E1444" t="s">
        <v>7093</v>
      </c>
      <c r="F1444" t="s">
        <v>5</v>
      </c>
      <c r="G1444" t="s">
        <v>6</v>
      </c>
      <c r="L1444" t="s">
        <v>7</v>
      </c>
      <c r="M1444">
        <v>2016</v>
      </c>
      <c r="N1444" s="1">
        <v>42473</v>
      </c>
      <c r="O1444" t="s">
        <v>7094</v>
      </c>
      <c r="P1444">
        <v>1</v>
      </c>
      <c r="Q1444" t="s">
        <v>7095</v>
      </c>
      <c r="S1444">
        <v>227.95</v>
      </c>
      <c r="T1444">
        <v>260</v>
      </c>
      <c r="U1444">
        <v>200</v>
      </c>
      <c r="V1444" t="s">
        <v>305</v>
      </c>
      <c r="W1444" t="s">
        <v>650</v>
      </c>
      <c r="X1444" t="s">
        <v>650</v>
      </c>
      <c r="Y1444" t="s">
        <v>651</v>
      </c>
      <c r="AF1444" t="s">
        <v>13</v>
      </c>
      <c r="AG1444" t="str">
        <f>HYPERLINK("https://doi.org/10.1515/9781474407502")</f>
        <v>https://doi.org/10.1515/9781474407502</v>
      </c>
      <c r="AH1444" t="str">
        <f>HYPERLINK("http://www.degruyter.com/isbn/9781474407502")</f>
        <v>http://www.degruyter.com/isbn/9781474407502</v>
      </c>
      <c r="AI1444" t="s">
        <v>180</v>
      </c>
      <c r="AL1444" t="s">
        <v>308</v>
      </c>
      <c r="AM1444">
        <v>1</v>
      </c>
      <c r="AN1444" s="2">
        <v>9781474407496</v>
      </c>
    </row>
    <row r="1445" spans="1:40" x14ac:dyDescent="0.3">
      <c r="A1445" t="s">
        <v>7096</v>
      </c>
      <c r="B1445" t="s">
        <v>1</v>
      </c>
      <c r="C1445" t="s">
        <v>7097</v>
      </c>
      <c r="D1445" t="s">
        <v>7098</v>
      </c>
      <c r="E1445" t="s">
        <v>7099</v>
      </c>
      <c r="F1445" t="s">
        <v>5</v>
      </c>
      <c r="G1445" t="s">
        <v>6</v>
      </c>
      <c r="K1445" t="s">
        <v>7100</v>
      </c>
      <c r="L1445" t="s">
        <v>7</v>
      </c>
      <c r="M1445">
        <v>2020</v>
      </c>
      <c r="N1445" s="1">
        <v>44656</v>
      </c>
      <c r="O1445" t="s">
        <v>7101</v>
      </c>
      <c r="P1445">
        <v>1</v>
      </c>
      <c r="Q1445" t="s">
        <v>7102</v>
      </c>
      <c r="V1445" t="s">
        <v>20</v>
      </c>
      <c r="W1445" t="s">
        <v>21</v>
      </c>
      <c r="X1445" t="s">
        <v>458</v>
      </c>
      <c r="Y1445" t="s">
        <v>5235</v>
      </c>
      <c r="AF1445" t="s">
        <v>13</v>
      </c>
      <c r="AG1445" t="str">
        <f>HYPERLINK("https://doi.org/10.1515/9781474447492?locatt=mode:legacy")</f>
        <v>https://doi.org/10.1515/9781474447492?locatt=mode:legacy</v>
      </c>
      <c r="AH1445" t="str">
        <f>HYPERLINK("http://www.degruyter.com/isbn/9781474447492")</f>
        <v>http://www.degruyter.com/isbn/9781474447492</v>
      </c>
      <c r="AI1445" t="s">
        <v>14</v>
      </c>
      <c r="AM1445">
        <v>1</v>
      </c>
      <c r="AN1445" s="2">
        <v>9781474447461</v>
      </c>
    </row>
    <row r="1446" spans="1:40" x14ac:dyDescent="0.3">
      <c r="A1446" t="s">
        <v>7103</v>
      </c>
      <c r="B1446" t="s">
        <v>1</v>
      </c>
      <c r="C1446" t="s">
        <v>7104</v>
      </c>
      <c r="D1446" t="s">
        <v>7105</v>
      </c>
      <c r="E1446" t="s">
        <v>7106</v>
      </c>
      <c r="F1446" t="s">
        <v>5</v>
      </c>
      <c r="G1446" t="s">
        <v>6</v>
      </c>
      <c r="L1446" t="s">
        <v>7</v>
      </c>
      <c r="M1446">
        <v>1999</v>
      </c>
      <c r="N1446" s="1">
        <v>44599</v>
      </c>
      <c r="O1446" t="s">
        <v>7107</v>
      </c>
      <c r="P1446">
        <v>1</v>
      </c>
      <c r="S1446">
        <v>243.95</v>
      </c>
      <c r="T1446">
        <v>280</v>
      </c>
      <c r="U1446">
        <v>210</v>
      </c>
      <c r="V1446" t="s">
        <v>79</v>
      </c>
      <c r="W1446" t="s">
        <v>209</v>
      </c>
      <c r="X1446" t="s">
        <v>209</v>
      </c>
      <c r="Y1446" t="s">
        <v>510</v>
      </c>
      <c r="AF1446" t="s">
        <v>13</v>
      </c>
      <c r="AG1446" t="str">
        <f>HYPERLINK("https://doi.org/10.1515/9781474473408")</f>
        <v>https://doi.org/10.1515/9781474473408</v>
      </c>
      <c r="AH1446" t="str">
        <f>HYPERLINK("http://www.degruyter.com/isbn/9781474473408")</f>
        <v>http://www.degruyter.com/isbn/9781474473408</v>
      </c>
      <c r="AI1446" t="s">
        <v>24</v>
      </c>
      <c r="AL1446" t="s">
        <v>83</v>
      </c>
      <c r="AM1446">
        <v>1</v>
      </c>
      <c r="AN1446" s="2">
        <v>9780748610938</v>
      </c>
    </row>
    <row r="1447" spans="1:40" x14ac:dyDescent="0.3">
      <c r="A1447" t="s">
        <v>7108</v>
      </c>
      <c r="B1447" t="s">
        <v>1</v>
      </c>
      <c r="C1447" t="s">
        <v>7109</v>
      </c>
      <c r="E1447" t="s">
        <v>7110</v>
      </c>
      <c r="F1447" t="s">
        <v>5</v>
      </c>
      <c r="G1447" t="s">
        <v>6</v>
      </c>
      <c r="L1447" t="s">
        <v>7</v>
      </c>
      <c r="M1447">
        <v>2010</v>
      </c>
      <c r="N1447" s="1">
        <v>40482</v>
      </c>
      <c r="O1447" t="s">
        <v>7111</v>
      </c>
      <c r="P1447">
        <v>1</v>
      </c>
      <c r="Q1447" t="s">
        <v>6659</v>
      </c>
      <c r="S1447">
        <v>243.95</v>
      </c>
      <c r="T1447">
        <v>280</v>
      </c>
      <c r="U1447">
        <v>210</v>
      </c>
      <c r="V1447" t="s">
        <v>268</v>
      </c>
      <c r="W1447" t="s">
        <v>269</v>
      </c>
      <c r="X1447" t="s">
        <v>269</v>
      </c>
      <c r="Y1447" t="s">
        <v>7112</v>
      </c>
      <c r="AF1447" t="s">
        <v>13</v>
      </c>
      <c r="AG1447" t="str">
        <f>HYPERLINK("https://doi.org/10.1515/9780748679294?locatt=mode:legacy")</f>
        <v>https://doi.org/10.1515/9780748679294?locatt=mode:legacy</v>
      </c>
      <c r="AH1447" t="str">
        <f>HYPERLINK("http://www.degruyter.com/isbn/9780748679294")</f>
        <v>http://www.degruyter.com/isbn/9780748679294</v>
      </c>
      <c r="AI1447" t="s">
        <v>1003</v>
      </c>
      <c r="AL1447" t="s">
        <v>272</v>
      </c>
      <c r="AM1447">
        <v>1</v>
      </c>
      <c r="AN1447" s="2">
        <v>9780748640706</v>
      </c>
    </row>
    <row r="1448" spans="1:40" x14ac:dyDescent="0.3">
      <c r="A1448" t="s">
        <v>7113</v>
      </c>
      <c r="B1448" t="s">
        <v>1</v>
      </c>
      <c r="C1448" t="s">
        <v>7114</v>
      </c>
      <c r="E1448" t="s">
        <v>7115</v>
      </c>
      <c r="F1448" t="s">
        <v>5</v>
      </c>
      <c r="G1448" t="s">
        <v>6</v>
      </c>
      <c r="L1448" t="s">
        <v>7</v>
      </c>
      <c r="M1448">
        <v>2018</v>
      </c>
      <c r="N1448" s="1">
        <v>44656</v>
      </c>
      <c r="O1448" t="s">
        <v>7116</v>
      </c>
      <c r="P1448">
        <v>1</v>
      </c>
      <c r="S1448">
        <v>487.95</v>
      </c>
      <c r="T1448">
        <v>560</v>
      </c>
      <c r="U1448">
        <v>430</v>
      </c>
      <c r="V1448" t="s">
        <v>58</v>
      </c>
      <c r="W1448" t="s">
        <v>59</v>
      </c>
      <c r="X1448" t="s">
        <v>60</v>
      </c>
      <c r="Y1448" t="s">
        <v>169</v>
      </c>
      <c r="AF1448" t="s">
        <v>13</v>
      </c>
      <c r="AG1448" t="str">
        <f>HYPERLINK("https://doi.org/10.1515/9781474423298")</f>
        <v>https://doi.org/10.1515/9781474423298</v>
      </c>
      <c r="AH1448" t="str">
        <f>HYPERLINK("http://www.degruyter.com/isbn/9781474423298")</f>
        <v>http://www.degruyter.com/isbn/9781474423298</v>
      </c>
      <c r="AI1448" t="s">
        <v>46</v>
      </c>
      <c r="AL1448" t="s">
        <v>62</v>
      </c>
      <c r="AM1448">
        <v>1</v>
      </c>
      <c r="AN1448" s="2">
        <v>9781474423281</v>
      </c>
    </row>
    <row r="1449" spans="1:40" x14ac:dyDescent="0.3">
      <c r="A1449" t="s">
        <v>7117</v>
      </c>
      <c r="B1449" t="s">
        <v>1</v>
      </c>
      <c r="C1449" t="s">
        <v>7118</v>
      </c>
      <c r="D1449" t="s">
        <v>7119</v>
      </c>
      <c r="E1449" t="s">
        <v>7120</v>
      </c>
      <c r="F1449" t="s">
        <v>5</v>
      </c>
      <c r="G1449" t="s">
        <v>6</v>
      </c>
      <c r="L1449" t="s">
        <v>7</v>
      </c>
      <c r="M1449">
        <v>2006</v>
      </c>
      <c r="N1449" s="1">
        <v>38856</v>
      </c>
      <c r="O1449" t="s">
        <v>7121</v>
      </c>
      <c r="P1449">
        <v>1</v>
      </c>
      <c r="S1449">
        <v>287.95</v>
      </c>
      <c r="T1449">
        <v>330</v>
      </c>
      <c r="U1449">
        <v>250</v>
      </c>
      <c r="V1449" t="s">
        <v>20</v>
      </c>
      <c r="W1449" t="s">
        <v>21</v>
      </c>
      <c r="X1449" t="s">
        <v>22</v>
      </c>
      <c r="Y1449" t="s">
        <v>23</v>
      </c>
      <c r="AF1449" t="s">
        <v>13</v>
      </c>
      <c r="AG1449" t="str">
        <f>HYPERLINK("https://doi.org/10.1515/9780748626878")</f>
        <v>https://doi.org/10.1515/9780748626878</v>
      </c>
      <c r="AH1449" t="str">
        <f>HYPERLINK("http://www.degruyter.com/isbn/9780748626878")</f>
        <v>http://www.degruyter.com/isbn/9780748626878</v>
      </c>
      <c r="AI1449" t="s">
        <v>68</v>
      </c>
      <c r="AL1449" t="s">
        <v>15</v>
      </c>
      <c r="AM1449">
        <v>1</v>
      </c>
      <c r="AN1449" s="2">
        <v>9780748624263</v>
      </c>
    </row>
    <row r="1450" spans="1:40" x14ac:dyDescent="0.3">
      <c r="A1450" t="s">
        <v>7122</v>
      </c>
      <c r="B1450" t="s">
        <v>1</v>
      </c>
      <c r="C1450" t="s">
        <v>7123</v>
      </c>
      <c r="D1450" t="s">
        <v>7124</v>
      </c>
      <c r="E1450" t="s">
        <v>7125</v>
      </c>
      <c r="F1450" t="s">
        <v>5</v>
      </c>
      <c r="G1450" t="s">
        <v>6</v>
      </c>
      <c r="L1450" t="s">
        <v>7</v>
      </c>
      <c r="M1450">
        <v>2020</v>
      </c>
      <c r="N1450" s="1">
        <v>44644</v>
      </c>
      <c r="O1450" t="s">
        <v>7126</v>
      </c>
      <c r="P1450">
        <v>1</v>
      </c>
      <c r="S1450">
        <v>253.95</v>
      </c>
      <c r="T1450">
        <v>290</v>
      </c>
      <c r="U1450">
        <v>220</v>
      </c>
      <c r="V1450" t="s">
        <v>20</v>
      </c>
      <c r="W1450" t="s">
        <v>21</v>
      </c>
      <c r="X1450" t="s">
        <v>839</v>
      </c>
      <c r="Y1450" t="s">
        <v>1475</v>
      </c>
      <c r="AF1450" t="s">
        <v>13</v>
      </c>
      <c r="AG1450" t="str">
        <f>HYPERLINK("https://doi.org/10.1515/9781474436090")</f>
        <v>https://doi.org/10.1515/9781474436090</v>
      </c>
      <c r="AH1450" t="str">
        <f>HYPERLINK("http://www.degruyter.com/isbn/9781474436090")</f>
        <v>http://www.degruyter.com/isbn/9781474436090</v>
      </c>
      <c r="AI1450" t="s">
        <v>14</v>
      </c>
      <c r="AL1450" t="s">
        <v>15</v>
      </c>
      <c r="AM1450">
        <v>1</v>
      </c>
      <c r="AN1450" s="2">
        <v>9781474436076</v>
      </c>
    </row>
    <row r="1451" spans="1:40" x14ac:dyDescent="0.3">
      <c r="A1451" t="s">
        <v>7127</v>
      </c>
      <c r="B1451" t="s">
        <v>1</v>
      </c>
      <c r="C1451" t="s">
        <v>7128</v>
      </c>
      <c r="D1451" t="s">
        <v>7129</v>
      </c>
      <c r="E1451" t="s">
        <v>7130</v>
      </c>
      <c r="F1451" t="s">
        <v>5</v>
      </c>
      <c r="G1451" t="s">
        <v>6</v>
      </c>
      <c r="L1451" t="s">
        <v>7</v>
      </c>
      <c r="M1451">
        <v>2018</v>
      </c>
      <c r="N1451" s="1">
        <v>44644</v>
      </c>
      <c r="O1451" t="s">
        <v>7131</v>
      </c>
      <c r="P1451">
        <v>1</v>
      </c>
      <c r="S1451">
        <v>253.95</v>
      </c>
      <c r="T1451">
        <v>290</v>
      </c>
      <c r="U1451">
        <v>220</v>
      </c>
      <c r="V1451" t="s">
        <v>20</v>
      </c>
      <c r="W1451" t="s">
        <v>21</v>
      </c>
      <c r="X1451" t="s">
        <v>458</v>
      </c>
      <c r="Y1451" t="s">
        <v>459</v>
      </c>
      <c r="AF1451" t="s">
        <v>13</v>
      </c>
      <c r="AG1451" t="str">
        <f>HYPERLINK("https://www.degruyter.com/isbn/9781474431057")</f>
        <v>https://www.degruyter.com/isbn/9781474431057</v>
      </c>
      <c r="AH1451" t="str">
        <f>HYPERLINK("http://www.degruyter.com/isbn/9781474431057")</f>
        <v>http://www.degruyter.com/isbn/9781474431057</v>
      </c>
      <c r="AI1451" t="s">
        <v>46</v>
      </c>
      <c r="AL1451" t="s">
        <v>15</v>
      </c>
      <c r="AM1451">
        <v>1</v>
      </c>
      <c r="AN1451" s="2">
        <v>9781474431033</v>
      </c>
    </row>
    <row r="1452" spans="1:40" x14ac:dyDescent="0.3">
      <c r="A1452" t="s">
        <v>7132</v>
      </c>
      <c r="B1452" t="s">
        <v>1</v>
      </c>
      <c r="C1452" t="s">
        <v>7133</v>
      </c>
      <c r="E1452" t="s">
        <v>7134</v>
      </c>
      <c r="F1452" t="s">
        <v>5</v>
      </c>
      <c r="G1452" t="s">
        <v>6</v>
      </c>
      <c r="L1452" t="s">
        <v>7</v>
      </c>
      <c r="M1452">
        <v>2008</v>
      </c>
      <c r="N1452" s="1">
        <v>39588</v>
      </c>
      <c r="O1452" t="s">
        <v>7135</v>
      </c>
      <c r="P1452">
        <v>1</v>
      </c>
      <c r="Q1452" t="s">
        <v>6418</v>
      </c>
      <c r="S1452">
        <v>253.95</v>
      </c>
      <c r="T1452">
        <v>290</v>
      </c>
      <c r="U1452">
        <v>220</v>
      </c>
      <c r="V1452" t="s">
        <v>79</v>
      </c>
      <c r="W1452" t="s">
        <v>123</v>
      </c>
      <c r="X1452" t="s">
        <v>123</v>
      </c>
      <c r="Y1452" t="s">
        <v>124</v>
      </c>
      <c r="AF1452" t="s">
        <v>13</v>
      </c>
      <c r="AG1452" t="str">
        <f>HYPERLINK("https://doi.org/10.1515/9780748631964?locatt=mode:legacy")</f>
        <v>https://doi.org/10.1515/9780748631964?locatt=mode:legacy</v>
      </c>
      <c r="AH1452" t="str">
        <f>HYPERLINK("http://www.degruyter.com/isbn/9780748631964")</f>
        <v>http://www.degruyter.com/isbn/9780748631964</v>
      </c>
      <c r="AI1452" t="s">
        <v>68</v>
      </c>
      <c r="AL1452" t="s">
        <v>83</v>
      </c>
      <c r="AM1452">
        <v>1</v>
      </c>
      <c r="AN1452" s="2">
        <v>9780748632879</v>
      </c>
    </row>
    <row r="1453" spans="1:40" x14ac:dyDescent="0.3">
      <c r="A1453" t="s">
        <v>7136</v>
      </c>
      <c r="B1453" t="s">
        <v>1</v>
      </c>
      <c r="C1453" t="s">
        <v>7137</v>
      </c>
      <c r="D1453" t="s">
        <v>7138</v>
      </c>
      <c r="E1453" t="s">
        <v>7139</v>
      </c>
      <c r="F1453" t="s">
        <v>5</v>
      </c>
      <c r="G1453" t="s">
        <v>6</v>
      </c>
      <c r="L1453" t="s">
        <v>7</v>
      </c>
      <c r="M1453">
        <v>2017</v>
      </c>
      <c r="N1453" s="1">
        <v>42986</v>
      </c>
      <c r="O1453" t="s">
        <v>7140</v>
      </c>
      <c r="P1453">
        <v>1</v>
      </c>
      <c r="S1453">
        <v>217.95</v>
      </c>
      <c r="T1453">
        <v>250</v>
      </c>
      <c r="U1453">
        <v>190</v>
      </c>
      <c r="V1453" t="s">
        <v>20</v>
      </c>
      <c r="W1453" t="s">
        <v>21</v>
      </c>
      <c r="X1453" t="s">
        <v>22</v>
      </c>
      <c r="Y1453" t="s">
        <v>23</v>
      </c>
      <c r="AF1453" t="s">
        <v>13</v>
      </c>
      <c r="AG1453" t="str">
        <f>HYPERLINK("https://doi.org/10.1515/9781474427258?locatt=mode:legacy")</f>
        <v>https://doi.org/10.1515/9781474427258?locatt=mode:legacy</v>
      </c>
      <c r="AH1453" t="str">
        <f>HYPERLINK("http://www.degruyter.com/isbn/9781474427258")</f>
        <v>http://www.degruyter.com/isbn/9781474427258</v>
      </c>
      <c r="AI1453" t="s">
        <v>222</v>
      </c>
      <c r="AL1453" t="s">
        <v>15</v>
      </c>
      <c r="AM1453">
        <v>1</v>
      </c>
      <c r="AN1453" s="2">
        <v>9781474427234</v>
      </c>
    </row>
    <row r="1454" spans="1:40" x14ac:dyDescent="0.3">
      <c r="A1454" t="s">
        <v>7141</v>
      </c>
      <c r="B1454" t="s">
        <v>1</v>
      </c>
      <c r="C1454" t="s">
        <v>7142</v>
      </c>
      <c r="E1454" t="s">
        <v>7143</v>
      </c>
      <c r="F1454" t="s">
        <v>5</v>
      </c>
      <c r="G1454" t="s">
        <v>6</v>
      </c>
      <c r="L1454" t="s">
        <v>7</v>
      </c>
      <c r="M1454">
        <v>2008</v>
      </c>
      <c r="N1454" s="1">
        <v>39580</v>
      </c>
      <c r="O1454" t="s">
        <v>7144</v>
      </c>
      <c r="P1454">
        <v>1</v>
      </c>
      <c r="S1454">
        <v>253.95</v>
      </c>
      <c r="T1454">
        <v>290</v>
      </c>
      <c r="U1454">
        <v>220</v>
      </c>
      <c r="V1454" t="s">
        <v>58</v>
      </c>
      <c r="W1454" t="s">
        <v>59</v>
      </c>
      <c r="X1454" t="s">
        <v>60</v>
      </c>
      <c r="Y1454" t="s">
        <v>61</v>
      </c>
      <c r="AF1454" t="s">
        <v>13</v>
      </c>
      <c r="AG1454" t="str">
        <f>HYPERLINK("https://doi.org/10.1515/9780748633432?locatt=mode:legacy")</f>
        <v>https://doi.org/10.1515/9780748633432?locatt=mode:legacy</v>
      </c>
      <c r="AH1454" t="str">
        <f>HYPERLINK("http://www.degruyter.com/isbn/9780748633432")</f>
        <v>http://www.degruyter.com/isbn/9780748633432</v>
      </c>
      <c r="AI1454" t="s">
        <v>68</v>
      </c>
      <c r="AL1454" t="s">
        <v>62</v>
      </c>
      <c r="AM1454">
        <v>1</v>
      </c>
      <c r="AN1454" s="2">
        <v>9780748633418</v>
      </c>
    </row>
    <row r="1455" spans="1:40" x14ac:dyDescent="0.3">
      <c r="A1455" t="s">
        <v>7145</v>
      </c>
      <c r="B1455" t="s">
        <v>1</v>
      </c>
      <c r="C1455" t="s">
        <v>7146</v>
      </c>
      <c r="E1455" t="s">
        <v>7147</v>
      </c>
      <c r="F1455" t="s">
        <v>5</v>
      </c>
      <c r="G1455" t="s">
        <v>6</v>
      </c>
      <c r="L1455" t="s">
        <v>7</v>
      </c>
      <c r="M1455">
        <v>2015</v>
      </c>
      <c r="N1455" s="1">
        <v>42172</v>
      </c>
      <c r="O1455" t="s">
        <v>7148</v>
      </c>
      <c r="P1455">
        <v>1</v>
      </c>
      <c r="Q1455" t="s">
        <v>6659</v>
      </c>
      <c r="S1455">
        <v>227.95</v>
      </c>
      <c r="T1455">
        <v>260</v>
      </c>
      <c r="U1455">
        <v>200</v>
      </c>
      <c r="V1455" t="s">
        <v>268</v>
      </c>
      <c r="W1455" t="s">
        <v>269</v>
      </c>
      <c r="X1455" t="s">
        <v>269</v>
      </c>
      <c r="Y1455" t="s">
        <v>270</v>
      </c>
      <c r="AF1455" t="s">
        <v>13</v>
      </c>
      <c r="AG1455" t="str">
        <f>HYPERLINK("https://doi.org/10.1515/9780748697755?locatt=mode:legacy")</f>
        <v>https://doi.org/10.1515/9780748697755?locatt=mode:legacy</v>
      </c>
      <c r="AH1455" t="str">
        <f>HYPERLINK("http://www.degruyter.com/isbn/9780748697755")</f>
        <v>http://www.degruyter.com/isbn/9780748697755</v>
      </c>
      <c r="AI1455" t="s">
        <v>3740</v>
      </c>
      <c r="AL1455" t="s">
        <v>272</v>
      </c>
      <c r="AM1455">
        <v>1</v>
      </c>
      <c r="AN1455" s="2">
        <v>9780748697748</v>
      </c>
    </row>
    <row r="1456" spans="1:40" x14ac:dyDescent="0.3">
      <c r="A1456" t="s">
        <v>7149</v>
      </c>
      <c r="B1456" t="s">
        <v>1</v>
      </c>
      <c r="C1456" t="s">
        <v>7150</v>
      </c>
      <c r="E1456" t="s">
        <v>7151</v>
      </c>
      <c r="F1456" t="s">
        <v>5</v>
      </c>
      <c r="G1456" t="s">
        <v>6</v>
      </c>
      <c r="L1456" t="s">
        <v>7</v>
      </c>
      <c r="M1456">
        <v>2015</v>
      </c>
      <c r="N1456" s="1">
        <v>42158</v>
      </c>
      <c r="O1456" t="s">
        <v>7152</v>
      </c>
      <c r="P1456">
        <v>1</v>
      </c>
      <c r="Q1456" t="s">
        <v>6993</v>
      </c>
      <c r="S1456">
        <v>227.95</v>
      </c>
      <c r="T1456">
        <v>260</v>
      </c>
      <c r="U1456">
        <v>200</v>
      </c>
      <c r="V1456" t="s">
        <v>98</v>
      </c>
      <c r="W1456" t="s">
        <v>99</v>
      </c>
      <c r="X1456" t="s">
        <v>100</v>
      </c>
      <c r="Y1456" t="s">
        <v>937</v>
      </c>
      <c r="AF1456" t="s">
        <v>13</v>
      </c>
      <c r="AG1456" t="str">
        <f>HYPERLINK("https://doi.org/10.1515/9780748691371")</f>
        <v>https://doi.org/10.1515/9780748691371</v>
      </c>
      <c r="AH1456" t="str">
        <f>HYPERLINK("http://www.degruyter.com/isbn/9780748691371")</f>
        <v>http://www.degruyter.com/isbn/9780748691371</v>
      </c>
      <c r="AI1456" t="s">
        <v>34</v>
      </c>
      <c r="AL1456" t="s">
        <v>102</v>
      </c>
      <c r="AM1456">
        <v>1</v>
      </c>
      <c r="AN1456" s="2">
        <v>9780748691357</v>
      </c>
    </row>
    <row r="1457" spans="1:40" x14ac:dyDescent="0.3">
      <c r="A1457" t="s">
        <v>7153</v>
      </c>
      <c r="B1457" t="s">
        <v>1</v>
      </c>
      <c r="C1457" t="s">
        <v>7154</v>
      </c>
      <c r="D1457" t="s">
        <v>7155</v>
      </c>
      <c r="E1457" t="s">
        <v>7156</v>
      </c>
      <c r="F1457" t="s">
        <v>5</v>
      </c>
      <c r="G1457" t="s">
        <v>6</v>
      </c>
      <c r="L1457" t="s">
        <v>7</v>
      </c>
      <c r="M1457">
        <v>2020</v>
      </c>
      <c r="N1457" s="1">
        <v>44656</v>
      </c>
      <c r="O1457" t="s">
        <v>7157</v>
      </c>
      <c r="P1457">
        <v>1</v>
      </c>
      <c r="Q1457" t="s">
        <v>7158</v>
      </c>
      <c r="S1457">
        <v>279.95</v>
      </c>
      <c r="T1457">
        <v>320</v>
      </c>
      <c r="U1457">
        <v>240</v>
      </c>
      <c r="V1457" t="s">
        <v>20</v>
      </c>
      <c r="W1457" t="s">
        <v>21</v>
      </c>
      <c r="X1457" t="s">
        <v>22</v>
      </c>
      <c r="Y1457" t="s">
        <v>23</v>
      </c>
      <c r="AF1457" t="s">
        <v>13</v>
      </c>
      <c r="AG1457" t="str">
        <f>HYPERLINK("https://doi.org/10.1515/9781474446860")</f>
        <v>https://doi.org/10.1515/9781474446860</v>
      </c>
      <c r="AH1457" t="str">
        <f>HYPERLINK("http://www.degruyter.com/isbn/9781474446860")</f>
        <v>http://www.degruyter.com/isbn/9781474446860</v>
      </c>
      <c r="AI1457" t="s">
        <v>14</v>
      </c>
      <c r="AL1457" t="s">
        <v>15</v>
      </c>
      <c r="AM1457">
        <v>1</v>
      </c>
      <c r="AN1457" s="2">
        <v>9781474446846</v>
      </c>
    </row>
    <row r="1458" spans="1:40" x14ac:dyDescent="0.3">
      <c r="A1458" t="s">
        <v>7159</v>
      </c>
      <c r="B1458" t="s">
        <v>1</v>
      </c>
      <c r="C1458" t="s">
        <v>7160</v>
      </c>
      <c r="D1458" t="s">
        <v>7161</v>
      </c>
      <c r="E1458" t="s">
        <v>7162</v>
      </c>
      <c r="F1458" t="s">
        <v>5</v>
      </c>
      <c r="G1458" t="s">
        <v>6</v>
      </c>
      <c r="L1458" t="s">
        <v>7</v>
      </c>
      <c r="M1458">
        <v>2020</v>
      </c>
      <c r="N1458" s="1">
        <v>44656</v>
      </c>
      <c r="O1458" t="s">
        <v>7163</v>
      </c>
      <c r="P1458">
        <v>1</v>
      </c>
      <c r="Q1458" t="s">
        <v>7164</v>
      </c>
      <c r="S1458">
        <v>243.95</v>
      </c>
      <c r="T1458">
        <v>280</v>
      </c>
      <c r="U1458">
        <v>210</v>
      </c>
      <c r="V1458" t="s">
        <v>58</v>
      </c>
      <c r="W1458" t="s">
        <v>59</v>
      </c>
      <c r="X1458" t="s">
        <v>60</v>
      </c>
      <c r="Y1458" t="s">
        <v>5536</v>
      </c>
      <c r="AF1458" t="s">
        <v>13</v>
      </c>
      <c r="AG1458" t="str">
        <f>HYPERLINK("https://doi.org/10.1515/9781474454957")</f>
        <v>https://doi.org/10.1515/9781474454957</v>
      </c>
      <c r="AH1458" t="str">
        <f>HYPERLINK("http://www.degruyter.com/isbn/9781474454957")</f>
        <v>http://www.degruyter.com/isbn/9781474454957</v>
      </c>
      <c r="AI1458" t="s">
        <v>14</v>
      </c>
      <c r="AL1458" t="s">
        <v>62</v>
      </c>
      <c r="AM1458">
        <v>1</v>
      </c>
      <c r="AN1458" s="2">
        <v>9781474454933</v>
      </c>
    </row>
    <row r="1459" spans="1:40" x14ac:dyDescent="0.3">
      <c r="A1459" t="s">
        <v>7165</v>
      </c>
      <c r="B1459" t="s">
        <v>1</v>
      </c>
      <c r="C1459" t="s">
        <v>7166</v>
      </c>
      <c r="D1459" t="s">
        <v>7167</v>
      </c>
      <c r="E1459" t="s">
        <v>7168</v>
      </c>
      <c r="F1459" t="s">
        <v>5</v>
      </c>
      <c r="G1459" t="s">
        <v>6</v>
      </c>
      <c r="L1459" t="s">
        <v>7</v>
      </c>
      <c r="M1459">
        <v>2010</v>
      </c>
      <c r="N1459" s="1">
        <v>40434</v>
      </c>
      <c r="O1459" t="s">
        <v>7169</v>
      </c>
      <c r="P1459">
        <v>1</v>
      </c>
      <c r="S1459">
        <v>217.95</v>
      </c>
      <c r="T1459">
        <v>250</v>
      </c>
      <c r="U1459">
        <v>190</v>
      </c>
      <c r="V1459" t="s">
        <v>79</v>
      </c>
      <c r="W1459" t="s">
        <v>209</v>
      </c>
      <c r="X1459" t="s">
        <v>209</v>
      </c>
      <c r="Y1459" t="s">
        <v>510</v>
      </c>
      <c r="AF1459" t="s">
        <v>13</v>
      </c>
      <c r="AG1459" t="str">
        <f>HYPERLINK("https://doi.org/10.1515/9780748643295?locatt=mode:legacy")</f>
        <v>https://doi.org/10.1515/9780748643295?locatt=mode:legacy</v>
      </c>
      <c r="AH1459" t="str">
        <f>HYPERLINK("http://www.degruyter.com/isbn/9780748643295")</f>
        <v>http://www.degruyter.com/isbn/9780748643295</v>
      </c>
      <c r="AI1459" t="s">
        <v>68</v>
      </c>
      <c r="AL1459" t="s">
        <v>83</v>
      </c>
      <c r="AM1459">
        <v>1</v>
      </c>
      <c r="AN1459" s="2">
        <v>9780748638635</v>
      </c>
    </row>
    <row r="1460" spans="1:40" x14ac:dyDescent="0.3">
      <c r="A1460" t="s">
        <v>7170</v>
      </c>
      <c r="B1460" t="s">
        <v>1</v>
      </c>
      <c r="C1460" t="s">
        <v>7171</v>
      </c>
      <c r="E1460" t="s">
        <v>7172</v>
      </c>
      <c r="F1460" t="s">
        <v>5</v>
      </c>
      <c r="G1460" t="s">
        <v>6</v>
      </c>
      <c r="L1460" t="s">
        <v>7</v>
      </c>
      <c r="M1460">
        <v>2012</v>
      </c>
      <c r="N1460" s="1">
        <v>41003</v>
      </c>
      <c r="O1460" t="s">
        <v>7173</v>
      </c>
      <c r="P1460">
        <v>1</v>
      </c>
      <c r="Q1460" t="s">
        <v>7174</v>
      </c>
      <c r="S1460">
        <v>217.95</v>
      </c>
      <c r="T1460">
        <v>250</v>
      </c>
      <c r="U1460">
        <v>190</v>
      </c>
      <c r="V1460" t="s">
        <v>42</v>
      </c>
      <c r="W1460" t="s">
        <v>107</v>
      </c>
      <c r="X1460" t="s">
        <v>108</v>
      </c>
      <c r="Y1460" t="s">
        <v>221</v>
      </c>
      <c r="AF1460" t="s">
        <v>13</v>
      </c>
      <c r="AG1460" t="str">
        <f>HYPERLINK("https://doi.org/10.1515/9780748656233")</f>
        <v>https://doi.org/10.1515/9780748656233</v>
      </c>
      <c r="AH1460" t="str">
        <f>HYPERLINK("http://www.degruyter.com/isbn/9780748656233")</f>
        <v>http://www.degruyter.com/isbn/9780748656233</v>
      </c>
      <c r="AI1460" t="s">
        <v>68</v>
      </c>
      <c r="AL1460" t="s">
        <v>47</v>
      </c>
      <c r="AM1460">
        <v>1</v>
      </c>
      <c r="AN1460" s="2">
        <v>9780748641055</v>
      </c>
    </row>
    <row r="1461" spans="1:40" x14ac:dyDescent="0.3">
      <c r="A1461" t="s">
        <v>7175</v>
      </c>
      <c r="B1461" t="s">
        <v>1</v>
      </c>
      <c r="C1461" t="s">
        <v>7176</v>
      </c>
      <c r="E1461" t="s">
        <v>7177</v>
      </c>
      <c r="F1461" t="s">
        <v>5</v>
      </c>
      <c r="G1461" t="s">
        <v>6</v>
      </c>
      <c r="L1461" t="s">
        <v>7</v>
      </c>
      <c r="M1461">
        <v>2016</v>
      </c>
      <c r="N1461" s="1">
        <v>42482</v>
      </c>
      <c r="O1461" t="s">
        <v>7178</v>
      </c>
      <c r="P1461">
        <v>1</v>
      </c>
      <c r="Q1461" t="s">
        <v>6923</v>
      </c>
      <c r="S1461">
        <v>253.95</v>
      </c>
      <c r="T1461">
        <v>290</v>
      </c>
      <c r="U1461">
        <v>220</v>
      </c>
      <c r="V1461" t="s">
        <v>89</v>
      </c>
      <c r="W1461" t="s">
        <v>90</v>
      </c>
      <c r="X1461" t="s">
        <v>91</v>
      </c>
      <c r="Y1461" t="s">
        <v>1914</v>
      </c>
      <c r="AF1461" t="s">
        <v>13</v>
      </c>
      <c r="AG1461" t="str">
        <f>HYPERLINK("https://doi.org/10.1515/9780748649112")</f>
        <v>https://doi.org/10.1515/9780748649112</v>
      </c>
      <c r="AH1461" t="str">
        <f>HYPERLINK("http://www.degruyter.com/isbn/9780748649112")</f>
        <v>http://www.degruyter.com/isbn/9780748649112</v>
      </c>
      <c r="AI1461" t="s">
        <v>180</v>
      </c>
      <c r="AL1461" t="s">
        <v>83</v>
      </c>
      <c r="AM1461">
        <v>1</v>
      </c>
      <c r="AN1461" s="2">
        <v>9780748649105</v>
      </c>
    </row>
    <row r="1462" spans="1:40" x14ac:dyDescent="0.3">
      <c r="A1462" t="s">
        <v>7179</v>
      </c>
      <c r="B1462" t="s">
        <v>1</v>
      </c>
      <c r="C1462" t="s">
        <v>7180</v>
      </c>
      <c r="E1462" t="s">
        <v>7181</v>
      </c>
      <c r="F1462" t="s">
        <v>5</v>
      </c>
      <c r="G1462" t="s">
        <v>6</v>
      </c>
      <c r="L1462" t="s">
        <v>7</v>
      </c>
      <c r="M1462">
        <v>2010</v>
      </c>
      <c r="N1462" s="1">
        <v>40477</v>
      </c>
      <c r="O1462" t="s">
        <v>7182</v>
      </c>
      <c r="P1462">
        <v>1</v>
      </c>
      <c r="Q1462" t="s">
        <v>6723</v>
      </c>
      <c r="S1462">
        <v>253.95</v>
      </c>
      <c r="T1462">
        <v>290</v>
      </c>
      <c r="U1462">
        <v>220</v>
      </c>
      <c r="V1462" t="s">
        <v>79</v>
      </c>
      <c r="W1462" t="s">
        <v>80</v>
      </c>
      <c r="X1462" t="s">
        <v>80</v>
      </c>
      <c r="Y1462" t="s">
        <v>81</v>
      </c>
      <c r="AF1462" t="s">
        <v>13</v>
      </c>
      <c r="AG1462" t="str">
        <f>HYPERLINK("https://doi.org/10.1515/9780748630066")</f>
        <v>https://doi.org/10.1515/9780748630066</v>
      </c>
      <c r="AH1462" t="str">
        <f>HYPERLINK("http://www.degruyter.com/isbn/9780748630066")</f>
        <v>http://www.degruyter.com/isbn/9780748630066</v>
      </c>
      <c r="AI1462" t="s">
        <v>68</v>
      </c>
      <c r="AL1462" t="s">
        <v>83</v>
      </c>
      <c r="AM1462">
        <v>1</v>
      </c>
      <c r="AN1462" s="2">
        <v>9780748623396</v>
      </c>
    </row>
    <row r="1463" spans="1:40" x14ac:dyDescent="0.3">
      <c r="A1463" t="s">
        <v>7183</v>
      </c>
      <c r="B1463" t="s">
        <v>1</v>
      </c>
      <c r="C1463" t="s">
        <v>7184</v>
      </c>
      <c r="E1463" t="s">
        <v>7185</v>
      </c>
      <c r="F1463" t="s">
        <v>5</v>
      </c>
      <c r="G1463" t="s">
        <v>6</v>
      </c>
      <c r="L1463" t="s">
        <v>7</v>
      </c>
      <c r="M1463">
        <v>2013</v>
      </c>
      <c r="N1463" s="1">
        <v>41414</v>
      </c>
      <c r="O1463" t="s">
        <v>7186</v>
      </c>
      <c r="P1463">
        <v>1</v>
      </c>
      <c r="Q1463" t="s">
        <v>7187</v>
      </c>
      <c r="S1463">
        <v>227.95</v>
      </c>
      <c r="T1463">
        <v>260</v>
      </c>
      <c r="U1463">
        <v>200</v>
      </c>
      <c r="V1463" t="s">
        <v>58</v>
      </c>
      <c r="W1463" t="s">
        <v>1135</v>
      </c>
      <c r="X1463" t="s">
        <v>3337</v>
      </c>
      <c r="Y1463" t="s">
        <v>7188</v>
      </c>
      <c r="AF1463" t="s">
        <v>13</v>
      </c>
      <c r="AG1463" t="str">
        <f>HYPERLINK("https://doi.org/10.1515/9780748645190")</f>
        <v>https://doi.org/10.1515/9780748645190</v>
      </c>
      <c r="AH1463" t="str">
        <f>HYPERLINK("http://www.degruyter.com/isbn/9780748645190")</f>
        <v>http://www.degruyter.com/isbn/9780748645190</v>
      </c>
      <c r="AI1463" t="s">
        <v>68</v>
      </c>
      <c r="AL1463" t="s">
        <v>62</v>
      </c>
      <c r="AM1463">
        <v>1</v>
      </c>
      <c r="AN1463" s="2">
        <v>9780748645183</v>
      </c>
    </row>
    <row r="1464" spans="1:40" x14ac:dyDescent="0.3">
      <c r="A1464" t="s">
        <v>7189</v>
      </c>
      <c r="B1464" t="s">
        <v>1</v>
      </c>
      <c r="C1464" t="s">
        <v>7190</v>
      </c>
      <c r="D1464" t="s">
        <v>7191</v>
      </c>
      <c r="E1464" t="s">
        <v>7192</v>
      </c>
      <c r="F1464" t="s">
        <v>5</v>
      </c>
      <c r="G1464" t="s">
        <v>6</v>
      </c>
      <c r="L1464" t="s">
        <v>7</v>
      </c>
      <c r="M1464">
        <v>2018</v>
      </c>
      <c r="N1464" s="1">
        <v>44644</v>
      </c>
      <c r="O1464" t="s">
        <v>7193</v>
      </c>
      <c r="P1464">
        <v>1</v>
      </c>
      <c r="Q1464" t="s">
        <v>7194</v>
      </c>
      <c r="S1464">
        <v>253.95</v>
      </c>
      <c r="T1464">
        <v>290</v>
      </c>
      <c r="U1464">
        <v>220</v>
      </c>
      <c r="V1464" t="s">
        <v>42</v>
      </c>
      <c r="W1464" t="s">
        <v>1379</v>
      </c>
      <c r="X1464" t="s">
        <v>1380</v>
      </c>
      <c r="Y1464" t="s">
        <v>1381</v>
      </c>
      <c r="AF1464" t="s">
        <v>13</v>
      </c>
      <c r="AG1464" t="str">
        <f>HYPERLINK("https://www.degruyter.com/isbn/9781474429542")</f>
        <v>https://www.degruyter.com/isbn/9781474429542</v>
      </c>
      <c r="AH1464" t="str">
        <f>HYPERLINK("http://www.degruyter.com/isbn/9781474429542")</f>
        <v>http://www.degruyter.com/isbn/9781474429542</v>
      </c>
      <c r="AI1464" t="s">
        <v>46</v>
      </c>
      <c r="AL1464" t="s">
        <v>47</v>
      </c>
      <c r="AM1464">
        <v>1</v>
      </c>
      <c r="AN1464" s="2">
        <v>9781474429528</v>
      </c>
    </row>
    <row r="1465" spans="1:40" x14ac:dyDescent="0.3">
      <c r="A1465" t="s">
        <v>7195</v>
      </c>
      <c r="B1465" t="s">
        <v>1</v>
      </c>
      <c r="C1465" t="s">
        <v>7196</v>
      </c>
      <c r="D1465" t="s">
        <v>7197</v>
      </c>
      <c r="E1465" t="s">
        <v>7198</v>
      </c>
      <c r="F1465" t="s">
        <v>5</v>
      </c>
      <c r="G1465" t="s">
        <v>6</v>
      </c>
      <c r="L1465" t="s">
        <v>7</v>
      </c>
      <c r="M1465">
        <v>2021</v>
      </c>
      <c r="N1465" s="1">
        <v>44644</v>
      </c>
      <c r="O1465" t="s">
        <v>7199</v>
      </c>
      <c r="P1465">
        <v>1</v>
      </c>
      <c r="Q1465" t="s">
        <v>7086</v>
      </c>
      <c r="S1465">
        <v>217.95</v>
      </c>
      <c r="T1465">
        <v>250</v>
      </c>
      <c r="U1465">
        <v>190</v>
      </c>
      <c r="V1465" t="s">
        <v>20</v>
      </c>
      <c r="W1465" t="s">
        <v>470</v>
      </c>
      <c r="X1465" t="s">
        <v>471</v>
      </c>
      <c r="Y1465" t="s">
        <v>472</v>
      </c>
      <c r="AF1465" t="s">
        <v>13</v>
      </c>
      <c r="AG1465" t="str">
        <f>HYPERLINK("https://doi.org/10.1515/9781474462303")</f>
        <v>https://doi.org/10.1515/9781474462303</v>
      </c>
      <c r="AH1465" t="str">
        <f>HYPERLINK("http://www.degruyter.com/isbn/9781474462303")</f>
        <v>http://www.degruyter.com/isbn/9781474462303</v>
      </c>
      <c r="AI1465" t="s">
        <v>559</v>
      </c>
      <c r="AL1465" t="s">
        <v>15</v>
      </c>
      <c r="AM1465">
        <v>1</v>
      </c>
      <c r="AN1465" s="2">
        <v>9781474462273</v>
      </c>
    </row>
    <row r="1466" spans="1:40" x14ac:dyDescent="0.3">
      <c r="A1466" t="s">
        <v>7200</v>
      </c>
      <c r="B1466" t="s">
        <v>1</v>
      </c>
      <c r="C1466" t="s">
        <v>7201</v>
      </c>
      <c r="E1466" t="s">
        <v>7202</v>
      </c>
      <c r="F1466" t="s">
        <v>5</v>
      </c>
      <c r="G1466" t="s">
        <v>6</v>
      </c>
      <c r="L1466" t="s">
        <v>7</v>
      </c>
      <c r="M1466">
        <v>2012</v>
      </c>
      <c r="N1466" s="1">
        <v>41120</v>
      </c>
      <c r="O1466" t="s">
        <v>29</v>
      </c>
      <c r="P1466">
        <v>1</v>
      </c>
      <c r="Q1466" t="s">
        <v>6894</v>
      </c>
      <c r="S1466">
        <v>253.95</v>
      </c>
      <c r="T1466">
        <v>290</v>
      </c>
      <c r="U1466">
        <v>220</v>
      </c>
      <c r="V1466" t="s">
        <v>30</v>
      </c>
      <c r="W1466" t="s">
        <v>1629</v>
      </c>
      <c r="X1466" t="s">
        <v>1630</v>
      </c>
      <c r="Y1466" t="s">
        <v>1631</v>
      </c>
      <c r="AF1466" t="s">
        <v>13</v>
      </c>
      <c r="AG1466" t="str">
        <f>HYPERLINK("https://doi.org/10.1515/9780748645060")</f>
        <v>https://doi.org/10.1515/9780748645060</v>
      </c>
      <c r="AH1466" t="str">
        <f>HYPERLINK("http://www.degruyter.com/isbn/9780748645060")</f>
        <v>http://www.degruyter.com/isbn/9780748645060</v>
      </c>
      <c r="AI1466" t="s">
        <v>68</v>
      </c>
      <c r="AL1466" t="s">
        <v>272</v>
      </c>
      <c r="AM1466">
        <v>1</v>
      </c>
      <c r="AN1466" s="2">
        <v>9780748645053</v>
      </c>
    </row>
    <row r="1467" spans="1:40" x14ac:dyDescent="0.3">
      <c r="A1467" t="s">
        <v>7203</v>
      </c>
      <c r="B1467" t="s">
        <v>1</v>
      </c>
      <c r="C1467" t="s">
        <v>7204</v>
      </c>
      <c r="E1467" t="s">
        <v>7205</v>
      </c>
      <c r="F1467" t="s">
        <v>5</v>
      </c>
      <c r="G1467" t="s">
        <v>6</v>
      </c>
      <c r="L1467" t="s">
        <v>7</v>
      </c>
      <c r="M1467">
        <v>2007</v>
      </c>
      <c r="N1467" s="1">
        <v>39154</v>
      </c>
      <c r="O1467" t="s">
        <v>7206</v>
      </c>
      <c r="P1467">
        <v>1</v>
      </c>
      <c r="Q1467" t="s">
        <v>6644</v>
      </c>
      <c r="S1467">
        <v>209.95</v>
      </c>
      <c r="T1467">
        <v>240</v>
      </c>
      <c r="U1467">
        <v>180</v>
      </c>
      <c r="V1467" t="s">
        <v>20</v>
      </c>
      <c r="W1467" t="s">
        <v>21</v>
      </c>
      <c r="X1467" t="s">
        <v>3445</v>
      </c>
      <c r="Y1467" t="s">
        <v>3446</v>
      </c>
      <c r="AF1467" t="s">
        <v>13</v>
      </c>
      <c r="AG1467" t="str">
        <f>HYPERLINK("https://doi.org/10.1515/9780748628957")</f>
        <v>https://doi.org/10.1515/9780748628957</v>
      </c>
      <c r="AH1467" t="str">
        <f>HYPERLINK("http://www.degruyter.com/isbn/9780748628957")</f>
        <v>http://www.degruyter.com/isbn/9780748628957</v>
      </c>
      <c r="AI1467" t="s">
        <v>68</v>
      </c>
      <c r="AJ1467" t="s">
        <v>35</v>
      </c>
      <c r="AL1467" t="s">
        <v>1346</v>
      </c>
      <c r="AM1467">
        <v>1</v>
      </c>
      <c r="AN1467" s="2">
        <v>9780748619092</v>
      </c>
    </row>
    <row r="1468" spans="1:40" x14ac:dyDescent="0.3">
      <c r="A1468" t="s">
        <v>7207</v>
      </c>
      <c r="B1468" t="s">
        <v>1</v>
      </c>
      <c r="C1468" t="s">
        <v>7208</v>
      </c>
      <c r="D1468" t="s">
        <v>7209</v>
      </c>
      <c r="E1468" t="s">
        <v>7210</v>
      </c>
      <c r="F1468" t="s">
        <v>5</v>
      </c>
      <c r="G1468" t="s">
        <v>6</v>
      </c>
      <c r="L1468" t="s">
        <v>7</v>
      </c>
      <c r="M1468">
        <v>2009</v>
      </c>
      <c r="N1468" s="1">
        <v>40072</v>
      </c>
      <c r="O1468" t="s">
        <v>7211</v>
      </c>
      <c r="P1468">
        <v>1</v>
      </c>
      <c r="Q1468" t="s">
        <v>7052</v>
      </c>
      <c r="S1468">
        <v>243.95</v>
      </c>
      <c r="T1468">
        <v>280</v>
      </c>
      <c r="U1468">
        <v>210</v>
      </c>
      <c r="V1468" t="s">
        <v>42</v>
      </c>
      <c r="W1468" t="s">
        <v>116</v>
      </c>
      <c r="X1468" t="s">
        <v>116</v>
      </c>
      <c r="Y1468" t="s">
        <v>117</v>
      </c>
      <c r="AF1468" t="s">
        <v>13</v>
      </c>
      <c r="AG1468" t="str">
        <f>HYPERLINK("https://doi.org/10.1515/9781474470261?locatt=mode:legacy")</f>
        <v>https://doi.org/10.1515/9781474470261?locatt=mode:legacy</v>
      </c>
      <c r="AH1468" t="str">
        <f>HYPERLINK("http://www.degruyter.com/isbn/9781474470261")</f>
        <v>http://www.degruyter.com/isbn/9781474470261</v>
      </c>
      <c r="AI1468" t="s">
        <v>68</v>
      </c>
      <c r="AL1468" t="s">
        <v>47</v>
      </c>
      <c r="AM1468">
        <v>1</v>
      </c>
      <c r="AN1468" s="2">
        <v>9780748635740</v>
      </c>
    </row>
    <row r="1469" spans="1:40" x14ac:dyDescent="0.3">
      <c r="A1469" t="s">
        <v>7212</v>
      </c>
      <c r="B1469" t="s">
        <v>1</v>
      </c>
      <c r="C1469" t="s">
        <v>7213</v>
      </c>
      <c r="D1469" t="s">
        <v>7214</v>
      </c>
      <c r="E1469" t="s">
        <v>7215</v>
      </c>
      <c r="F1469" t="s">
        <v>5</v>
      </c>
      <c r="G1469" t="s">
        <v>6</v>
      </c>
      <c r="L1469" t="s">
        <v>7</v>
      </c>
      <c r="M1469">
        <v>2009</v>
      </c>
      <c r="N1469" s="1">
        <v>39832</v>
      </c>
      <c r="O1469" t="s">
        <v>7216</v>
      </c>
      <c r="P1469">
        <v>1</v>
      </c>
      <c r="Q1469" t="s">
        <v>7217</v>
      </c>
      <c r="S1469">
        <v>279.95</v>
      </c>
      <c r="T1469">
        <v>320</v>
      </c>
      <c r="U1469">
        <v>240</v>
      </c>
      <c r="V1469" t="s">
        <v>20</v>
      </c>
      <c r="W1469" t="s">
        <v>21</v>
      </c>
      <c r="X1469" t="s">
        <v>22</v>
      </c>
      <c r="Y1469" t="s">
        <v>23</v>
      </c>
      <c r="AF1469" t="s">
        <v>13</v>
      </c>
      <c r="AG1469" t="str">
        <f>HYPERLINK("https://doi.org/10.1515/9780748628209")</f>
        <v>https://doi.org/10.1515/9780748628209</v>
      </c>
      <c r="AH1469" t="str">
        <f>HYPERLINK("http://www.degruyter.com/isbn/9780748628209")</f>
        <v>http://www.degruyter.com/isbn/9780748628209</v>
      </c>
      <c r="AI1469" t="s">
        <v>68</v>
      </c>
      <c r="AL1469" t="s">
        <v>15</v>
      </c>
      <c r="AM1469">
        <v>1</v>
      </c>
      <c r="AN1469" s="2">
        <v>9780748612314</v>
      </c>
    </row>
    <row r="1470" spans="1:40" x14ac:dyDescent="0.3">
      <c r="A1470" t="s">
        <v>7218</v>
      </c>
      <c r="B1470" t="s">
        <v>1</v>
      </c>
      <c r="C1470" t="s">
        <v>6665</v>
      </c>
      <c r="E1470" t="s">
        <v>7219</v>
      </c>
      <c r="F1470" t="s">
        <v>5</v>
      </c>
      <c r="G1470" t="s">
        <v>6</v>
      </c>
      <c r="L1470" t="s">
        <v>7</v>
      </c>
      <c r="M1470">
        <v>2005</v>
      </c>
      <c r="N1470" s="1">
        <v>38694</v>
      </c>
      <c r="O1470" t="s">
        <v>7220</v>
      </c>
      <c r="P1470">
        <v>1</v>
      </c>
      <c r="Q1470" t="s">
        <v>6665</v>
      </c>
      <c r="S1470">
        <v>253.95</v>
      </c>
      <c r="T1470">
        <v>290</v>
      </c>
      <c r="U1470">
        <v>220</v>
      </c>
      <c r="V1470" t="s">
        <v>42</v>
      </c>
      <c r="W1470" t="s">
        <v>43</v>
      </c>
      <c r="X1470" t="s">
        <v>44</v>
      </c>
      <c r="Y1470" t="s">
        <v>45</v>
      </c>
      <c r="AF1470" t="s">
        <v>13</v>
      </c>
      <c r="AG1470" t="str">
        <f>HYPERLINK("https://doi.org/10.1515/9780748626267")</f>
        <v>https://doi.org/10.1515/9780748626267</v>
      </c>
      <c r="AH1470" t="str">
        <f>HYPERLINK("http://www.degruyter.com/isbn/9780748626267")</f>
        <v>http://www.degruyter.com/isbn/9780748626267</v>
      </c>
      <c r="AI1470" t="s">
        <v>68</v>
      </c>
      <c r="AL1470" t="s">
        <v>47</v>
      </c>
      <c r="AM1470">
        <v>1</v>
      </c>
      <c r="AN1470" s="2">
        <v>9780748618620</v>
      </c>
    </row>
    <row r="1471" spans="1:40" x14ac:dyDescent="0.3">
      <c r="A1471" t="s">
        <v>7221</v>
      </c>
      <c r="B1471" t="s">
        <v>1</v>
      </c>
      <c r="C1471" t="s">
        <v>7222</v>
      </c>
      <c r="E1471" t="s">
        <v>7223</v>
      </c>
      <c r="F1471" t="s">
        <v>5</v>
      </c>
      <c r="G1471" t="s">
        <v>6</v>
      </c>
      <c r="L1471" t="s">
        <v>7</v>
      </c>
      <c r="M1471">
        <v>2007</v>
      </c>
      <c r="N1471" s="1">
        <v>39127</v>
      </c>
      <c r="O1471" t="s">
        <v>7224</v>
      </c>
      <c r="P1471">
        <v>1</v>
      </c>
      <c r="Q1471" t="s">
        <v>7225</v>
      </c>
      <c r="S1471">
        <v>191.95</v>
      </c>
      <c r="T1471">
        <v>220</v>
      </c>
      <c r="U1471">
        <v>170</v>
      </c>
      <c r="V1471" t="s">
        <v>98</v>
      </c>
      <c r="W1471" t="s">
        <v>99</v>
      </c>
      <c r="X1471" t="s">
        <v>100</v>
      </c>
      <c r="Y1471" t="s">
        <v>101</v>
      </c>
      <c r="AF1471" t="s">
        <v>13</v>
      </c>
      <c r="AG1471" t="str">
        <f>HYPERLINK("https://doi.org/10.1515/9780748630196")</f>
        <v>https://doi.org/10.1515/9780748630196</v>
      </c>
      <c r="AH1471" t="str">
        <f>HYPERLINK("http://www.degruyter.com/isbn/9780748630196")</f>
        <v>http://www.degruyter.com/isbn/9780748630196</v>
      </c>
      <c r="AI1471" t="s">
        <v>68</v>
      </c>
      <c r="AL1471" t="s">
        <v>102</v>
      </c>
      <c r="AM1471">
        <v>1</v>
      </c>
      <c r="AN1471" s="2">
        <v>9780748623785</v>
      </c>
    </row>
    <row r="1472" spans="1:40" x14ac:dyDescent="0.3">
      <c r="A1472" t="s">
        <v>7226</v>
      </c>
      <c r="B1472" t="s">
        <v>1</v>
      </c>
      <c r="C1472" t="s">
        <v>7227</v>
      </c>
      <c r="E1472" t="s">
        <v>7228</v>
      </c>
      <c r="F1472" t="s">
        <v>5</v>
      </c>
      <c r="G1472" t="s">
        <v>6</v>
      </c>
      <c r="L1472" t="s">
        <v>7</v>
      </c>
      <c r="M1472">
        <v>2003</v>
      </c>
      <c r="N1472" s="1">
        <v>44607</v>
      </c>
      <c r="O1472" t="s">
        <v>7229</v>
      </c>
      <c r="P1472">
        <v>1</v>
      </c>
      <c r="Q1472" t="s">
        <v>6820</v>
      </c>
      <c r="S1472">
        <v>217.95</v>
      </c>
      <c r="T1472">
        <v>250</v>
      </c>
      <c r="U1472">
        <v>190</v>
      </c>
      <c r="V1472" t="s">
        <v>58</v>
      </c>
      <c r="W1472" t="s">
        <v>59</v>
      </c>
      <c r="X1472" t="s">
        <v>60</v>
      </c>
      <c r="Y1472" t="s">
        <v>145</v>
      </c>
      <c r="AF1472" t="s">
        <v>13</v>
      </c>
      <c r="AG1472" t="str">
        <f>HYPERLINK("https://doi.org/10.1515/9781474468169")</f>
        <v>https://doi.org/10.1515/9781474468169</v>
      </c>
      <c r="AH1472" t="str">
        <f>HYPERLINK("http://www.degruyter.com/isbn/9781474468169")</f>
        <v>http://www.degruyter.com/isbn/9781474468169</v>
      </c>
      <c r="AI1472" t="s">
        <v>68</v>
      </c>
      <c r="AL1472" t="s">
        <v>62</v>
      </c>
      <c r="AM1472">
        <v>1</v>
      </c>
      <c r="AN1472" s="2">
        <v>9780748615452</v>
      </c>
    </row>
    <row r="1473" spans="1:40" x14ac:dyDescent="0.3">
      <c r="A1473" t="s">
        <v>7230</v>
      </c>
      <c r="B1473" t="s">
        <v>1</v>
      </c>
      <c r="C1473" t="s">
        <v>7231</v>
      </c>
      <c r="E1473" t="s">
        <v>7232</v>
      </c>
      <c r="F1473" t="s">
        <v>5</v>
      </c>
      <c r="G1473" t="s">
        <v>6</v>
      </c>
      <c r="L1473" t="s">
        <v>7</v>
      </c>
      <c r="M1473">
        <v>2006</v>
      </c>
      <c r="N1473" s="1">
        <v>38916</v>
      </c>
      <c r="O1473" t="s">
        <v>7233</v>
      </c>
      <c r="P1473">
        <v>1</v>
      </c>
      <c r="Q1473" t="s">
        <v>6418</v>
      </c>
      <c r="S1473">
        <v>261.95</v>
      </c>
      <c r="T1473">
        <v>300</v>
      </c>
      <c r="U1473">
        <v>230</v>
      </c>
      <c r="V1473" t="s">
        <v>79</v>
      </c>
      <c r="W1473" t="s">
        <v>209</v>
      </c>
      <c r="X1473" t="s">
        <v>209</v>
      </c>
      <c r="Y1473" t="s">
        <v>510</v>
      </c>
      <c r="AF1473" t="s">
        <v>13</v>
      </c>
      <c r="AG1473" t="str">
        <f>HYPERLINK("https://doi.org/10.1515/9780748627196")</f>
        <v>https://doi.org/10.1515/9780748627196</v>
      </c>
      <c r="AH1473" t="str">
        <f>HYPERLINK("http://www.degruyter.com/isbn/9780748627196")</f>
        <v>http://www.degruyter.com/isbn/9780748627196</v>
      </c>
      <c r="AI1473" t="s">
        <v>68</v>
      </c>
      <c r="AL1473" t="s">
        <v>83</v>
      </c>
      <c r="AM1473">
        <v>1</v>
      </c>
      <c r="AN1473" s="2">
        <v>9780748624799</v>
      </c>
    </row>
    <row r="1474" spans="1:40" x14ac:dyDescent="0.3">
      <c r="A1474" t="s">
        <v>7234</v>
      </c>
      <c r="B1474" t="s">
        <v>1</v>
      </c>
      <c r="C1474" t="s">
        <v>7235</v>
      </c>
      <c r="E1474" t="s">
        <v>7236</v>
      </c>
      <c r="F1474" t="s">
        <v>5</v>
      </c>
      <c r="G1474" t="s">
        <v>6</v>
      </c>
      <c r="L1474" t="s">
        <v>7</v>
      </c>
      <c r="M1474">
        <v>2018</v>
      </c>
      <c r="N1474" s="1">
        <v>44656</v>
      </c>
      <c r="O1474" t="s">
        <v>7237</v>
      </c>
      <c r="P1474">
        <v>1</v>
      </c>
      <c r="Q1474" t="s">
        <v>7238</v>
      </c>
      <c r="S1474">
        <v>243.95</v>
      </c>
      <c r="T1474">
        <v>280</v>
      </c>
      <c r="U1474">
        <v>210</v>
      </c>
      <c r="V1474" t="s">
        <v>329</v>
      </c>
      <c r="W1474" t="s">
        <v>330</v>
      </c>
      <c r="X1474" t="s">
        <v>331</v>
      </c>
      <c r="Y1474" t="s">
        <v>332</v>
      </c>
      <c r="AF1474" t="s">
        <v>13</v>
      </c>
      <c r="AG1474" t="str">
        <f>HYPERLINK("https://doi.org/10.1515/9780748645565?locatt=mode:legacy")</f>
        <v>https://doi.org/10.1515/9780748645565?locatt=mode:legacy</v>
      </c>
      <c r="AH1474" t="str">
        <f>HYPERLINK("http://www.degruyter.com/isbn/9780748645565")</f>
        <v>http://www.degruyter.com/isbn/9780748645565</v>
      </c>
      <c r="AI1474" t="s">
        <v>46</v>
      </c>
      <c r="AL1474" t="s">
        <v>333</v>
      </c>
      <c r="AM1474">
        <v>1</v>
      </c>
      <c r="AN1474" s="2">
        <v>9780748645558</v>
      </c>
    </row>
    <row r="1475" spans="1:40" x14ac:dyDescent="0.3">
      <c r="A1475" t="s">
        <v>7239</v>
      </c>
      <c r="B1475" t="s">
        <v>1</v>
      </c>
      <c r="C1475" t="s">
        <v>7240</v>
      </c>
      <c r="E1475" t="s">
        <v>7241</v>
      </c>
      <c r="F1475" t="s">
        <v>5</v>
      </c>
      <c r="G1475" t="s">
        <v>6</v>
      </c>
      <c r="L1475" t="s">
        <v>7</v>
      </c>
      <c r="M1475">
        <v>2008</v>
      </c>
      <c r="N1475" s="1">
        <v>39587</v>
      </c>
      <c r="O1475" t="s">
        <v>7242</v>
      </c>
      <c r="P1475">
        <v>1</v>
      </c>
      <c r="Q1475" t="s">
        <v>7243</v>
      </c>
      <c r="S1475">
        <v>217.95</v>
      </c>
      <c r="T1475">
        <v>250</v>
      </c>
      <c r="U1475">
        <v>190</v>
      </c>
      <c r="V1475" t="s">
        <v>20</v>
      </c>
      <c r="W1475" t="s">
        <v>21</v>
      </c>
      <c r="X1475" t="s">
        <v>3445</v>
      </c>
      <c r="Y1475" t="s">
        <v>5678</v>
      </c>
      <c r="AF1475" t="s">
        <v>13</v>
      </c>
      <c r="AG1475" t="str">
        <f>HYPERLINK("https://doi.org/10.1515/9780748632411?locatt=mode:legacy")</f>
        <v>https://doi.org/10.1515/9780748632411?locatt=mode:legacy</v>
      </c>
      <c r="AH1475" t="str">
        <f>HYPERLINK("http://www.degruyter.com/isbn/9780748632411")</f>
        <v>http://www.degruyter.com/isbn/9780748632411</v>
      </c>
      <c r="AI1475" t="s">
        <v>2534</v>
      </c>
      <c r="AL1475" t="s">
        <v>15</v>
      </c>
      <c r="AM1475">
        <v>1</v>
      </c>
      <c r="AN1475" s="2">
        <v>9780748633807</v>
      </c>
    </row>
    <row r="1476" spans="1:40" x14ac:dyDescent="0.3">
      <c r="A1476" t="s">
        <v>7244</v>
      </c>
      <c r="B1476" t="s">
        <v>1</v>
      </c>
      <c r="C1476" t="s">
        <v>7245</v>
      </c>
      <c r="D1476" t="s">
        <v>7246</v>
      </c>
      <c r="E1476" t="s">
        <v>7247</v>
      </c>
      <c r="F1476" t="s">
        <v>5</v>
      </c>
      <c r="G1476" t="s">
        <v>6</v>
      </c>
      <c r="L1476" t="s">
        <v>7</v>
      </c>
      <c r="M1476">
        <v>2016</v>
      </c>
      <c r="N1476" s="1">
        <v>42694</v>
      </c>
      <c r="O1476" t="s">
        <v>7248</v>
      </c>
      <c r="P1476">
        <v>1</v>
      </c>
      <c r="S1476">
        <v>217.95</v>
      </c>
      <c r="T1476">
        <v>250</v>
      </c>
      <c r="U1476">
        <v>190</v>
      </c>
      <c r="V1476" t="s">
        <v>79</v>
      </c>
      <c r="W1476" t="s">
        <v>209</v>
      </c>
      <c r="X1476" t="s">
        <v>209</v>
      </c>
      <c r="Y1476" t="s">
        <v>7249</v>
      </c>
      <c r="AF1476" t="s">
        <v>13</v>
      </c>
      <c r="AG1476" t="str">
        <f>HYPERLINK("https://doi.org/10.1515/9780748646111")</f>
        <v>https://doi.org/10.1515/9780748646111</v>
      </c>
      <c r="AH1476" t="str">
        <f>HYPERLINK("http://www.degruyter.com/isbn/9780748646111")</f>
        <v>http://www.degruyter.com/isbn/9780748646111</v>
      </c>
      <c r="AI1476" t="s">
        <v>180</v>
      </c>
      <c r="AL1476" t="s">
        <v>83</v>
      </c>
      <c r="AM1476">
        <v>1</v>
      </c>
      <c r="AN1476" s="2">
        <v>9780748646104</v>
      </c>
    </row>
    <row r="1477" spans="1:40" x14ac:dyDescent="0.3">
      <c r="A1477" t="s">
        <v>7250</v>
      </c>
      <c r="B1477" t="s">
        <v>1</v>
      </c>
      <c r="C1477" t="s">
        <v>7251</v>
      </c>
      <c r="E1477" t="s">
        <v>7252</v>
      </c>
      <c r="F1477" t="s">
        <v>5</v>
      </c>
      <c r="G1477" t="s">
        <v>6</v>
      </c>
      <c r="L1477" t="s">
        <v>7</v>
      </c>
      <c r="M1477">
        <v>2003</v>
      </c>
      <c r="N1477" s="1">
        <v>44599</v>
      </c>
      <c r="O1477" t="s">
        <v>3075</v>
      </c>
      <c r="P1477">
        <v>1</v>
      </c>
      <c r="Q1477" t="s">
        <v>7225</v>
      </c>
      <c r="S1477">
        <v>217.95</v>
      </c>
      <c r="T1477">
        <v>250</v>
      </c>
      <c r="U1477">
        <v>190</v>
      </c>
      <c r="V1477" t="s">
        <v>98</v>
      </c>
      <c r="W1477" t="s">
        <v>99</v>
      </c>
      <c r="X1477" t="s">
        <v>100</v>
      </c>
      <c r="Y1477" t="s">
        <v>7253</v>
      </c>
      <c r="AF1477" t="s">
        <v>13</v>
      </c>
      <c r="AG1477" t="str">
        <f>HYPERLINK("https://doi.org/10.1515/9781474473323")</f>
        <v>https://doi.org/10.1515/9781474473323</v>
      </c>
      <c r="AH1477" t="str">
        <f>HYPERLINK("http://www.degruyter.com/isbn/9781474473323")</f>
        <v>http://www.degruyter.com/isbn/9781474473323</v>
      </c>
      <c r="AI1477" t="s">
        <v>68</v>
      </c>
      <c r="AL1477" t="s">
        <v>102</v>
      </c>
      <c r="AM1477">
        <v>1</v>
      </c>
      <c r="AN1477" s="2">
        <v>9780748616237</v>
      </c>
    </row>
    <row r="1478" spans="1:40" x14ac:dyDescent="0.3">
      <c r="A1478" t="s">
        <v>7254</v>
      </c>
      <c r="B1478" t="s">
        <v>1</v>
      </c>
      <c r="C1478" t="s">
        <v>7255</v>
      </c>
      <c r="E1478" t="s">
        <v>7256</v>
      </c>
      <c r="F1478" t="s">
        <v>5</v>
      </c>
      <c r="G1478" t="s">
        <v>6</v>
      </c>
      <c r="L1478" t="s">
        <v>7</v>
      </c>
      <c r="M1478">
        <v>1996</v>
      </c>
      <c r="N1478" s="1">
        <v>44719</v>
      </c>
      <c r="O1478" t="s">
        <v>6058</v>
      </c>
      <c r="P1478">
        <v>1</v>
      </c>
      <c r="Q1478" t="s">
        <v>7257</v>
      </c>
      <c r="S1478">
        <v>217.95</v>
      </c>
      <c r="T1478">
        <v>250</v>
      </c>
      <c r="U1478">
        <v>190</v>
      </c>
      <c r="V1478" t="s">
        <v>42</v>
      </c>
      <c r="W1478" t="s">
        <v>116</v>
      </c>
      <c r="X1478" t="s">
        <v>116</v>
      </c>
      <c r="Y1478" t="s">
        <v>117</v>
      </c>
      <c r="AF1478" t="s">
        <v>13</v>
      </c>
      <c r="AG1478" t="str">
        <f>HYPERLINK("https://doi.org/10.1515/9780585124063")</f>
        <v>https://doi.org/10.1515/9780585124063</v>
      </c>
      <c r="AH1478" t="str">
        <f>HYPERLINK("http://www.degruyter.com/isbn/9780585124063")</f>
        <v>http://www.degruyter.com/isbn/9780585124063</v>
      </c>
      <c r="AI1478" t="s">
        <v>24</v>
      </c>
      <c r="AL1478" t="s">
        <v>47</v>
      </c>
      <c r="AM1478">
        <v>1</v>
      </c>
      <c r="AN1478" s="2">
        <v>9780748608416</v>
      </c>
    </row>
    <row r="1479" spans="1:40" x14ac:dyDescent="0.3">
      <c r="A1479" t="s">
        <v>7258</v>
      </c>
      <c r="B1479" t="s">
        <v>1</v>
      </c>
      <c r="C1479" t="s">
        <v>7259</v>
      </c>
      <c r="E1479" t="s">
        <v>7260</v>
      </c>
      <c r="F1479" t="s">
        <v>5</v>
      </c>
      <c r="G1479" t="s">
        <v>6</v>
      </c>
      <c r="L1479" t="s">
        <v>7</v>
      </c>
      <c r="M1479">
        <v>2007</v>
      </c>
      <c r="N1479" s="1">
        <v>39213</v>
      </c>
      <c r="O1479" t="s">
        <v>7261</v>
      </c>
      <c r="P1479">
        <v>1</v>
      </c>
      <c r="Q1479" t="s">
        <v>6723</v>
      </c>
      <c r="S1479">
        <v>253.95</v>
      </c>
      <c r="T1479">
        <v>290</v>
      </c>
      <c r="U1479">
        <v>220</v>
      </c>
      <c r="V1479" t="s">
        <v>79</v>
      </c>
      <c r="W1479" t="s">
        <v>209</v>
      </c>
      <c r="X1479" t="s">
        <v>209</v>
      </c>
      <c r="Y1479" t="s">
        <v>210</v>
      </c>
      <c r="AF1479" t="s">
        <v>13</v>
      </c>
      <c r="AG1479" t="str">
        <f>HYPERLINK("https://doi.org/10.1515/9780748629275")</f>
        <v>https://doi.org/10.1515/9780748629275</v>
      </c>
      <c r="AH1479" t="str">
        <f>HYPERLINK("http://www.degruyter.com/isbn/9780748629275")</f>
        <v>http://www.degruyter.com/isbn/9780748629275</v>
      </c>
      <c r="AI1479" t="s">
        <v>68</v>
      </c>
      <c r="AL1479" t="s">
        <v>83</v>
      </c>
      <c r="AM1479">
        <v>1</v>
      </c>
      <c r="AN1479" s="2">
        <v>9780748622160</v>
      </c>
    </row>
    <row r="1480" spans="1:40" x14ac:dyDescent="0.3">
      <c r="A1480" t="s">
        <v>7262</v>
      </c>
      <c r="B1480" t="s">
        <v>1</v>
      </c>
      <c r="C1480" t="s">
        <v>7263</v>
      </c>
      <c r="E1480" t="s">
        <v>7264</v>
      </c>
      <c r="F1480" t="s">
        <v>5</v>
      </c>
      <c r="G1480" t="s">
        <v>6</v>
      </c>
      <c r="L1480" t="s">
        <v>7</v>
      </c>
      <c r="M1480">
        <v>1996</v>
      </c>
      <c r="N1480" s="1">
        <v>44895</v>
      </c>
      <c r="O1480" t="s">
        <v>7265</v>
      </c>
      <c r="P1480">
        <v>1</v>
      </c>
      <c r="Q1480" t="s">
        <v>7266</v>
      </c>
      <c r="S1480">
        <v>227.95</v>
      </c>
      <c r="T1480">
        <v>260</v>
      </c>
      <c r="U1480">
        <v>200</v>
      </c>
      <c r="V1480" t="s">
        <v>42</v>
      </c>
      <c r="W1480" t="s">
        <v>116</v>
      </c>
      <c r="X1480" t="s">
        <v>116</v>
      </c>
      <c r="Y1480" t="s">
        <v>117</v>
      </c>
      <c r="AF1480" t="s">
        <v>13</v>
      </c>
      <c r="AH1480" t="str">
        <f>HYPERLINK("http://www.degruyter.com/isbn/9780748698585")</f>
        <v>http://www.degruyter.com/isbn/9780748698585</v>
      </c>
      <c r="AI1480" t="s">
        <v>24</v>
      </c>
      <c r="AL1480" t="s">
        <v>47</v>
      </c>
      <c r="AM1480">
        <v>1</v>
      </c>
      <c r="AN1480" s="2">
        <v>9780748605712</v>
      </c>
    </row>
    <row r="1481" spans="1:40" x14ac:dyDescent="0.3">
      <c r="A1481" t="s">
        <v>7267</v>
      </c>
      <c r="B1481" t="s">
        <v>1</v>
      </c>
      <c r="C1481" t="s">
        <v>7268</v>
      </c>
      <c r="D1481" t="s">
        <v>7269</v>
      </c>
      <c r="E1481" t="s">
        <v>7270</v>
      </c>
      <c r="F1481" t="s">
        <v>5</v>
      </c>
      <c r="G1481" t="s">
        <v>6</v>
      </c>
      <c r="L1481" t="s">
        <v>7</v>
      </c>
      <c r="M1481">
        <v>2018</v>
      </c>
      <c r="N1481" s="1">
        <v>44644</v>
      </c>
      <c r="O1481" t="s">
        <v>7271</v>
      </c>
      <c r="P1481">
        <v>1</v>
      </c>
      <c r="Q1481" t="s">
        <v>6779</v>
      </c>
      <c r="S1481">
        <v>217.95</v>
      </c>
      <c r="T1481">
        <v>250</v>
      </c>
      <c r="U1481">
        <v>190</v>
      </c>
      <c r="V1481" t="s">
        <v>20</v>
      </c>
      <c r="W1481" t="s">
        <v>21</v>
      </c>
      <c r="X1481" t="s">
        <v>839</v>
      </c>
      <c r="Y1481" t="s">
        <v>2469</v>
      </c>
      <c r="AF1481" t="s">
        <v>13</v>
      </c>
      <c r="AG1481" t="str">
        <f>HYPERLINK("https://doi.org/10.1515/9781474421621?locatt=mode:legacy")</f>
        <v>https://doi.org/10.1515/9781474421621?locatt=mode:legacy</v>
      </c>
      <c r="AH1481" t="str">
        <f>HYPERLINK("http://www.degruyter.com/isbn/9781474421621")</f>
        <v>http://www.degruyter.com/isbn/9781474421621</v>
      </c>
      <c r="AI1481" t="s">
        <v>46</v>
      </c>
      <c r="AJ1481" t="s">
        <v>35</v>
      </c>
      <c r="AL1481" t="s">
        <v>1346</v>
      </c>
      <c r="AM1481">
        <v>1</v>
      </c>
      <c r="AN1481" s="2">
        <v>9781474421614</v>
      </c>
    </row>
    <row r="1482" spans="1:40" x14ac:dyDescent="0.3">
      <c r="A1482" t="s">
        <v>7272</v>
      </c>
      <c r="B1482" t="s">
        <v>1</v>
      </c>
      <c r="C1482" t="s">
        <v>7273</v>
      </c>
      <c r="E1482" t="s">
        <v>7274</v>
      </c>
      <c r="F1482" t="s">
        <v>5</v>
      </c>
      <c r="G1482" t="s">
        <v>6</v>
      </c>
      <c r="L1482" t="s">
        <v>7</v>
      </c>
      <c r="M1482">
        <v>2009</v>
      </c>
      <c r="N1482" s="1">
        <v>44592</v>
      </c>
      <c r="O1482" t="s">
        <v>7275</v>
      </c>
      <c r="P1482">
        <v>1</v>
      </c>
      <c r="Q1482" t="s">
        <v>6906</v>
      </c>
      <c r="S1482">
        <v>217.95</v>
      </c>
      <c r="T1482">
        <v>250</v>
      </c>
      <c r="U1482">
        <v>190</v>
      </c>
      <c r="V1482" t="s">
        <v>20</v>
      </c>
      <c r="W1482" t="s">
        <v>470</v>
      </c>
      <c r="X1482" t="s">
        <v>7276</v>
      </c>
      <c r="Y1482" t="s">
        <v>7277</v>
      </c>
      <c r="AF1482" t="s">
        <v>13</v>
      </c>
      <c r="AG1482" t="str">
        <f>HYPERLINK("https://doi.org/10.1515/9780748628728")</f>
        <v>https://doi.org/10.1515/9780748628728</v>
      </c>
      <c r="AH1482" t="str">
        <f>HYPERLINK("http://www.degruyter.com/isbn/9780748628728")</f>
        <v>http://www.degruyter.com/isbn/9780748628728</v>
      </c>
      <c r="AI1482" t="s">
        <v>68</v>
      </c>
      <c r="AL1482" t="s">
        <v>15</v>
      </c>
      <c r="AM1482">
        <v>1</v>
      </c>
      <c r="AN1482" s="2">
        <v>9780748616503</v>
      </c>
    </row>
    <row r="1483" spans="1:40" x14ac:dyDescent="0.3">
      <c r="A1483" t="s">
        <v>7278</v>
      </c>
      <c r="B1483" t="s">
        <v>1</v>
      </c>
      <c r="C1483" t="s">
        <v>7279</v>
      </c>
      <c r="D1483" t="s">
        <v>7280</v>
      </c>
      <c r="E1483" t="s">
        <v>7281</v>
      </c>
      <c r="F1483" t="s">
        <v>5</v>
      </c>
      <c r="G1483" t="s">
        <v>6</v>
      </c>
      <c r="K1483" t="s">
        <v>4259</v>
      </c>
      <c r="L1483" t="s">
        <v>7</v>
      </c>
      <c r="M1483">
        <v>2019</v>
      </c>
      <c r="N1483" s="1">
        <v>43608</v>
      </c>
      <c r="O1483" t="s">
        <v>7282</v>
      </c>
      <c r="P1483">
        <v>1</v>
      </c>
      <c r="Q1483" t="s">
        <v>7283</v>
      </c>
      <c r="V1483" t="s">
        <v>9</v>
      </c>
      <c r="W1483" t="s">
        <v>10</v>
      </c>
      <c r="X1483" t="s">
        <v>11</v>
      </c>
      <c r="Y1483" t="s">
        <v>12</v>
      </c>
      <c r="AF1483" t="s">
        <v>13</v>
      </c>
      <c r="AG1483" t="str">
        <f>HYPERLINK("https://doi.org/10.1515/9781474410649?locatt=mode:legacy")</f>
        <v>https://doi.org/10.1515/9781474410649?locatt=mode:legacy</v>
      </c>
      <c r="AH1483" t="str">
        <f>HYPERLINK("http://www.degruyter.com/isbn/9781474410649")</f>
        <v>http://www.degruyter.com/isbn/9781474410649</v>
      </c>
      <c r="AI1483" t="s">
        <v>280</v>
      </c>
      <c r="AM1483">
        <v>1</v>
      </c>
      <c r="AN1483" s="2"/>
    </row>
    <row r="1484" spans="1:40" x14ac:dyDescent="0.3">
      <c r="A1484" t="s">
        <v>7284</v>
      </c>
      <c r="B1484" t="s">
        <v>1</v>
      </c>
      <c r="C1484" t="s">
        <v>7285</v>
      </c>
      <c r="D1484" t="s">
        <v>7286</v>
      </c>
      <c r="E1484" t="s">
        <v>7287</v>
      </c>
      <c r="F1484" t="s">
        <v>5</v>
      </c>
      <c r="G1484" t="s">
        <v>6</v>
      </c>
      <c r="L1484" t="s">
        <v>7</v>
      </c>
      <c r="M1484">
        <v>2018</v>
      </c>
      <c r="N1484" s="1">
        <v>44634</v>
      </c>
      <c r="O1484" t="s">
        <v>7288</v>
      </c>
      <c r="P1484">
        <v>1</v>
      </c>
      <c r="Q1484" t="s">
        <v>7289</v>
      </c>
      <c r="S1484">
        <v>217.95</v>
      </c>
      <c r="T1484">
        <v>250</v>
      </c>
      <c r="U1484">
        <v>190</v>
      </c>
      <c r="V1484" t="s">
        <v>20</v>
      </c>
      <c r="W1484" t="s">
        <v>21</v>
      </c>
      <c r="X1484" t="s">
        <v>22</v>
      </c>
      <c r="Y1484" t="s">
        <v>23</v>
      </c>
      <c r="AF1484" t="s">
        <v>13</v>
      </c>
      <c r="AG1484" t="str">
        <f>HYPERLINK("https://doi.org/10.1515/9781474413602?locatt=mode:legacy")</f>
        <v>https://doi.org/10.1515/9781474413602?locatt=mode:legacy</v>
      </c>
      <c r="AH1484" t="str">
        <f>HYPERLINK("http://www.degruyter.com/isbn/9781474413602")</f>
        <v>http://www.degruyter.com/isbn/9781474413602</v>
      </c>
      <c r="AI1484" t="s">
        <v>46</v>
      </c>
      <c r="AL1484" t="s">
        <v>15</v>
      </c>
      <c r="AM1484">
        <v>1</v>
      </c>
      <c r="AN1484" s="2">
        <v>9781474413596</v>
      </c>
    </row>
    <row r="1485" spans="1:40" x14ac:dyDescent="0.3">
      <c r="A1485" t="s">
        <v>7290</v>
      </c>
      <c r="B1485" t="s">
        <v>1</v>
      </c>
      <c r="C1485" t="s">
        <v>7291</v>
      </c>
      <c r="E1485" t="s">
        <v>7292</v>
      </c>
      <c r="F1485" t="s">
        <v>5</v>
      </c>
      <c r="G1485" t="s">
        <v>6</v>
      </c>
      <c r="L1485" t="s">
        <v>7</v>
      </c>
      <c r="M1485">
        <v>2013</v>
      </c>
      <c r="N1485" s="1">
        <v>41506</v>
      </c>
      <c r="O1485" t="s">
        <v>7293</v>
      </c>
      <c r="P1485">
        <v>1</v>
      </c>
      <c r="Q1485" t="s">
        <v>7047</v>
      </c>
      <c r="S1485">
        <v>191.95</v>
      </c>
      <c r="T1485">
        <v>220</v>
      </c>
      <c r="U1485">
        <v>170</v>
      </c>
      <c r="V1485" t="s">
        <v>42</v>
      </c>
      <c r="W1485" t="s">
        <v>107</v>
      </c>
      <c r="X1485" t="s">
        <v>108</v>
      </c>
      <c r="Y1485" t="s">
        <v>109</v>
      </c>
      <c r="AF1485" t="s">
        <v>13</v>
      </c>
      <c r="AG1485" t="str">
        <f>HYPERLINK("https://doi.org/10.1515/9780748645411")</f>
        <v>https://doi.org/10.1515/9780748645411</v>
      </c>
      <c r="AH1485" t="str">
        <f>HYPERLINK("http://www.degruyter.com/isbn/9780748645411")</f>
        <v>http://www.degruyter.com/isbn/9780748645411</v>
      </c>
      <c r="AI1485" t="s">
        <v>68</v>
      </c>
      <c r="AL1485" t="s">
        <v>47</v>
      </c>
      <c r="AM1485">
        <v>1</v>
      </c>
      <c r="AN1485" s="2">
        <v>9780748645404</v>
      </c>
    </row>
    <row r="1486" spans="1:40" x14ac:dyDescent="0.3">
      <c r="A1486" t="s">
        <v>7294</v>
      </c>
      <c r="B1486" t="s">
        <v>1</v>
      </c>
      <c r="C1486" t="s">
        <v>7295</v>
      </c>
      <c r="E1486" t="s">
        <v>7296</v>
      </c>
      <c r="F1486" t="s">
        <v>5</v>
      </c>
      <c r="G1486" t="s">
        <v>6</v>
      </c>
      <c r="L1486" t="s">
        <v>7</v>
      </c>
      <c r="M1486">
        <v>2003</v>
      </c>
      <c r="N1486" s="1">
        <v>37813</v>
      </c>
      <c r="O1486" t="s">
        <v>7297</v>
      </c>
      <c r="P1486">
        <v>1</v>
      </c>
      <c r="Q1486" t="s">
        <v>7298</v>
      </c>
      <c r="S1486">
        <v>331.95</v>
      </c>
      <c r="T1486">
        <v>380</v>
      </c>
      <c r="U1486">
        <v>290</v>
      </c>
      <c r="V1486" t="s">
        <v>329</v>
      </c>
      <c r="W1486" t="s">
        <v>330</v>
      </c>
      <c r="X1486" t="s">
        <v>331</v>
      </c>
      <c r="Y1486" t="s">
        <v>332</v>
      </c>
      <c r="AF1486" t="s">
        <v>13</v>
      </c>
      <c r="AG1486" t="str">
        <f>HYPERLINK("https://doi.org/10.1515/9781474468541?locatt=mode:legacy")</f>
        <v>https://doi.org/10.1515/9781474468541?locatt=mode:legacy</v>
      </c>
      <c r="AH1486" t="str">
        <f>HYPERLINK("http://www.degruyter.com/isbn/9781474468541")</f>
        <v>http://www.degruyter.com/isbn/9781474468541</v>
      </c>
      <c r="AI1486" t="s">
        <v>1661</v>
      </c>
      <c r="AL1486" t="s">
        <v>333</v>
      </c>
      <c r="AM1486">
        <v>1</v>
      </c>
      <c r="AN1486" s="2">
        <v>9780748613199</v>
      </c>
    </row>
    <row r="1487" spans="1:40" x14ac:dyDescent="0.3">
      <c r="A1487" t="s">
        <v>7299</v>
      </c>
      <c r="B1487" t="s">
        <v>1</v>
      </c>
      <c r="C1487" t="s">
        <v>7300</v>
      </c>
      <c r="D1487" t="s">
        <v>7301</v>
      </c>
      <c r="E1487" t="s">
        <v>7302</v>
      </c>
      <c r="F1487" t="s">
        <v>5</v>
      </c>
      <c r="G1487" t="s">
        <v>6</v>
      </c>
      <c r="L1487" t="s">
        <v>7</v>
      </c>
      <c r="M1487">
        <v>2016</v>
      </c>
      <c r="N1487" s="1">
        <v>42436</v>
      </c>
      <c r="O1487" t="s">
        <v>2533</v>
      </c>
      <c r="P1487">
        <v>1</v>
      </c>
      <c r="Q1487" t="s">
        <v>7303</v>
      </c>
      <c r="S1487">
        <v>253.95</v>
      </c>
      <c r="T1487">
        <v>290</v>
      </c>
      <c r="U1487">
        <v>220</v>
      </c>
      <c r="V1487" t="s">
        <v>79</v>
      </c>
      <c r="W1487" t="s">
        <v>80</v>
      </c>
      <c r="X1487" t="s">
        <v>80</v>
      </c>
      <c r="Y1487" t="s">
        <v>81</v>
      </c>
      <c r="AF1487" t="s">
        <v>13</v>
      </c>
      <c r="AG1487" t="str">
        <f>HYPERLINK("https://doi.org/10.1515/9780748697250")</f>
        <v>https://doi.org/10.1515/9780748697250</v>
      </c>
      <c r="AH1487" t="str">
        <f>HYPERLINK("http://www.degruyter.com/isbn/9780748697250")</f>
        <v>http://www.degruyter.com/isbn/9780748697250</v>
      </c>
      <c r="AI1487" t="s">
        <v>180</v>
      </c>
      <c r="AL1487" t="s">
        <v>83</v>
      </c>
      <c r="AM1487">
        <v>1</v>
      </c>
      <c r="AN1487" s="2">
        <v>9780748697243</v>
      </c>
    </row>
    <row r="1488" spans="1:40" x14ac:dyDescent="0.3">
      <c r="A1488" t="s">
        <v>7304</v>
      </c>
      <c r="B1488" t="s">
        <v>1</v>
      </c>
      <c r="C1488" t="s">
        <v>7305</v>
      </c>
      <c r="D1488" t="s">
        <v>7306</v>
      </c>
      <c r="E1488" t="s">
        <v>7307</v>
      </c>
      <c r="F1488" t="s">
        <v>5</v>
      </c>
      <c r="G1488" t="s">
        <v>6</v>
      </c>
      <c r="L1488" t="s">
        <v>7</v>
      </c>
      <c r="M1488">
        <v>2020</v>
      </c>
      <c r="N1488" s="1">
        <v>44656</v>
      </c>
      <c r="O1488" t="s">
        <v>7308</v>
      </c>
      <c r="P1488">
        <v>1</v>
      </c>
      <c r="Q1488" t="s">
        <v>7238</v>
      </c>
      <c r="S1488">
        <v>261.95</v>
      </c>
      <c r="T1488">
        <v>300</v>
      </c>
      <c r="U1488">
        <v>230</v>
      </c>
      <c r="V1488" t="s">
        <v>329</v>
      </c>
      <c r="W1488" t="s">
        <v>330</v>
      </c>
      <c r="X1488" t="s">
        <v>331</v>
      </c>
      <c r="Y1488" t="s">
        <v>4770</v>
      </c>
      <c r="AF1488" t="s">
        <v>13</v>
      </c>
      <c r="AG1488" t="str">
        <f>HYPERLINK("https://doi.org/10.1515/9781474442909")</f>
        <v>https://doi.org/10.1515/9781474442909</v>
      </c>
      <c r="AH1488" t="str">
        <f>HYPERLINK("http://www.degruyter.com/isbn/9781474442909")</f>
        <v>http://www.degruyter.com/isbn/9781474442909</v>
      </c>
      <c r="AI1488" t="s">
        <v>14</v>
      </c>
      <c r="AL1488" t="s">
        <v>333</v>
      </c>
      <c r="AM1488">
        <v>1</v>
      </c>
      <c r="AN1488" s="2">
        <v>9781474442886</v>
      </c>
    </row>
    <row r="1489" spans="1:40" x14ac:dyDescent="0.3">
      <c r="A1489" t="s">
        <v>7309</v>
      </c>
      <c r="B1489" t="s">
        <v>1</v>
      </c>
      <c r="C1489" t="s">
        <v>7310</v>
      </c>
      <c r="D1489" t="s">
        <v>7311</v>
      </c>
      <c r="E1489" t="s">
        <v>7312</v>
      </c>
      <c r="F1489" t="s">
        <v>5</v>
      </c>
      <c r="G1489" t="s">
        <v>6</v>
      </c>
      <c r="L1489" t="s">
        <v>7</v>
      </c>
      <c r="M1489">
        <v>2016</v>
      </c>
      <c r="N1489" s="1">
        <v>42518</v>
      </c>
      <c r="O1489" t="s">
        <v>7313</v>
      </c>
      <c r="P1489">
        <v>1</v>
      </c>
      <c r="Q1489" t="s">
        <v>5754</v>
      </c>
      <c r="S1489">
        <v>227.95</v>
      </c>
      <c r="T1489">
        <v>260</v>
      </c>
      <c r="U1489">
        <v>200</v>
      </c>
      <c r="V1489" t="s">
        <v>79</v>
      </c>
      <c r="W1489" t="s">
        <v>123</v>
      </c>
      <c r="X1489" t="s">
        <v>123</v>
      </c>
      <c r="Y1489" t="s">
        <v>124</v>
      </c>
      <c r="AF1489" t="s">
        <v>13</v>
      </c>
      <c r="AG1489" t="str">
        <f>HYPERLINK("https://doi.org/10.1515/9781474413923?locatt=mode:legacy")</f>
        <v>https://doi.org/10.1515/9781474413923?locatt=mode:legacy</v>
      </c>
      <c r="AH1489" t="str">
        <f>HYPERLINK("http://www.degruyter.com/isbn/9781474413923")</f>
        <v>http://www.degruyter.com/isbn/9781474413923</v>
      </c>
      <c r="AI1489" t="s">
        <v>180</v>
      </c>
      <c r="AJ1489" t="s">
        <v>35</v>
      </c>
      <c r="AL1489" t="s">
        <v>718</v>
      </c>
      <c r="AM1489">
        <v>1</v>
      </c>
      <c r="AN1489" s="2">
        <v>9781474413909</v>
      </c>
    </row>
    <row r="1490" spans="1:40" x14ac:dyDescent="0.3">
      <c r="A1490" t="s">
        <v>7314</v>
      </c>
      <c r="B1490" t="s">
        <v>1</v>
      </c>
      <c r="C1490" t="s">
        <v>7315</v>
      </c>
      <c r="D1490" t="s">
        <v>7316</v>
      </c>
      <c r="E1490" t="s">
        <v>7317</v>
      </c>
      <c r="F1490" t="s">
        <v>5</v>
      </c>
      <c r="G1490" t="s">
        <v>6</v>
      </c>
      <c r="L1490" t="s">
        <v>7</v>
      </c>
      <c r="M1490">
        <v>2016</v>
      </c>
      <c r="N1490" s="1">
        <v>42541</v>
      </c>
      <c r="O1490" t="s">
        <v>7318</v>
      </c>
      <c r="P1490">
        <v>1</v>
      </c>
      <c r="Q1490" t="s">
        <v>6606</v>
      </c>
      <c r="S1490">
        <v>253.95</v>
      </c>
      <c r="T1490">
        <v>290</v>
      </c>
      <c r="U1490">
        <v>220</v>
      </c>
      <c r="V1490" t="s">
        <v>79</v>
      </c>
      <c r="W1490" t="s">
        <v>80</v>
      </c>
      <c r="X1490" t="s">
        <v>80</v>
      </c>
      <c r="Y1490" t="s">
        <v>81</v>
      </c>
      <c r="AF1490" t="s">
        <v>13</v>
      </c>
      <c r="AG1490" t="str">
        <f>HYPERLINK("https://doi.org/10.1515/9781474414395")</f>
        <v>https://doi.org/10.1515/9781474414395</v>
      </c>
      <c r="AH1490" t="str">
        <f>HYPERLINK("http://www.degruyter.com/isbn/9781474414395")</f>
        <v>http://www.degruyter.com/isbn/9781474414395</v>
      </c>
      <c r="AI1490" t="s">
        <v>180</v>
      </c>
      <c r="AL1490" t="s">
        <v>83</v>
      </c>
      <c r="AM1490">
        <v>1</v>
      </c>
      <c r="AN1490" s="2">
        <v>9781474414371</v>
      </c>
    </row>
    <row r="1491" spans="1:40" x14ac:dyDescent="0.3">
      <c r="A1491" t="s">
        <v>7319</v>
      </c>
      <c r="B1491" t="s">
        <v>1</v>
      </c>
      <c r="C1491" t="s">
        <v>7320</v>
      </c>
      <c r="E1491" t="s">
        <v>7321</v>
      </c>
      <c r="F1491" t="s">
        <v>5</v>
      </c>
      <c r="G1491" t="s">
        <v>6</v>
      </c>
      <c r="L1491" t="s">
        <v>7</v>
      </c>
      <c r="M1491">
        <v>2008</v>
      </c>
      <c r="N1491" s="1">
        <v>39729</v>
      </c>
      <c r="O1491" t="s">
        <v>7322</v>
      </c>
      <c r="P1491">
        <v>1</v>
      </c>
      <c r="Q1491" t="s">
        <v>6644</v>
      </c>
      <c r="S1491">
        <v>209.95</v>
      </c>
      <c r="T1491">
        <v>240</v>
      </c>
      <c r="U1491">
        <v>180</v>
      </c>
      <c r="V1491" t="s">
        <v>20</v>
      </c>
      <c r="W1491" t="s">
        <v>21</v>
      </c>
      <c r="X1491" t="s">
        <v>3445</v>
      </c>
      <c r="Y1491" t="s">
        <v>3446</v>
      </c>
      <c r="AF1491" t="s">
        <v>13</v>
      </c>
      <c r="AG1491" t="str">
        <f>HYPERLINK("https://doi.org/10.1515/9780748629039")</f>
        <v>https://doi.org/10.1515/9780748629039</v>
      </c>
      <c r="AH1491" t="str">
        <f>HYPERLINK("http://www.degruyter.com/isbn/9780748629039")</f>
        <v>http://www.degruyter.com/isbn/9780748629039</v>
      </c>
      <c r="AI1491" t="s">
        <v>68</v>
      </c>
      <c r="AL1491" t="s">
        <v>15</v>
      </c>
      <c r="AM1491">
        <v>1</v>
      </c>
      <c r="AN1491" s="2">
        <v>9780748619467</v>
      </c>
    </row>
    <row r="1492" spans="1:40" x14ac:dyDescent="0.3">
      <c r="A1492" t="s">
        <v>7323</v>
      </c>
      <c r="B1492" t="s">
        <v>1</v>
      </c>
      <c r="C1492" t="s">
        <v>7324</v>
      </c>
      <c r="D1492" t="s">
        <v>7325</v>
      </c>
      <c r="E1492" t="s">
        <v>7326</v>
      </c>
      <c r="F1492" t="s">
        <v>5</v>
      </c>
      <c r="G1492" t="s">
        <v>6</v>
      </c>
      <c r="L1492" t="s">
        <v>7</v>
      </c>
      <c r="M1492">
        <v>2014</v>
      </c>
      <c r="N1492" s="1">
        <v>41943</v>
      </c>
      <c r="O1492" t="s">
        <v>5772</v>
      </c>
      <c r="P1492">
        <v>1</v>
      </c>
      <c r="Q1492" t="s">
        <v>5773</v>
      </c>
      <c r="S1492">
        <v>253.95</v>
      </c>
      <c r="T1492">
        <v>290</v>
      </c>
      <c r="U1492">
        <v>220</v>
      </c>
      <c r="V1492" t="s">
        <v>847</v>
      </c>
      <c r="W1492" t="s">
        <v>848</v>
      </c>
      <c r="X1492" t="s">
        <v>1068</v>
      </c>
      <c r="Y1492" t="s">
        <v>1069</v>
      </c>
      <c r="AF1492" t="s">
        <v>13</v>
      </c>
      <c r="AG1492" t="str">
        <f>HYPERLINK("https://doi.org/10.1515/9781474469814")</f>
        <v>https://doi.org/10.1515/9781474469814</v>
      </c>
      <c r="AH1492" t="str">
        <f>HYPERLINK("http://www.degruyter.com/isbn/9781474469814")</f>
        <v>http://www.degruyter.com/isbn/9781474469814</v>
      </c>
      <c r="AI1492" t="s">
        <v>34</v>
      </c>
      <c r="AL1492" t="s">
        <v>1070</v>
      </c>
      <c r="AM1492">
        <v>1</v>
      </c>
      <c r="AN1492" s="2">
        <v>9780748696185</v>
      </c>
    </row>
    <row r="1493" spans="1:40" x14ac:dyDescent="0.3">
      <c r="A1493" t="s">
        <v>7327</v>
      </c>
      <c r="B1493" t="s">
        <v>1</v>
      </c>
      <c r="C1493" t="s">
        <v>7328</v>
      </c>
      <c r="D1493" t="s">
        <v>7329</v>
      </c>
      <c r="E1493" t="s">
        <v>7330</v>
      </c>
      <c r="F1493" t="s">
        <v>5</v>
      </c>
      <c r="G1493" t="s">
        <v>6</v>
      </c>
      <c r="L1493" t="s">
        <v>7</v>
      </c>
      <c r="M1493">
        <v>2006</v>
      </c>
      <c r="N1493" s="1">
        <v>38799</v>
      </c>
      <c r="O1493" t="s">
        <v>4560</v>
      </c>
      <c r="P1493">
        <v>1</v>
      </c>
      <c r="S1493">
        <v>253.95</v>
      </c>
      <c r="T1493">
        <v>290</v>
      </c>
      <c r="U1493">
        <v>220</v>
      </c>
      <c r="V1493" t="s">
        <v>58</v>
      </c>
      <c r="W1493" t="s">
        <v>129</v>
      </c>
      <c r="X1493" t="s">
        <v>1290</v>
      </c>
      <c r="Y1493" t="s">
        <v>1291</v>
      </c>
      <c r="AF1493" t="s">
        <v>13</v>
      </c>
      <c r="AG1493" t="str">
        <f>HYPERLINK("https://doi.org/10.1515/9781474470766")</f>
        <v>https://doi.org/10.1515/9781474470766</v>
      </c>
      <c r="AH1493" t="str">
        <f>HYPERLINK("http://www.degruyter.com/isbn/9781474470766")</f>
        <v>http://www.degruyter.com/isbn/9781474470766</v>
      </c>
      <c r="AI1493" t="s">
        <v>68</v>
      </c>
      <c r="AL1493" t="s">
        <v>62</v>
      </c>
      <c r="AM1493">
        <v>1</v>
      </c>
      <c r="AN1493" s="2">
        <v>9780748622443</v>
      </c>
    </row>
    <row r="1494" spans="1:40" x14ac:dyDescent="0.3">
      <c r="A1494" t="s">
        <v>7331</v>
      </c>
      <c r="B1494" t="s">
        <v>1</v>
      </c>
      <c r="C1494" t="s">
        <v>7332</v>
      </c>
      <c r="D1494" t="s">
        <v>7333</v>
      </c>
      <c r="E1494" t="s">
        <v>7334</v>
      </c>
      <c r="F1494" t="s">
        <v>5</v>
      </c>
      <c r="G1494" t="s">
        <v>6</v>
      </c>
      <c r="L1494" t="s">
        <v>7</v>
      </c>
      <c r="M1494">
        <v>2001</v>
      </c>
      <c r="N1494" s="1">
        <v>44599</v>
      </c>
      <c r="O1494" t="s">
        <v>7335</v>
      </c>
      <c r="P1494">
        <v>1</v>
      </c>
      <c r="Q1494" t="s">
        <v>6929</v>
      </c>
      <c r="S1494">
        <v>217.95</v>
      </c>
      <c r="T1494">
        <v>250</v>
      </c>
      <c r="U1494">
        <v>190</v>
      </c>
      <c r="V1494" t="s">
        <v>20</v>
      </c>
      <c r="W1494" t="s">
        <v>21</v>
      </c>
      <c r="X1494" t="s">
        <v>3919</v>
      </c>
      <c r="Y1494" t="s">
        <v>4359</v>
      </c>
      <c r="AF1494" t="s">
        <v>13</v>
      </c>
      <c r="AG1494" t="str">
        <f>HYPERLINK("https://doi.org/10.1515/9781474470827")</f>
        <v>https://doi.org/10.1515/9781474470827</v>
      </c>
      <c r="AH1494" t="str">
        <f>HYPERLINK("http://www.degruyter.com/isbn/9781474470827")</f>
        <v>http://www.degruyter.com/isbn/9781474470827</v>
      </c>
      <c r="AI1494" t="s">
        <v>68</v>
      </c>
      <c r="AL1494" t="s">
        <v>15</v>
      </c>
      <c r="AM1494">
        <v>1</v>
      </c>
      <c r="AN1494" s="2">
        <v>9780748615100</v>
      </c>
    </row>
    <row r="1495" spans="1:40" x14ac:dyDescent="0.3">
      <c r="A1495" t="s">
        <v>7336</v>
      </c>
      <c r="B1495" t="s">
        <v>1</v>
      </c>
      <c r="C1495" t="s">
        <v>7337</v>
      </c>
      <c r="D1495" t="s">
        <v>7338</v>
      </c>
      <c r="E1495" t="s">
        <v>7339</v>
      </c>
      <c r="F1495" t="s">
        <v>5</v>
      </c>
      <c r="G1495" t="s">
        <v>6</v>
      </c>
      <c r="L1495" t="s">
        <v>7</v>
      </c>
      <c r="M1495">
        <v>2020</v>
      </c>
      <c r="N1495" s="1">
        <v>44644</v>
      </c>
      <c r="O1495" t="s">
        <v>7340</v>
      </c>
      <c r="P1495">
        <v>1</v>
      </c>
      <c r="Q1495" t="s">
        <v>7019</v>
      </c>
      <c r="S1495">
        <v>217.95</v>
      </c>
      <c r="T1495">
        <v>250</v>
      </c>
      <c r="U1495">
        <v>190</v>
      </c>
      <c r="V1495" t="s">
        <v>42</v>
      </c>
      <c r="W1495" t="s">
        <v>107</v>
      </c>
      <c r="X1495" t="s">
        <v>108</v>
      </c>
      <c r="Y1495" t="s">
        <v>109</v>
      </c>
      <c r="AF1495" t="s">
        <v>13</v>
      </c>
      <c r="AG1495" t="str">
        <f>HYPERLINK("https://doi.org/10.1515/9781474441698?locatt=mode:legacy")</f>
        <v>https://doi.org/10.1515/9781474441698?locatt=mode:legacy</v>
      </c>
      <c r="AH1495" t="str">
        <f>HYPERLINK("http://www.degruyter.com/isbn/9781474441698")</f>
        <v>http://www.degruyter.com/isbn/9781474441698</v>
      </c>
      <c r="AI1495" t="s">
        <v>14</v>
      </c>
      <c r="AL1495" t="s">
        <v>47</v>
      </c>
      <c r="AM1495">
        <v>1</v>
      </c>
      <c r="AN1495" s="2">
        <v>9781474441674</v>
      </c>
    </row>
    <row r="1496" spans="1:40" x14ac:dyDescent="0.3">
      <c r="A1496" t="s">
        <v>7341</v>
      </c>
      <c r="B1496" t="s">
        <v>1</v>
      </c>
      <c r="C1496" t="s">
        <v>7342</v>
      </c>
      <c r="D1496" t="s">
        <v>7343</v>
      </c>
      <c r="E1496" t="s">
        <v>7344</v>
      </c>
      <c r="F1496" t="s">
        <v>5</v>
      </c>
      <c r="G1496" t="s">
        <v>6</v>
      </c>
      <c r="L1496" t="s">
        <v>7</v>
      </c>
      <c r="M1496">
        <v>2017</v>
      </c>
      <c r="N1496" s="1">
        <v>42913</v>
      </c>
      <c r="O1496" t="s">
        <v>7345</v>
      </c>
      <c r="P1496">
        <v>1</v>
      </c>
      <c r="Q1496" t="s">
        <v>7238</v>
      </c>
      <c r="S1496">
        <v>243.95</v>
      </c>
      <c r="T1496">
        <v>280</v>
      </c>
      <c r="U1496">
        <v>210</v>
      </c>
      <c r="V1496" t="s">
        <v>329</v>
      </c>
      <c r="W1496" t="s">
        <v>330</v>
      </c>
      <c r="X1496" t="s">
        <v>331</v>
      </c>
      <c r="Y1496" t="s">
        <v>4770</v>
      </c>
      <c r="AF1496" t="s">
        <v>13</v>
      </c>
      <c r="AG1496" t="str">
        <f>HYPERLINK("https://doi.org/10.1515/9781474401029?locatt=mode:legacy")</f>
        <v>https://doi.org/10.1515/9781474401029?locatt=mode:legacy</v>
      </c>
      <c r="AH1496" t="str">
        <f>HYPERLINK("http://www.degruyter.com/isbn/9781474401029")</f>
        <v>http://www.degruyter.com/isbn/9781474401029</v>
      </c>
      <c r="AI1496" t="s">
        <v>222</v>
      </c>
      <c r="AL1496" t="s">
        <v>333</v>
      </c>
      <c r="AM1496">
        <v>1</v>
      </c>
      <c r="AN1496" s="2">
        <v>9781474401012</v>
      </c>
    </row>
    <row r="1497" spans="1:40" x14ac:dyDescent="0.3">
      <c r="A1497" t="s">
        <v>7346</v>
      </c>
      <c r="B1497" t="s">
        <v>1</v>
      </c>
      <c r="C1497" t="s">
        <v>7347</v>
      </c>
      <c r="E1497" t="s">
        <v>7348</v>
      </c>
      <c r="F1497" t="s">
        <v>5</v>
      </c>
      <c r="G1497" t="s">
        <v>6</v>
      </c>
      <c r="L1497" t="s">
        <v>7</v>
      </c>
      <c r="M1497">
        <v>2006</v>
      </c>
      <c r="N1497" s="1">
        <v>38765</v>
      </c>
      <c r="O1497" t="s">
        <v>7349</v>
      </c>
      <c r="P1497">
        <v>1</v>
      </c>
      <c r="Q1497" t="s">
        <v>6820</v>
      </c>
      <c r="S1497">
        <v>217.95</v>
      </c>
      <c r="T1497">
        <v>250</v>
      </c>
      <c r="U1497">
        <v>190</v>
      </c>
      <c r="V1497" t="s">
        <v>1155</v>
      </c>
      <c r="W1497" t="s">
        <v>7350</v>
      </c>
      <c r="X1497" t="s">
        <v>7350</v>
      </c>
      <c r="Y1497" t="s">
        <v>7351</v>
      </c>
      <c r="AF1497" t="s">
        <v>13</v>
      </c>
      <c r="AG1497" t="str">
        <f>HYPERLINK("https://doi.org/10.1515/9780748626458")</f>
        <v>https://doi.org/10.1515/9780748626458</v>
      </c>
      <c r="AH1497" t="str">
        <f>HYPERLINK("http://www.degruyter.com/isbn/9780748626458")</f>
        <v>http://www.degruyter.com/isbn/9780748626458</v>
      </c>
      <c r="AI1497" t="s">
        <v>68</v>
      </c>
      <c r="AL1497" t="s">
        <v>498</v>
      </c>
      <c r="AM1497">
        <v>1</v>
      </c>
      <c r="AN1497" s="2">
        <v>9780748621675</v>
      </c>
    </row>
    <row r="1498" spans="1:40" x14ac:dyDescent="0.3">
      <c r="A1498" t="s">
        <v>7352</v>
      </c>
      <c r="B1498" t="s">
        <v>1</v>
      </c>
      <c r="C1498" t="s">
        <v>7353</v>
      </c>
      <c r="E1498" t="s">
        <v>7354</v>
      </c>
      <c r="F1498" t="s">
        <v>5</v>
      </c>
      <c r="G1498" t="s">
        <v>6</v>
      </c>
      <c r="L1498" t="s">
        <v>7</v>
      </c>
      <c r="M1498">
        <v>2017</v>
      </c>
      <c r="N1498" s="1">
        <v>42781</v>
      </c>
      <c r="O1498" t="s">
        <v>7355</v>
      </c>
      <c r="P1498">
        <v>1</v>
      </c>
      <c r="S1498">
        <v>227.95</v>
      </c>
      <c r="T1498">
        <v>260</v>
      </c>
      <c r="U1498">
        <v>200</v>
      </c>
      <c r="V1498" t="s">
        <v>42</v>
      </c>
      <c r="W1498" t="s">
        <v>116</v>
      </c>
      <c r="X1498" t="s">
        <v>116</v>
      </c>
      <c r="Y1498" t="s">
        <v>117</v>
      </c>
      <c r="AF1498" t="s">
        <v>13</v>
      </c>
      <c r="AG1498" t="str">
        <f>HYPERLINK("https://doi.org/10.1515/9781474403740")</f>
        <v>https://doi.org/10.1515/9781474403740</v>
      </c>
      <c r="AH1498" t="str">
        <f>HYPERLINK("http://www.degruyter.com/isbn/9781474403740")</f>
        <v>http://www.degruyter.com/isbn/9781474403740</v>
      </c>
      <c r="AI1498" t="s">
        <v>7356</v>
      </c>
      <c r="AL1498" t="s">
        <v>47</v>
      </c>
      <c r="AM1498">
        <v>1</v>
      </c>
      <c r="AN1498" s="2">
        <v>9781474403726</v>
      </c>
    </row>
    <row r="1499" spans="1:40" x14ac:dyDescent="0.3">
      <c r="A1499" t="s">
        <v>7357</v>
      </c>
      <c r="B1499" t="s">
        <v>1</v>
      </c>
      <c r="C1499" t="s">
        <v>7358</v>
      </c>
      <c r="D1499" t="s">
        <v>7359</v>
      </c>
      <c r="E1499" t="s">
        <v>7360</v>
      </c>
      <c r="F1499" t="s">
        <v>5</v>
      </c>
      <c r="G1499" t="s">
        <v>6</v>
      </c>
      <c r="L1499" t="s">
        <v>7</v>
      </c>
      <c r="M1499">
        <v>2017</v>
      </c>
      <c r="N1499" s="1">
        <v>43086</v>
      </c>
      <c r="O1499" t="s">
        <v>7361</v>
      </c>
      <c r="P1499">
        <v>1</v>
      </c>
      <c r="Q1499" t="s">
        <v>7362</v>
      </c>
      <c r="S1499">
        <v>253.95</v>
      </c>
      <c r="T1499">
        <v>290</v>
      </c>
      <c r="U1499">
        <v>220</v>
      </c>
      <c r="V1499" t="s">
        <v>58</v>
      </c>
      <c r="W1499" t="s">
        <v>59</v>
      </c>
      <c r="X1499" t="s">
        <v>60</v>
      </c>
      <c r="Y1499" t="s">
        <v>61</v>
      </c>
      <c r="AF1499" t="s">
        <v>13</v>
      </c>
      <c r="AG1499" t="str">
        <f>HYPERLINK("https://doi.org/10.1515/9781474419802?locatt=mode:legacy")</f>
        <v>https://doi.org/10.1515/9781474419802?locatt=mode:legacy</v>
      </c>
      <c r="AH1499" t="str">
        <f>HYPERLINK("http://www.degruyter.com/isbn/9781474419802")</f>
        <v>http://www.degruyter.com/isbn/9781474419802</v>
      </c>
      <c r="AI1499" t="s">
        <v>222</v>
      </c>
      <c r="AL1499" t="s">
        <v>62</v>
      </c>
      <c r="AM1499">
        <v>1</v>
      </c>
      <c r="AN1499" s="2">
        <v>9781474419796</v>
      </c>
    </row>
    <row r="1500" spans="1:40" x14ac:dyDescent="0.3">
      <c r="A1500" t="s">
        <v>7363</v>
      </c>
      <c r="B1500" t="s">
        <v>1</v>
      </c>
      <c r="C1500" t="s">
        <v>7364</v>
      </c>
      <c r="D1500" t="s">
        <v>7365</v>
      </c>
      <c r="E1500" t="s">
        <v>7366</v>
      </c>
      <c r="F1500" t="s">
        <v>5</v>
      </c>
      <c r="G1500" t="s">
        <v>6</v>
      </c>
      <c r="L1500" t="s">
        <v>7</v>
      </c>
      <c r="M1500">
        <v>2016</v>
      </c>
      <c r="N1500" s="1">
        <v>42538</v>
      </c>
      <c r="O1500" t="s">
        <v>7367</v>
      </c>
      <c r="P1500">
        <v>1</v>
      </c>
      <c r="S1500">
        <v>253.95</v>
      </c>
      <c r="T1500">
        <v>290</v>
      </c>
      <c r="U1500">
        <v>220</v>
      </c>
      <c r="V1500" t="s">
        <v>20</v>
      </c>
      <c r="W1500" t="s">
        <v>21</v>
      </c>
      <c r="X1500" t="s">
        <v>839</v>
      </c>
      <c r="Y1500" t="s">
        <v>2469</v>
      </c>
      <c r="AF1500" t="s">
        <v>13</v>
      </c>
      <c r="AG1500" t="str">
        <f>HYPERLINK("https://doi.org/10.1515/9781474402286")</f>
        <v>https://doi.org/10.1515/9781474402286</v>
      </c>
      <c r="AH1500" t="str">
        <f>HYPERLINK("http://www.degruyter.com/isbn/9781474402286")</f>
        <v>http://www.degruyter.com/isbn/9781474402286</v>
      </c>
      <c r="AI1500" t="s">
        <v>180</v>
      </c>
      <c r="AJ1500" t="s">
        <v>35</v>
      </c>
      <c r="AL1500" t="s">
        <v>1346</v>
      </c>
      <c r="AM1500">
        <v>1</v>
      </c>
      <c r="AN1500" s="2">
        <v>9781474402279</v>
      </c>
    </row>
    <row r="1501" spans="1:40" x14ac:dyDescent="0.3">
      <c r="A1501" t="s">
        <v>7368</v>
      </c>
      <c r="B1501" t="s">
        <v>1</v>
      </c>
      <c r="C1501" t="s">
        <v>7369</v>
      </c>
      <c r="D1501" t="s">
        <v>7370</v>
      </c>
      <c r="E1501" t="s">
        <v>7371</v>
      </c>
      <c r="F1501" t="s">
        <v>5</v>
      </c>
      <c r="G1501" t="s">
        <v>6</v>
      </c>
      <c r="L1501" t="s">
        <v>7</v>
      </c>
      <c r="M1501">
        <v>2019</v>
      </c>
      <c r="N1501" s="1">
        <v>44644</v>
      </c>
      <c r="O1501" t="s">
        <v>1725</v>
      </c>
      <c r="P1501">
        <v>1</v>
      </c>
      <c r="S1501">
        <v>253.95</v>
      </c>
      <c r="T1501">
        <v>290</v>
      </c>
      <c r="U1501">
        <v>220</v>
      </c>
      <c r="V1501" t="s">
        <v>268</v>
      </c>
      <c r="W1501" t="s">
        <v>269</v>
      </c>
      <c r="X1501" t="s">
        <v>269</v>
      </c>
      <c r="Y1501" t="s">
        <v>360</v>
      </c>
      <c r="AF1501" t="s">
        <v>13</v>
      </c>
      <c r="AG1501" t="str">
        <f>HYPERLINK("https://doi.org/10.1515/9781474445306?locatt=mode:legacy")</f>
        <v>https://doi.org/10.1515/9781474445306?locatt=mode:legacy</v>
      </c>
      <c r="AH1501" t="str">
        <f>HYPERLINK("http://www.degruyter.com/isbn/9781474445306")</f>
        <v>http://www.degruyter.com/isbn/9781474445306</v>
      </c>
      <c r="AI1501" t="s">
        <v>3827</v>
      </c>
      <c r="AL1501" t="s">
        <v>272</v>
      </c>
      <c r="AM1501">
        <v>1</v>
      </c>
      <c r="AN1501" s="2">
        <v>9781474445283</v>
      </c>
    </row>
    <row r="1502" spans="1:40" x14ac:dyDescent="0.3">
      <c r="A1502" t="s">
        <v>7372</v>
      </c>
      <c r="B1502" t="s">
        <v>1</v>
      </c>
      <c r="C1502" t="s">
        <v>7373</v>
      </c>
      <c r="E1502" t="s">
        <v>7374</v>
      </c>
      <c r="F1502" t="s">
        <v>5</v>
      </c>
      <c r="G1502" t="s">
        <v>6</v>
      </c>
      <c r="L1502" t="s">
        <v>7</v>
      </c>
      <c r="M1502">
        <v>2012</v>
      </c>
      <c r="N1502" s="1">
        <v>41040</v>
      </c>
      <c r="O1502" t="s">
        <v>7375</v>
      </c>
      <c r="P1502">
        <v>1</v>
      </c>
      <c r="Q1502" t="s">
        <v>7095</v>
      </c>
      <c r="S1502">
        <v>253.95</v>
      </c>
      <c r="T1502">
        <v>290</v>
      </c>
      <c r="U1502">
        <v>220</v>
      </c>
      <c r="V1502" t="s">
        <v>79</v>
      </c>
      <c r="W1502" t="s">
        <v>209</v>
      </c>
      <c r="X1502" t="s">
        <v>209</v>
      </c>
      <c r="Y1502" t="s">
        <v>510</v>
      </c>
      <c r="AF1502" t="s">
        <v>13</v>
      </c>
      <c r="AG1502" t="str">
        <f>HYPERLINK("https://doi.org/10.1515/9780748643950")</f>
        <v>https://doi.org/10.1515/9780748643950</v>
      </c>
      <c r="AH1502" t="str">
        <f>HYPERLINK("http://www.degruyter.com/isbn/9780748643950")</f>
        <v>http://www.degruyter.com/isbn/9780748643950</v>
      </c>
      <c r="AI1502" t="s">
        <v>68</v>
      </c>
      <c r="AL1502" t="s">
        <v>83</v>
      </c>
      <c r="AM1502">
        <v>1</v>
      </c>
      <c r="AN1502" s="2">
        <v>9780748643943</v>
      </c>
    </row>
    <row r="1503" spans="1:40" x14ac:dyDescent="0.3">
      <c r="A1503" t="s">
        <v>7376</v>
      </c>
      <c r="B1503" t="s">
        <v>1</v>
      </c>
      <c r="C1503" t="s">
        <v>7377</v>
      </c>
      <c r="E1503" t="s">
        <v>7378</v>
      </c>
      <c r="F1503" t="s">
        <v>5</v>
      </c>
      <c r="G1503" t="s">
        <v>6</v>
      </c>
      <c r="L1503" t="s">
        <v>7</v>
      </c>
      <c r="M1503">
        <v>2021</v>
      </c>
      <c r="N1503" s="1">
        <v>44644</v>
      </c>
      <c r="O1503" t="s">
        <v>7379</v>
      </c>
      <c r="P1503">
        <v>1</v>
      </c>
      <c r="Q1503" t="s">
        <v>7194</v>
      </c>
      <c r="S1503">
        <v>217.95</v>
      </c>
      <c r="T1503">
        <v>250</v>
      </c>
      <c r="U1503">
        <v>190</v>
      </c>
      <c r="V1503" t="s">
        <v>305</v>
      </c>
      <c r="W1503" t="s">
        <v>650</v>
      </c>
      <c r="X1503" t="s">
        <v>650</v>
      </c>
      <c r="Y1503" t="s">
        <v>651</v>
      </c>
      <c r="AF1503" t="s">
        <v>13</v>
      </c>
      <c r="AG1503" t="str">
        <f>HYPERLINK("https://doi.org/10.1515/9780748693689")</f>
        <v>https://doi.org/10.1515/9780748693689</v>
      </c>
      <c r="AH1503" t="str">
        <f>HYPERLINK("http://www.degruyter.com/isbn/9780748693689")</f>
        <v>http://www.degruyter.com/isbn/9780748693689</v>
      </c>
      <c r="AI1503" t="s">
        <v>851</v>
      </c>
      <c r="AL1503" t="s">
        <v>308</v>
      </c>
      <c r="AM1503">
        <v>1</v>
      </c>
      <c r="AN1503" s="2">
        <v>9780748693672</v>
      </c>
    </row>
    <row r="1504" spans="1:40" x14ac:dyDescent="0.3">
      <c r="A1504" t="s">
        <v>7380</v>
      </c>
      <c r="B1504" t="s">
        <v>1</v>
      </c>
      <c r="C1504" t="s">
        <v>7381</v>
      </c>
      <c r="E1504" t="s">
        <v>7382</v>
      </c>
      <c r="F1504" t="s">
        <v>5</v>
      </c>
      <c r="G1504" t="s">
        <v>6</v>
      </c>
      <c r="L1504" t="s">
        <v>7</v>
      </c>
      <c r="M1504">
        <v>1992</v>
      </c>
      <c r="N1504" s="1">
        <v>44599</v>
      </c>
      <c r="O1504" t="s">
        <v>7383</v>
      </c>
      <c r="P1504">
        <v>1</v>
      </c>
      <c r="S1504">
        <v>305.95</v>
      </c>
      <c r="T1504">
        <v>350</v>
      </c>
      <c r="U1504">
        <v>270</v>
      </c>
      <c r="V1504" t="s">
        <v>20</v>
      </c>
      <c r="W1504" t="s">
        <v>21</v>
      </c>
      <c r="X1504" t="s">
        <v>22</v>
      </c>
      <c r="Y1504" t="s">
        <v>23</v>
      </c>
      <c r="AF1504" t="s">
        <v>13</v>
      </c>
      <c r="AG1504" t="str">
        <f>HYPERLINK("https://doi.org/10.1515/9781474468022")</f>
        <v>https://doi.org/10.1515/9781474468022</v>
      </c>
      <c r="AH1504" t="str">
        <f>HYPERLINK("http://www.degruyter.com/isbn/9781474468022")</f>
        <v>http://www.degruyter.com/isbn/9781474468022</v>
      </c>
      <c r="AI1504" t="s">
        <v>24</v>
      </c>
      <c r="AL1504" t="s">
        <v>15</v>
      </c>
      <c r="AM1504">
        <v>1</v>
      </c>
      <c r="AN1504" s="2">
        <v>9781853310300</v>
      </c>
    </row>
    <row r="1505" spans="1:40" x14ac:dyDescent="0.3">
      <c r="A1505" t="s">
        <v>7384</v>
      </c>
      <c r="B1505" t="s">
        <v>1</v>
      </c>
      <c r="C1505" t="s">
        <v>7385</v>
      </c>
      <c r="E1505" t="s">
        <v>7386</v>
      </c>
      <c r="F1505" t="s">
        <v>5</v>
      </c>
      <c r="G1505" t="s">
        <v>6</v>
      </c>
      <c r="L1505" t="s">
        <v>7</v>
      </c>
      <c r="M1505">
        <v>2004</v>
      </c>
      <c r="N1505" s="1">
        <v>38014</v>
      </c>
      <c r="O1505" t="s">
        <v>7387</v>
      </c>
      <c r="P1505">
        <v>1</v>
      </c>
      <c r="S1505">
        <v>261.95</v>
      </c>
      <c r="T1505">
        <v>300</v>
      </c>
      <c r="U1505">
        <v>230</v>
      </c>
      <c r="V1505" t="s">
        <v>98</v>
      </c>
      <c r="W1505" t="s">
        <v>99</v>
      </c>
      <c r="X1505" t="s">
        <v>386</v>
      </c>
      <c r="Y1505" t="s">
        <v>387</v>
      </c>
      <c r="AF1505" t="s">
        <v>13</v>
      </c>
      <c r="AG1505" t="str">
        <f>HYPERLINK("https://doi.org/10.1515/9781474472968")</f>
        <v>https://doi.org/10.1515/9781474472968</v>
      </c>
      <c r="AH1505" t="str">
        <f>HYPERLINK("http://www.degruyter.com/isbn/9781474472968")</f>
        <v>http://www.degruyter.com/isbn/9781474472968</v>
      </c>
      <c r="AI1505" t="s">
        <v>68</v>
      </c>
      <c r="AL1505" t="s">
        <v>102</v>
      </c>
      <c r="AM1505">
        <v>1</v>
      </c>
      <c r="AN1505" s="2">
        <v>9780748616909</v>
      </c>
    </row>
    <row r="1506" spans="1:40" x14ac:dyDescent="0.3">
      <c r="A1506" t="s">
        <v>7388</v>
      </c>
      <c r="B1506" t="s">
        <v>1</v>
      </c>
      <c r="C1506" t="s">
        <v>7389</v>
      </c>
      <c r="E1506" t="s">
        <v>7390</v>
      </c>
      <c r="F1506" t="s">
        <v>5</v>
      </c>
      <c r="G1506" t="s">
        <v>6</v>
      </c>
      <c r="L1506" t="s">
        <v>7</v>
      </c>
      <c r="M1506">
        <v>2009</v>
      </c>
      <c r="N1506" s="1">
        <v>40079</v>
      </c>
      <c r="O1506" t="s">
        <v>7391</v>
      </c>
      <c r="P1506">
        <v>1</v>
      </c>
      <c r="S1506">
        <v>227.95</v>
      </c>
      <c r="T1506">
        <v>260</v>
      </c>
      <c r="U1506">
        <v>200</v>
      </c>
      <c r="V1506" t="s">
        <v>42</v>
      </c>
      <c r="W1506" t="s">
        <v>740</v>
      </c>
      <c r="X1506" t="s">
        <v>741</v>
      </c>
      <c r="Y1506" t="s">
        <v>742</v>
      </c>
      <c r="AF1506" t="s">
        <v>13</v>
      </c>
      <c r="AG1506" t="str">
        <f>HYPERLINK("https://doi.org/10.1515/9780748637812?locatt=mode:legacy")</f>
        <v>https://doi.org/10.1515/9780748637812?locatt=mode:legacy</v>
      </c>
      <c r="AH1506" t="str">
        <f>HYPERLINK("http://www.degruyter.com/isbn/9780748637812")</f>
        <v>http://www.degruyter.com/isbn/9780748637812</v>
      </c>
      <c r="AI1506" t="s">
        <v>68</v>
      </c>
      <c r="AL1506" t="s">
        <v>47</v>
      </c>
      <c r="AM1506">
        <v>1</v>
      </c>
      <c r="AN1506" s="2">
        <v>9780748637805</v>
      </c>
    </row>
    <row r="1507" spans="1:40" x14ac:dyDescent="0.3">
      <c r="A1507" t="s">
        <v>7392</v>
      </c>
      <c r="B1507" t="s">
        <v>1</v>
      </c>
      <c r="C1507" t="s">
        <v>7393</v>
      </c>
      <c r="E1507" t="s">
        <v>7394</v>
      </c>
      <c r="F1507" t="s">
        <v>5</v>
      </c>
      <c r="G1507" t="s">
        <v>6</v>
      </c>
      <c r="L1507" t="s">
        <v>7</v>
      </c>
      <c r="M1507">
        <v>2006</v>
      </c>
      <c r="N1507" s="1">
        <v>38791</v>
      </c>
      <c r="O1507" t="s">
        <v>7395</v>
      </c>
      <c r="P1507">
        <v>1</v>
      </c>
      <c r="S1507">
        <v>217.95</v>
      </c>
      <c r="T1507">
        <v>250</v>
      </c>
      <c r="U1507">
        <v>190</v>
      </c>
      <c r="V1507" t="s">
        <v>98</v>
      </c>
      <c r="W1507" t="s">
        <v>99</v>
      </c>
      <c r="X1507" t="s">
        <v>386</v>
      </c>
      <c r="Y1507" t="s">
        <v>387</v>
      </c>
      <c r="AF1507" t="s">
        <v>13</v>
      </c>
      <c r="AG1507" t="str">
        <f>HYPERLINK("https://doi.org/10.1515/9780748626533")</f>
        <v>https://doi.org/10.1515/9780748626533</v>
      </c>
      <c r="AH1507" t="str">
        <f>HYPERLINK("http://www.degruyter.com/isbn/9780748626533")</f>
        <v>http://www.degruyter.com/isbn/9780748626533</v>
      </c>
      <c r="AI1507" t="s">
        <v>68</v>
      </c>
      <c r="AL1507" t="s">
        <v>102</v>
      </c>
      <c r="AM1507">
        <v>1</v>
      </c>
      <c r="AN1507" s="2">
        <v>9780748617494</v>
      </c>
    </row>
    <row r="1508" spans="1:40" x14ac:dyDescent="0.3">
      <c r="A1508" t="s">
        <v>7396</v>
      </c>
      <c r="B1508" t="s">
        <v>1</v>
      </c>
      <c r="C1508" t="s">
        <v>7397</v>
      </c>
      <c r="D1508" t="s">
        <v>7398</v>
      </c>
      <c r="E1508" t="s">
        <v>7399</v>
      </c>
      <c r="F1508" t="s">
        <v>5</v>
      </c>
      <c r="G1508" t="s">
        <v>6</v>
      </c>
      <c r="L1508" t="s">
        <v>7</v>
      </c>
      <c r="M1508">
        <v>2020</v>
      </c>
      <c r="N1508" s="1">
        <v>44656</v>
      </c>
      <c r="O1508" t="s">
        <v>7400</v>
      </c>
      <c r="P1508">
        <v>1</v>
      </c>
      <c r="Q1508" t="s">
        <v>7303</v>
      </c>
      <c r="S1508">
        <v>217.95</v>
      </c>
      <c r="T1508">
        <v>250</v>
      </c>
      <c r="U1508">
        <v>190</v>
      </c>
      <c r="V1508" t="s">
        <v>449</v>
      </c>
      <c r="W1508" t="s">
        <v>7401</v>
      </c>
      <c r="X1508" t="s">
        <v>7401</v>
      </c>
      <c r="Y1508" t="s">
        <v>7402</v>
      </c>
      <c r="AF1508" t="s">
        <v>13</v>
      </c>
      <c r="AG1508" t="str">
        <f>HYPERLINK("https://doi.org/10.1515/9781474447560")</f>
        <v>https://doi.org/10.1515/9781474447560</v>
      </c>
      <c r="AH1508" t="str">
        <f>HYPERLINK("http://www.degruyter.com/isbn/9781474447560")</f>
        <v>http://www.degruyter.com/isbn/9781474447560</v>
      </c>
      <c r="AI1508" t="s">
        <v>7403</v>
      </c>
      <c r="AL1508" t="s">
        <v>308</v>
      </c>
      <c r="AM1508">
        <v>1</v>
      </c>
      <c r="AN1508" s="2">
        <v>9781474447546</v>
      </c>
    </row>
    <row r="1509" spans="1:40" x14ac:dyDescent="0.3">
      <c r="A1509" t="s">
        <v>7404</v>
      </c>
      <c r="B1509" t="s">
        <v>1</v>
      </c>
      <c r="C1509" t="s">
        <v>7405</v>
      </c>
      <c r="E1509" t="s">
        <v>7406</v>
      </c>
      <c r="F1509" t="s">
        <v>5</v>
      </c>
      <c r="G1509" t="s">
        <v>6</v>
      </c>
      <c r="L1509" t="s">
        <v>7</v>
      </c>
      <c r="M1509">
        <v>1991</v>
      </c>
      <c r="N1509" s="1">
        <v>44592</v>
      </c>
      <c r="O1509" t="s">
        <v>7407</v>
      </c>
      <c r="P1509">
        <v>1</v>
      </c>
      <c r="Q1509" t="s">
        <v>7408</v>
      </c>
      <c r="S1509">
        <v>217.95</v>
      </c>
      <c r="T1509">
        <v>250</v>
      </c>
      <c r="U1509">
        <v>190</v>
      </c>
      <c r="V1509" t="s">
        <v>42</v>
      </c>
      <c r="W1509" t="s">
        <v>116</v>
      </c>
      <c r="X1509" t="s">
        <v>116</v>
      </c>
      <c r="Y1509" t="s">
        <v>1129</v>
      </c>
      <c r="AF1509" t="s">
        <v>13</v>
      </c>
      <c r="AG1509" t="str">
        <f>HYPERLINK("https://doi.org/10.1515/9781474467971")</f>
        <v>https://doi.org/10.1515/9781474467971</v>
      </c>
      <c r="AH1509" t="str">
        <f>HYPERLINK("http://www.degruyter.com/isbn/9781474467971")</f>
        <v>http://www.degruyter.com/isbn/9781474467971</v>
      </c>
      <c r="AI1509" t="s">
        <v>24</v>
      </c>
      <c r="AL1509" t="s">
        <v>47</v>
      </c>
      <c r="AM1509">
        <v>1</v>
      </c>
      <c r="AN1509" s="2">
        <v>9780748603275</v>
      </c>
    </row>
    <row r="1510" spans="1:40" x14ac:dyDescent="0.3">
      <c r="A1510" t="s">
        <v>7409</v>
      </c>
      <c r="B1510" t="s">
        <v>1</v>
      </c>
      <c r="C1510" t="s">
        <v>7410</v>
      </c>
      <c r="E1510" t="s">
        <v>7411</v>
      </c>
      <c r="F1510" t="s">
        <v>5</v>
      </c>
      <c r="G1510" t="s">
        <v>6</v>
      </c>
      <c r="L1510" t="s">
        <v>7</v>
      </c>
      <c r="M1510">
        <v>2011</v>
      </c>
      <c r="N1510" s="1">
        <v>40877</v>
      </c>
      <c r="O1510" t="s">
        <v>7412</v>
      </c>
      <c r="P1510">
        <v>1</v>
      </c>
      <c r="S1510">
        <v>217.95</v>
      </c>
      <c r="T1510">
        <v>250</v>
      </c>
      <c r="U1510">
        <v>190</v>
      </c>
      <c r="V1510" t="s">
        <v>42</v>
      </c>
      <c r="W1510" t="s">
        <v>107</v>
      </c>
      <c r="X1510" t="s">
        <v>108</v>
      </c>
      <c r="Y1510" t="s">
        <v>952</v>
      </c>
      <c r="AF1510" t="s">
        <v>13</v>
      </c>
      <c r="AG1510" t="str">
        <f>HYPERLINK("https://doi.org/10.1515/9780748643585")</f>
        <v>https://doi.org/10.1515/9780748643585</v>
      </c>
      <c r="AH1510" t="str">
        <f>HYPERLINK("http://www.degruyter.com/isbn/9780748643585")</f>
        <v>http://www.degruyter.com/isbn/9780748643585</v>
      </c>
      <c r="AI1510" t="s">
        <v>68</v>
      </c>
      <c r="AL1510" t="s">
        <v>47</v>
      </c>
      <c r="AM1510">
        <v>1</v>
      </c>
      <c r="AN1510" s="2">
        <v>9780748643578</v>
      </c>
    </row>
    <row r="1511" spans="1:40" x14ac:dyDescent="0.3">
      <c r="A1511" t="s">
        <v>7413</v>
      </c>
      <c r="B1511" t="s">
        <v>1</v>
      </c>
      <c r="C1511" t="s">
        <v>7414</v>
      </c>
      <c r="D1511" t="s">
        <v>7415</v>
      </c>
      <c r="E1511" t="s">
        <v>7416</v>
      </c>
      <c r="F1511" t="s">
        <v>5</v>
      </c>
      <c r="G1511" t="s">
        <v>6</v>
      </c>
      <c r="L1511" t="s">
        <v>7</v>
      </c>
      <c r="M1511">
        <v>2020</v>
      </c>
      <c r="N1511" s="1">
        <v>44656</v>
      </c>
      <c r="O1511" t="s">
        <v>7417</v>
      </c>
      <c r="P1511">
        <v>1</v>
      </c>
      <c r="S1511">
        <v>217.95</v>
      </c>
      <c r="T1511">
        <v>250</v>
      </c>
      <c r="U1511">
        <v>190</v>
      </c>
      <c r="V1511" t="s">
        <v>42</v>
      </c>
      <c r="W1511" t="s">
        <v>107</v>
      </c>
      <c r="X1511" t="s">
        <v>108</v>
      </c>
      <c r="Y1511" t="s">
        <v>221</v>
      </c>
      <c r="AF1511" t="s">
        <v>13</v>
      </c>
      <c r="AG1511" t="str">
        <f>HYPERLINK("https://doi.org/10.1515/9781474441513")</f>
        <v>https://doi.org/10.1515/9781474441513</v>
      </c>
      <c r="AH1511" t="str">
        <f>HYPERLINK("http://www.degruyter.com/isbn/9781474441513")</f>
        <v>http://www.degruyter.com/isbn/9781474441513</v>
      </c>
      <c r="AI1511" t="s">
        <v>14</v>
      </c>
      <c r="AL1511" t="s">
        <v>47</v>
      </c>
      <c r="AM1511">
        <v>1</v>
      </c>
      <c r="AN1511" s="2">
        <v>9781474441490</v>
      </c>
    </row>
    <row r="1512" spans="1:40" x14ac:dyDescent="0.3">
      <c r="A1512" t="s">
        <v>7418</v>
      </c>
      <c r="B1512" t="s">
        <v>1</v>
      </c>
      <c r="C1512" t="s">
        <v>7419</v>
      </c>
      <c r="D1512" t="s">
        <v>7420</v>
      </c>
      <c r="E1512" t="s">
        <v>7421</v>
      </c>
      <c r="F1512" t="s">
        <v>5</v>
      </c>
      <c r="G1512" t="s">
        <v>6</v>
      </c>
      <c r="L1512" t="s">
        <v>7</v>
      </c>
      <c r="M1512">
        <v>2015</v>
      </c>
      <c r="N1512" s="1">
        <v>42184</v>
      </c>
      <c r="O1512" t="s">
        <v>7422</v>
      </c>
      <c r="P1512">
        <v>1</v>
      </c>
      <c r="Q1512" t="s">
        <v>7423</v>
      </c>
      <c r="S1512">
        <v>217.95</v>
      </c>
      <c r="T1512">
        <v>250</v>
      </c>
      <c r="U1512">
        <v>190</v>
      </c>
      <c r="V1512" t="s">
        <v>98</v>
      </c>
      <c r="W1512" t="s">
        <v>99</v>
      </c>
      <c r="X1512" t="s">
        <v>100</v>
      </c>
      <c r="Y1512" t="s">
        <v>937</v>
      </c>
      <c r="AF1512" t="s">
        <v>13</v>
      </c>
      <c r="AG1512" t="str">
        <f>HYPERLINK("https://doi.org/10.1515/9780748695522")</f>
        <v>https://doi.org/10.1515/9780748695522</v>
      </c>
      <c r="AH1512" t="str">
        <f>HYPERLINK("http://www.degruyter.com/isbn/9780748695522")</f>
        <v>http://www.degruyter.com/isbn/9780748695522</v>
      </c>
      <c r="AI1512" t="s">
        <v>34</v>
      </c>
      <c r="AL1512" t="s">
        <v>102</v>
      </c>
      <c r="AM1512">
        <v>1</v>
      </c>
      <c r="AN1512" s="2">
        <v>9780748695515</v>
      </c>
    </row>
    <row r="1513" spans="1:40" x14ac:dyDescent="0.3">
      <c r="A1513" t="s">
        <v>7424</v>
      </c>
      <c r="B1513" t="s">
        <v>1</v>
      </c>
      <c r="C1513" t="s">
        <v>7425</v>
      </c>
      <c r="E1513" t="s">
        <v>7426</v>
      </c>
      <c r="F1513" t="s">
        <v>5</v>
      </c>
      <c r="G1513" t="s">
        <v>6</v>
      </c>
      <c r="L1513" t="s">
        <v>7</v>
      </c>
      <c r="M1513">
        <v>2004</v>
      </c>
      <c r="N1513" s="1">
        <v>38251</v>
      </c>
      <c r="O1513" t="s">
        <v>7427</v>
      </c>
      <c r="P1513">
        <v>1</v>
      </c>
      <c r="S1513">
        <v>253.95</v>
      </c>
      <c r="T1513">
        <v>290</v>
      </c>
      <c r="U1513">
        <v>220</v>
      </c>
      <c r="V1513" t="s">
        <v>20</v>
      </c>
      <c r="W1513" t="s">
        <v>21</v>
      </c>
      <c r="X1513" t="s">
        <v>22</v>
      </c>
      <c r="Y1513" t="s">
        <v>23</v>
      </c>
      <c r="AF1513" t="s">
        <v>13</v>
      </c>
      <c r="AG1513" t="str">
        <f>HYPERLINK("https://doi.org/10.1515/9781474470834")</f>
        <v>https://doi.org/10.1515/9781474470834</v>
      </c>
      <c r="AH1513" t="str">
        <f>HYPERLINK("http://www.degruyter.com/isbn/9781474470834")</f>
        <v>http://www.degruyter.com/isbn/9781474470834</v>
      </c>
      <c r="AI1513" t="s">
        <v>68</v>
      </c>
      <c r="AL1513" t="s">
        <v>15</v>
      </c>
      <c r="AM1513">
        <v>1</v>
      </c>
      <c r="AN1513" s="2">
        <v>9780748620043</v>
      </c>
    </row>
    <row r="1514" spans="1:40" x14ac:dyDescent="0.3">
      <c r="A1514" t="s">
        <v>7428</v>
      </c>
      <c r="B1514" t="s">
        <v>1</v>
      </c>
      <c r="C1514">
        <v>1895</v>
      </c>
      <c r="D1514" t="s">
        <v>7429</v>
      </c>
      <c r="E1514" t="s">
        <v>7430</v>
      </c>
      <c r="F1514" t="s">
        <v>5</v>
      </c>
      <c r="G1514" t="s">
        <v>6</v>
      </c>
      <c r="L1514" t="s">
        <v>7</v>
      </c>
      <c r="M1514">
        <v>2011</v>
      </c>
      <c r="N1514" s="1">
        <v>40828</v>
      </c>
      <c r="O1514" t="s">
        <v>7431</v>
      </c>
      <c r="P1514">
        <v>1</v>
      </c>
      <c r="Q1514" t="s">
        <v>6539</v>
      </c>
      <c r="S1514">
        <v>217.95</v>
      </c>
      <c r="T1514">
        <v>250</v>
      </c>
      <c r="U1514">
        <v>190</v>
      </c>
      <c r="V1514" t="s">
        <v>20</v>
      </c>
      <c r="W1514" t="s">
        <v>21</v>
      </c>
      <c r="X1514" t="s">
        <v>22</v>
      </c>
      <c r="Y1514" t="s">
        <v>23</v>
      </c>
      <c r="AF1514" t="s">
        <v>13</v>
      </c>
      <c r="AG1514" t="str">
        <f>HYPERLINK("https://doi.org/10.1515/9780748650842")</f>
        <v>https://doi.org/10.1515/9780748650842</v>
      </c>
      <c r="AH1514" t="str">
        <f>HYPERLINK("http://www.degruyter.com/isbn/9780748650842")</f>
        <v>http://www.degruyter.com/isbn/9780748650842</v>
      </c>
      <c r="AI1514" t="s">
        <v>68</v>
      </c>
      <c r="AL1514" t="s">
        <v>15</v>
      </c>
      <c r="AM1514">
        <v>1</v>
      </c>
      <c r="AN1514" s="2">
        <v>9780748640560</v>
      </c>
    </row>
    <row r="1515" spans="1:40" x14ac:dyDescent="0.3">
      <c r="A1515" t="s">
        <v>7432</v>
      </c>
      <c r="B1515" t="s">
        <v>1</v>
      </c>
      <c r="C1515" t="s">
        <v>7433</v>
      </c>
      <c r="D1515" t="s">
        <v>7434</v>
      </c>
      <c r="E1515" t="s">
        <v>7435</v>
      </c>
      <c r="F1515" t="s">
        <v>5</v>
      </c>
      <c r="G1515" t="s">
        <v>6</v>
      </c>
      <c r="L1515" t="s">
        <v>7</v>
      </c>
      <c r="M1515">
        <v>2020</v>
      </c>
      <c r="N1515" s="1">
        <v>44644</v>
      </c>
      <c r="O1515" t="s">
        <v>7436</v>
      </c>
      <c r="P1515">
        <v>1</v>
      </c>
      <c r="S1515">
        <v>253.95</v>
      </c>
      <c r="T1515">
        <v>290</v>
      </c>
      <c r="U1515">
        <v>220</v>
      </c>
      <c r="V1515" t="s">
        <v>98</v>
      </c>
      <c r="W1515" t="s">
        <v>99</v>
      </c>
      <c r="X1515" t="s">
        <v>2010</v>
      </c>
      <c r="Y1515" t="s">
        <v>2011</v>
      </c>
      <c r="AF1515" t="s">
        <v>13</v>
      </c>
      <c r="AG1515" t="str">
        <f>HYPERLINK("https://doi.org/10.1515/9781474445887?locatt=mode:legacy")</f>
        <v>https://doi.org/10.1515/9781474445887?locatt=mode:legacy</v>
      </c>
      <c r="AH1515" t="str">
        <f>HYPERLINK("http://www.degruyter.com/isbn/9781474445887")</f>
        <v>http://www.degruyter.com/isbn/9781474445887</v>
      </c>
      <c r="AI1515" t="s">
        <v>14</v>
      </c>
      <c r="AL1515" t="s">
        <v>102</v>
      </c>
      <c r="AM1515">
        <v>1</v>
      </c>
      <c r="AN1515" s="2">
        <v>9781474445863</v>
      </c>
    </row>
    <row r="1516" spans="1:40" x14ac:dyDescent="0.3">
      <c r="A1516" t="s">
        <v>7437</v>
      </c>
      <c r="B1516" t="s">
        <v>1</v>
      </c>
      <c r="C1516" t="s">
        <v>7438</v>
      </c>
      <c r="E1516" t="s">
        <v>7439</v>
      </c>
      <c r="F1516" t="s">
        <v>5</v>
      </c>
      <c r="G1516" t="s">
        <v>6</v>
      </c>
      <c r="L1516" t="s">
        <v>7</v>
      </c>
      <c r="M1516">
        <v>2020</v>
      </c>
      <c r="N1516" s="1">
        <v>44656</v>
      </c>
      <c r="O1516" t="s">
        <v>7440</v>
      </c>
      <c r="P1516">
        <v>1</v>
      </c>
      <c r="S1516">
        <v>243.95</v>
      </c>
      <c r="T1516">
        <v>280</v>
      </c>
      <c r="U1516">
        <v>210</v>
      </c>
      <c r="V1516" t="s">
        <v>847</v>
      </c>
      <c r="W1516" t="s">
        <v>3102</v>
      </c>
      <c r="X1516" t="s">
        <v>3102</v>
      </c>
      <c r="Y1516" t="s">
        <v>3103</v>
      </c>
      <c r="AF1516" t="s">
        <v>13</v>
      </c>
      <c r="AG1516" t="str">
        <f>HYPERLINK("https://doi.org/10.1515/9781474454094")</f>
        <v>https://doi.org/10.1515/9781474454094</v>
      </c>
      <c r="AH1516" t="str">
        <f>HYPERLINK("http://www.degruyter.com/isbn/9781474454094")</f>
        <v>http://www.degruyter.com/isbn/9781474454094</v>
      </c>
      <c r="AI1516" t="s">
        <v>3672</v>
      </c>
      <c r="AL1516" t="s">
        <v>1070</v>
      </c>
      <c r="AM1516">
        <v>1</v>
      </c>
      <c r="AN1516" s="2">
        <v>9781474454070</v>
      </c>
    </row>
    <row r="1517" spans="1:40" x14ac:dyDescent="0.3">
      <c r="A1517" t="s">
        <v>7441</v>
      </c>
      <c r="B1517" t="s">
        <v>1</v>
      </c>
      <c r="C1517" t="s">
        <v>7442</v>
      </c>
      <c r="E1517" t="s">
        <v>7443</v>
      </c>
      <c r="F1517" t="s">
        <v>5</v>
      </c>
      <c r="G1517" t="s">
        <v>6</v>
      </c>
      <c r="L1517" t="s">
        <v>7</v>
      </c>
      <c r="M1517">
        <v>2017</v>
      </c>
      <c r="N1517" s="1">
        <v>43053</v>
      </c>
      <c r="O1517" t="s">
        <v>7444</v>
      </c>
      <c r="P1517">
        <v>1</v>
      </c>
      <c r="S1517">
        <v>217.95</v>
      </c>
      <c r="T1517">
        <v>250</v>
      </c>
      <c r="U1517">
        <v>190</v>
      </c>
      <c r="V1517" t="s">
        <v>89</v>
      </c>
      <c r="W1517" t="s">
        <v>90</v>
      </c>
      <c r="X1517" t="s">
        <v>91</v>
      </c>
      <c r="Y1517" t="s">
        <v>717</v>
      </c>
      <c r="AF1517" t="s">
        <v>13</v>
      </c>
      <c r="AG1517" t="str">
        <f>HYPERLINK("https://doi.org/10.1515/9781474417198")</f>
        <v>https://doi.org/10.1515/9781474417198</v>
      </c>
      <c r="AH1517" t="str">
        <f>HYPERLINK("http://www.degruyter.com/isbn/9781474417198")</f>
        <v>http://www.degruyter.com/isbn/9781474417198</v>
      </c>
      <c r="AI1517" t="s">
        <v>222</v>
      </c>
      <c r="AJ1517" t="s">
        <v>35</v>
      </c>
      <c r="AL1517" t="s">
        <v>718</v>
      </c>
      <c r="AM1517">
        <v>1</v>
      </c>
      <c r="AN1517" s="2">
        <v>9781474403290</v>
      </c>
    </row>
    <row r="1518" spans="1:40" x14ac:dyDescent="0.3">
      <c r="A1518" t="s">
        <v>7445</v>
      </c>
      <c r="B1518" t="s">
        <v>1</v>
      </c>
      <c r="C1518" t="s">
        <v>7446</v>
      </c>
      <c r="D1518" t="s">
        <v>4112</v>
      </c>
      <c r="E1518" t="s">
        <v>7447</v>
      </c>
      <c r="F1518" t="s">
        <v>5</v>
      </c>
      <c r="G1518" t="s">
        <v>6</v>
      </c>
      <c r="L1518" t="s">
        <v>7</v>
      </c>
      <c r="M1518">
        <v>2019</v>
      </c>
      <c r="N1518" s="1">
        <v>44656</v>
      </c>
      <c r="O1518" t="s">
        <v>7448</v>
      </c>
      <c r="P1518">
        <v>1</v>
      </c>
      <c r="Q1518" t="s">
        <v>7449</v>
      </c>
      <c r="S1518">
        <v>253.95</v>
      </c>
      <c r="T1518">
        <v>290</v>
      </c>
      <c r="U1518">
        <v>220</v>
      </c>
      <c r="V1518" t="s">
        <v>79</v>
      </c>
      <c r="W1518" t="s">
        <v>123</v>
      </c>
      <c r="X1518" t="s">
        <v>123</v>
      </c>
      <c r="Y1518" t="s">
        <v>124</v>
      </c>
      <c r="AF1518" t="s">
        <v>13</v>
      </c>
      <c r="AG1518" t="str">
        <f>HYPERLINK("https://doi.org/10.1515/9781474422833")</f>
        <v>https://doi.org/10.1515/9781474422833</v>
      </c>
      <c r="AH1518" t="str">
        <f>HYPERLINK("http://www.degruyter.com/isbn/9781474422833")</f>
        <v>http://www.degruyter.com/isbn/9781474422833</v>
      </c>
      <c r="AI1518" t="s">
        <v>280</v>
      </c>
      <c r="AL1518" t="s">
        <v>83</v>
      </c>
      <c r="AM1518">
        <v>1</v>
      </c>
      <c r="AN1518" s="2">
        <v>9781474422819</v>
      </c>
    </row>
    <row r="1519" spans="1:40" x14ac:dyDescent="0.3">
      <c r="A1519" t="s">
        <v>7450</v>
      </c>
      <c r="B1519" t="s">
        <v>1</v>
      </c>
      <c r="C1519" t="s">
        <v>7451</v>
      </c>
      <c r="E1519" t="s">
        <v>7452</v>
      </c>
      <c r="F1519" t="s">
        <v>5</v>
      </c>
      <c r="G1519" t="s">
        <v>6</v>
      </c>
      <c r="L1519" t="s">
        <v>7</v>
      </c>
      <c r="M1519">
        <v>2000</v>
      </c>
      <c r="N1519" s="1">
        <v>36612</v>
      </c>
      <c r="O1519" t="s">
        <v>7453</v>
      </c>
      <c r="P1519">
        <v>1</v>
      </c>
      <c r="Q1519" t="s">
        <v>7266</v>
      </c>
      <c r="S1519">
        <v>227.95</v>
      </c>
      <c r="T1519">
        <v>260</v>
      </c>
      <c r="U1519">
        <v>200</v>
      </c>
      <c r="V1519" t="s">
        <v>42</v>
      </c>
      <c r="W1519" t="s">
        <v>116</v>
      </c>
      <c r="X1519" t="s">
        <v>116</v>
      </c>
      <c r="Y1519" t="s">
        <v>117</v>
      </c>
      <c r="AF1519" t="s">
        <v>13</v>
      </c>
      <c r="AH1519" t="str">
        <f>HYPERLINK("http://www.degruyter.com/isbn/9781474433044")</f>
        <v>http://www.degruyter.com/isbn/9781474433044</v>
      </c>
      <c r="AI1519" t="s">
        <v>68</v>
      </c>
      <c r="AL1519" t="s">
        <v>47</v>
      </c>
      <c r="AM1519">
        <v>1</v>
      </c>
      <c r="AN1519" s="2">
        <v>9780748605750</v>
      </c>
    </row>
    <row r="1520" spans="1:40" x14ac:dyDescent="0.3">
      <c r="A1520" t="s">
        <v>7454</v>
      </c>
      <c r="B1520" t="s">
        <v>1</v>
      </c>
      <c r="C1520" t="s">
        <v>7455</v>
      </c>
      <c r="D1520" t="s">
        <v>1240</v>
      </c>
      <c r="E1520" t="s">
        <v>7456</v>
      </c>
      <c r="F1520" t="s">
        <v>5</v>
      </c>
      <c r="G1520" t="s">
        <v>6</v>
      </c>
      <c r="L1520" t="s">
        <v>7</v>
      </c>
      <c r="M1520">
        <v>1999</v>
      </c>
      <c r="N1520" s="1">
        <v>44599</v>
      </c>
      <c r="O1520" t="s">
        <v>661</v>
      </c>
      <c r="P1520">
        <v>1</v>
      </c>
      <c r="S1520">
        <v>339.95</v>
      </c>
      <c r="T1520">
        <v>390</v>
      </c>
      <c r="U1520">
        <v>300</v>
      </c>
      <c r="V1520" t="s">
        <v>42</v>
      </c>
      <c r="W1520" t="s">
        <v>116</v>
      </c>
      <c r="X1520" t="s">
        <v>116</v>
      </c>
      <c r="Y1520" t="s">
        <v>117</v>
      </c>
      <c r="AF1520" t="s">
        <v>13</v>
      </c>
      <c r="AG1520" t="str">
        <f>HYPERLINK("https://www.degruyter.com/isbn/9780748672776")</f>
        <v>https://www.degruyter.com/isbn/9780748672776</v>
      </c>
      <c r="AH1520" t="str">
        <f>HYPERLINK("http://www.degruyter.com/isbn/9780748672776")</f>
        <v>http://www.degruyter.com/isbn/9780748672776</v>
      </c>
      <c r="AI1520" t="s">
        <v>24</v>
      </c>
      <c r="AL1520" t="s">
        <v>47</v>
      </c>
      <c r="AM1520">
        <v>1</v>
      </c>
      <c r="AN1520" s="2">
        <v>9780748612130</v>
      </c>
    </row>
    <row r="1521" spans="1:40" x14ac:dyDescent="0.3">
      <c r="A1521" t="s">
        <v>7457</v>
      </c>
      <c r="B1521" t="s">
        <v>1</v>
      </c>
      <c r="C1521" t="s">
        <v>7458</v>
      </c>
      <c r="E1521" t="s">
        <v>7459</v>
      </c>
      <c r="F1521" t="s">
        <v>5</v>
      </c>
      <c r="G1521" t="s">
        <v>6</v>
      </c>
      <c r="L1521" t="s">
        <v>7</v>
      </c>
      <c r="M1521">
        <v>2009</v>
      </c>
      <c r="N1521" s="1">
        <v>40161</v>
      </c>
      <c r="O1521" t="s">
        <v>7460</v>
      </c>
      <c r="P1521">
        <v>1</v>
      </c>
      <c r="S1521">
        <v>261.95</v>
      </c>
      <c r="T1521">
        <v>300</v>
      </c>
      <c r="U1521">
        <v>230</v>
      </c>
      <c r="V1521" t="s">
        <v>9</v>
      </c>
      <c r="W1521" t="s">
        <v>10</v>
      </c>
      <c r="X1521" t="s">
        <v>11</v>
      </c>
      <c r="Y1521" t="s">
        <v>12</v>
      </c>
      <c r="AF1521" t="s">
        <v>13</v>
      </c>
      <c r="AG1521" t="str">
        <f>HYPERLINK("https://doi.org/10.1515/9780748632527?locatt=mode:legacy")</f>
        <v>https://doi.org/10.1515/9780748632527?locatt=mode:legacy</v>
      </c>
      <c r="AH1521" t="str">
        <f>HYPERLINK("http://www.degruyter.com/isbn/9780748632527")</f>
        <v>http://www.degruyter.com/isbn/9780748632527</v>
      </c>
      <c r="AI1521" t="s">
        <v>68</v>
      </c>
      <c r="AL1521" t="s">
        <v>15</v>
      </c>
      <c r="AM1521">
        <v>1</v>
      </c>
      <c r="AN1521" s="2">
        <v>9780748632893</v>
      </c>
    </row>
    <row r="1522" spans="1:40" x14ac:dyDescent="0.3">
      <c r="A1522" t="s">
        <v>7461</v>
      </c>
      <c r="B1522" t="s">
        <v>1</v>
      </c>
      <c r="C1522" t="s">
        <v>7462</v>
      </c>
      <c r="E1522" t="s">
        <v>7463</v>
      </c>
      <c r="F1522" t="s">
        <v>5</v>
      </c>
      <c r="G1522" t="s">
        <v>6</v>
      </c>
      <c r="L1522" t="s">
        <v>7</v>
      </c>
      <c r="M1522">
        <v>2006</v>
      </c>
      <c r="N1522" s="1">
        <v>39044</v>
      </c>
      <c r="O1522" t="s">
        <v>7265</v>
      </c>
      <c r="P1522">
        <v>1</v>
      </c>
      <c r="Q1522" t="s">
        <v>7266</v>
      </c>
      <c r="S1522">
        <v>279.95</v>
      </c>
      <c r="T1522">
        <v>320</v>
      </c>
      <c r="U1522">
        <v>240</v>
      </c>
      <c r="V1522" t="s">
        <v>42</v>
      </c>
      <c r="W1522" t="s">
        <v>116</v>
      </c>
      <c r="X1522" t="s">
        <v>116</v>
      </c>
      <c r="Y1522" t="s">
        <v>117</v>
      </c>
      <c r="AF1522" t="s">
        <v>13</v>
      </c>
      <c r="AG1522" t="str">
        <f>HYPERLINK("https://doi.org/10.1515/9780748628353")</f>
        <v>https://doi.org/10.1515/9780748628353</v>
      </c>
      <c r="AH1522" t="str">
        <f>HYPERLINK("http://www.degruyter.com/isbn/9780748628353")</f>
        <v>http://www.degruyter.com/isbn/9780748628353</v>
      </c>
      <c r="AI1522" t="s">
        <v>68</v>
      </c>
      <c r="AL1522" t="s">
        <v>47</v>
      </c>
      <c r="AM1522">
        <v>1</v>
      </c>
      <c r="AN1522" s="2">
        <v>9780748605880</v>
      </c>
    </row>
    <row r="1523" spans="1:40" x14ac:dyDescent="0.3">
      <c r="A1523" t="s">
        <v>7464</v>
      </c>
      <c r="B1523" t="s">
        <v>1</v>
      </c>
      <c r="C1523" t="s">
        <v>7465</v>
      </c>
      <c r="D1523" t="s">
        <v>7466</v>
      </c>
      <c r="E1523" t="s">
        <v>7467</v>
      </c>
      <c r="F1523" t="s">
        <v>5</v>
      </c>
      <c r="G1523" t="s">
        <v>6</v>
      </c>
      <c r="L1523" t="s">
        <v>7</v>
      </c>
      <c r="M1523">
        <v>2019</v>
      </c>
      <c r="N1523" s="1">
        <v>44644</v>
      </c>
      <c r="O1523" t="s">
        <v>7468</v>
      </c>
      <c r="P1523">
        <v>1</v>
      </c>
      <c r="S1523">
        <v>217.95</v>
      </c>
      <c r="T1523">
        <v>250</v>
      </c>
      <c r="U1523">
        <v>190</v>
      </c>
      <c r="V1523" t="s">
        <v>20</v>
      </c>
      <c r="W1523" t="s">
        <v>21</v>
      </c>
      <c r="X1523" t="s">
        <v>22</v>
      </c>
      <c r="Y1523" t="s">
        <v>23</v>
      </c>
      <c r="AF1523" t="s">
        <v>13</v>
      </c>
      <c r="AG1523" t="str">
        <f>HYPERLINK("https://doi.org/10.1515/9780748699995")</f>
        <v>https://doi.org/10.1515/9780748699995</v>
      </c>
      <c r="AH1523" t="str">
        <f>HYPERLINK("http://www.degruyter.com/isbn/9780748699995")</f>
        <v>http://www.degruyter.com/isbn/9780748699995</v>
      </c>
      <c r="AI1523" t="s">
        <v>280</v>
      </c>
      <c r="AL1523" t="s">
        <v>15</v>
      </c>
      <c r="AM1523">
        <v>1</v>
      </c>
      <c r="AN1523" s="2">
        <v>9780748699988</v>
      </c>
    </row>
    <row r="1524" spans="1:40" x14ac:dyDescent="0.3">
      <c r="A1524" t="s">
        <v>7469</v>
      </c>
      <c r="B1524" t="s">
        <v>1</v>
      </c>
      <c r="C1524" t="s">
        <v>7470</v>
      </c>
      <c r="E1524" t="s">
        <v>7471</v>
      </c>
      <c r="F1524" t="s">
        <v>5</v>
      </c>
      <c r="G1524" t="s">
        <v>6</v>
      </c>
      <c r="L1524" t="s">
        <v>7</v>
      </c>
      <c r="M1524">
        <v>2008</v>
      </c>
      <c r="N1524" s="1">
        <v>39729</v>
      </c>
      <c r="O1524" t="s">
        <v>7472</v>
      </c>
      <c r="P1524">
        <v>1</v>
      </c>
      <c r="Q1524" t="s">
        <v>6644</v>
      </c>
      <c r="S1524">
        <v>227.95</v>
      </c>
      <c r="T1524">
        <v>260</v>
      </c>
      <c r="U1524">
        <v>200</v>
      </c>
      <c r="V1524" t="s">
        <v>20</v>
      </c>
      <c r="W1524" t="s">
        <v>21</v>
      </c>
      <c r="X1524" t="s">
        <v>3445</v>
      </c>
      <c r="Y1524" t="s">
        <v>3446</v>
      </c>
      <c r="AF1524" t="s">
        <v>13</v>
      </c>
      <c r="AG1524" t="str">
        <f>HYPERLINK("https://www.degruyter.com/isbn/9780748629770")</f>
        <v>https://www.degruyter.com/isbn/9780748629770</v>
      </c>
      <c r="AH1524" t="str">
        <f>HYPERLINK("http://www.degruyter.com/isbn/9780748629770")</f>
        <v>http://www.degruyter.com/isbn/9780748629770</v>
      </c>
      <c r="AI1524" t="s">
        <v>68</v>
      </c>
      <c r="AL1524" t="s">
        <v>15</v>
      </c>
      <c r="AM1524">
        <v>1</v>
      </c>
      <c r="AN1524" s="2">
        <v>9780748622580</v>
      </c>
    </row>
    <row r="1525" spans="1:40" x14ac:dyDescent="0.3">
      <c r="A1525" t="s">
        <v>7473</v>
      </c>
      <c r="B1525" t="s">
        <v>1</v>
      </c>
      <c r="C1525" t="s">
        <v>7474</v>
      </c>
      <c r="D1525" t="s">
        <v>7475</v>
      </c>
      <c r="E1525" t="s">
        <v>7476</v>
      </c>
      <c r="F1525" t="s">
        <v>5</v>
      </c>
      <c r="G1525" t="s">
        <v>6</v>
      </c>
      <c r="L1525" t="s">
        <v>7</v>
      </c>
      <c r="M1525">
        <v>2010</v>
      </c>
      <c r="N1525" s="1">
        <v>40394</v>
      </c>
      <c r="O1525" t="s">
        <v>1056</v>
      </c>
      <c r="P1525">
        <v>1</v>
      </c>
      <c r="S1525">
        <v>253.95</v>
      </c>
      <c r="T1525">
        <v>290</v>
      </c>
      <c r="U1525">
        <v>220</v>
      </c>
      <c r="V1525" t="s">
        <v>42</v>
      </c>
      <c r="W1525" t="s">
        <v>43</v>
      </c>
      <c r="X1525" t="s">
        <v>44</v>
      </c>
      <c r="Y1525" t="s">
        <v>45</v>
      </c>
      <c r="AF1525" t="s">
        <v>13</v>
      </c>
      <c r="AG1525" t="str">
        <f>HYPERLINK("https://doi.org/10.1515/9780748643219?locatt=mode:legacy")</f>
        <v>https://doi.org/10.1515/9780748643219?locatt=mode:legacy</v>
      </c>
      <c r="AH1525" t="str">
        <f>HYPERLINK("http://www.degruyter.com/isbn/9780748643219")</f>
        <v>http://www.degruyter.com/isbn/9780748643219</v>
      </c>
      <c r="AI1525" t="s">
        <v>68</v>
      </c>
      <c r="AL1525" t="s">
        <v>47</v>
      </c>
      <c r="AM1525">
        <v>1</v>
      </c>
      <c r="AN1525" s="2">
        <v>9780748638574</v>
      </c>
    </row>
    <row r="1526" spans="1:40" x14ac:dyDescent="0.3">
      <c r="A1526" t="s">
        <v>7477</v>
      </c>
      <c r="B1526" t="s">
        <v>1</v>
      </c>
      <c r="C1526" t="s">
        <v>7478</v>
      </c>
      <c r="E1526" t="s">
        <v>7479</v>
      </c>
      <c r="F1526" t="s">
        <v>5</v>
      </c>
      <c r="G1526" t="s">
        <v>6</v>
      </c>
      <c r="L1526" t="s">
        <v>7</v>
      </c>
      <c r="M1526">
        <v>2016</v>
      </c>
      <c r="N1526" s="1">
        <v>42415</v>
      </c>
      <c r="O1526" t="s">
        <v>7480</v>
      </c>
      <c r="P1526">
        <v>1</v>
      </c>
      <c r="Q1526" t="s">
        <v>7481</v>
      </c>
      <c r="S1526">
        <v>209.95</v>
      </c>
      <c r="T1526">
        <v>240</v>
      </c>
      <c r="U1526">
        <v>180</v>
      </c>
      <c r="V1526" t="s">
        <v>42</v>
      </c>
      <c r="W1526" t="s">
        <v>107</v>
      </c>
      <c r="X1526" t="s">
        <v>108</v>
      </c>
      <c r="Y1526" t="s">
        <v>109</v>
      </c>
      <c r="AF1526" t="s">
        <v>13</v>
      </c>
      <c r="AG1526" t="str">
        <f>HYPERLINK("https://doi.org/10.1515/9781474409629")</f>
        <v>https://doi.org/10.1515/9781474409629</v>
      </c>
      <c r="AH1526" t="str">
        <f>HYPERLINK("http://www.degruyter.com/isbn/9781474409629")</f>
        <v>http://www.degruyter.com/isbn/9781474409629</v>
      </c>
      <c r="AI1526" t="s">
        <v>180</v>
      </c>
      <c r="AL1526" t="s">
        <v>47</v>
      </c>
      <c r="AM1526">
        <v>1</v>
      </c>
      <c r="AN1526" s="2">
        <v>9781474409605</v>
      </c>
    </row>
    <row r="1527" spans="1:40" x14ac:dyDescent="0.3">
      <c r="A1527" t="s">
        <v>7482</v>
      </c>
      <c r="B1527" t="s">
        <v>1</v>
      </c>
      <c r="C1527" t="s">
        <v>7483</v>
      </c>
      <c r="D1527" t="s">
        <v>7484</v>
      </c>
      <c r="E1527" t="s">
        <v>7485</v>
      </c>
      <c r="F1527" t="s">
        <v>5</v>
      </c>
      <c r="G1527" t="s">
        <v>6</v>
      </c>
      <c r="L1527" t="s">
        <v>7</v>
      </c>
      <c r="M1527">
        <v>2018</v>
      </c>
      <c r="N1527" s="1">
        <v>44656</v>
      </c>
      <c r="O1527" t="s">
        <v>7486</v>
      </c>
      <c r="P1527">
        <v>1</v>
      </c>
      <c r="Q1527" t="s">
        <v>7086</v>
      </c>
      <c r="S1527">
        <v>217.95</v>
      </c>
      <c r="T1527">
        <v>250</v>
      </c>
      <c r="U1527">
        <v>190</v>
      </c>
      <c r="V1527" t="s">
        <v>20</v>
      </c>
      <c r="W1527" t="s">
        <v>21</v>
      </c>
      <c r="X1527" t="s">
        <v>4875</v>
      </c>
      <c r="Y1527" t="s">
        <v>5044</v>
      </c>
      <c r="AF1527" t="s">
        <v>13</v>
      </c>
      <c r="AG1527" t="str">
        <f>HYPERLINK("https://doi.org/10.1515/9781474431019?locatt=mode:legacy")</f>
        <v>https://doi.org/10.1515/9781474431019?locatt=mode:legacy</v>
      </c>
      <c r="AH1527" t="str">
        <f>HYPERLINK("http://www.degruyter.com/isbn/9781474431019")</f>
        <v>http://www.degruyter.com/isbn/9781474431019</v>
      </c>
      <c r="AI1527" t="s">
        <v>46</v>
      </c>
      <c r="AL1527" t="s">
        <v>15</v>
      </c>
      <c r="AM1527">
        <v>1</v>
      </c>
      <c r="AN1527" s="2">
        <v>9781474430999</v>
      </c>
    </row>
    <row r="1528" spans="1:40" x14ac:dyDescent="0.3">
      <c r="A1528" t="s">
        <v>7487</v>
      </c>
      <c r="B1528" t="s">
        <v>1</v>
      </c>
      <c r="C1528" t="s">
        <v>7488</v>
      </c>
      <c r="D1528" t="s">
        <v>5621</v>
      </c>
      <c r="E1528" t="s">
        <v>7489</v>
      </c>
      <c r="F1528" t="s">
        <v>5</v>
      </c>
      <c r="G1528" t="s">
        <v>6</v>
      </c>
      <c r="L1528" t="s">
        <v>7</v>
      </c>
      <c r="M1528">
        <v>2002</v>
      </c>
      <c r="N1528" s="1">
        <v>37579</v>
      </c>
      <c r="O1528" t="s">
        <v>1484</v>
      </c>
      <c r="P1528">
        <v>1</v>
      </c>
      <c r="S1528">
        <v>287.95</v>
      </c>
      <c r="T1528">
        <v>330</v>
      </c>
      <c r="U1528">
        <v>250</v>
      </c>
      <c r="V1528" t="s">
        <v>847</v>
      </c>
      <c r="W1528" t="s">
        <v>2396</v>
      </c>
      <c r="X1528" t="s">
        <v>2397</v>
      </c>
      <c r="Y1528" t="s">
        <v>2398</v>
      </c>
      <c r="AF1528" t="s">
        <v>13</v>
      </c>
      <c r="AG1528" t="str">
        <f>HYPERLINK("https://doi.org/10.1515/9781474472722")</f>
        <v>https://doi.org/10.1515/9781474472722</v>
      </c>
      <c r="AH1528" t="str">
        <f>HYPERLINK("http://www.degruyter.com/isbn/9781474472722")</f>
        <v>http://www.degruyter.com/isbn/9781474472722</v>
      </c>
      <c r="AI1528" t="s">
        <v>68</v>
      </c>
      <c r="AL1528" t="s">
        <v>1070</v>
      </c>
      <c r="AM1528">
        <v>1</v>
      </c>
      <c r="AN1528" s="2">
        <v>9780748617005</v>
      </c>
    </row>
    <row r="1529" spans="1:40" x14ac:dyDescent="0.3">
      <c r="A1529" t="s">
        <v>7490</v>
      </c>
      <c r="B1529" t="s">
        <v>1</v>
      </c>
      <c r="C1529" t="s">
        <v>7491</v>
      </c>
      <c r="E1529" t="s">
        <v>7492</v>
      </c>
      <c r="F1529" t="s">
        <v>5</v>
      </c>
      <c r="G1529" t="s">
        <v>6</v>
      </c>
      <c r="L1529" t="s">
        <v>7</v>
      </c>
      <c r="M1529">
        <v>2013</v>
      </c>
      <c r="N1529" s="1">
        <v>41477</v>
      </c>
      <c r="O1529" t="s">
        <v>7493</v>
      </c>
      <c r="P1529">
        <v>1</v>
      </c>
      <c r="Q1529" t="s">
        <v>6894</v>
      </c>
      <c r="S1529">
        <v>253.95</v>
      </c>
      <c r="T1529">
        <v>290</v>
      </c>
      <c r="U1529">
        <v>220</v>
      </c>
      <c r="V1529" t="s">
        <v>79</v>
      </c>
      <c r="W1529" t="s">
        <v>783</v>
      </c>
      <c r="X1529" t="s">
        <v>7494</v>
      </c>
      <c r="Y1529" t="s">
        <v>7495</v>
      </c>
      <c r="AF1529" t="s">
        <v>13</v>
      </c>
      <c r="AG1529" t="str">
        <f>HYPERLINK("https://doi.org/10.1515/9780748648979")</f>
        <v>https://doi.org/10.1515/9780748648979</v>
      </c>
      <c r="AH1529" t="str">
        <f>HYPERLINK("http://www.degruyter.com/isbn/9780748648979")</f>
        <v>http://www.degruyter.com/isbn/9780748648979</v>
      </c>
      <c r="AI1529" t="s">
        <v>68</v>
      </c>
      <c r="AL1529" t="s">
        <v>83</v>
      </c>
      <c r="AM1529">
        <v>1</v>
      </c>
      <c r="AN1529" s="2">
        <v>9780748648962</v>
      </c>
    </row>
    <row r="1530" spans="1:40" x14ac:dyDescent="0.3">
      <c r="A1530" t="s">
        <v>7496</v>
      </c>
      <c r="B1530" t="s">
        <v>1</v>
      </c>
      <c r="C1530" t="s">
        <v>7497</v>
      </c>
      <c r="D1530" t="s">
        <v>7498</v>
      </c>
      <c r="E1530" t="s">
        <v>7499</v>
      </c>
      <c r="F1530" t="s">
        <v>5</v>
      </c>
      <c r="G1530" t="s">
        <v>6</v>
      </c>
      <c r="L1530" t="s">
        <v>7</v>
      </c>
      <c r="M1530">
        <v>2017</v>
      </c>
      <c r="N1530" s="1">
        <v>43067</v>
      </c>
      <c r="O1530" t="s">
        <v>7500</v>
      </c>
      <c r="P1530">
        <v>1</v>
      </c>
      <c r="S1530">
        <v>217.95</v>
      </c>
      <c r="T1530">
        <v>250</v>
      </c>
      <c r="U1530">
        <v>190</v>
      </c>
      <c r="V1530" t="s">
        <v>9</v>
      </c>
      <c r="W1530" t="s">
        <v>10</v>
      </c>
      <c r="X1530" t="s">
        <v>11</v>
      </c>
      <c r="Y1530" t="s">
        <v>52</v>
      </c>
      <c r="AF1530" t="s">
        <v>13</v>
      </c>
      <c r="AG1530" t="str">
        <f>HYPERLINK("https://doi.org/10.1515/9781474470346")</f>
        <v>https://doi.org/10.1515/9781474470346</v>
      </c>
      <c r="AH1530" t="str">
        <f>HYPERLINK("http://www.degruyter.com/isbn/9781474470346")</f>
        <v>http://www.degruyter.com/isbn/9781474470346</v>
      </c>
      <c r="AI1530" t="s">
        <v>222</v>
      </c>
      <c r="AL1530" t="s">
        <v>15</v>
      </c>
      <c r="AM1530">
        <v>1</v>
      </c>
      <c r="AN1530" s="2">
        <v>9781474417945</v>
      </c>
    </row>
    <row r="1531" spans="1:40" x14ac:dyDescent="0.3">
      <c r="A1531" t="s">
        <v>7501</v>
      </c>
      <c r="B1531" t="s">
        <v>1</v>
      </c>
      <c r="C1531" t="s">
        <v>7502</v>
      </c>
      <c r="E1531" t="s">
        <v>7503</v>
      </c>
      <c r="F1531" t="s">
        <v>5</v>
      </c>
      <c r="G1531" t="s">
        <v>6</v>
      </c>
      <c r="L1531" t="s">
        <v>7</v>
      </c>
      <c r="M1531">
        <v>2006</v>
      </c>
      <c r="N1531" s="1">
        <v>39017</v>
      </c>
      <c r="O1531" t="s">
        <v>7504</v>
      </c>
      <c r="P1531">
        <v>1</v>
      </c>
      <c r="S1531">
        <v>227.95</v>
      </c>
      <c r="T1531">
        <v>260</v>
      </c>
      <c r="U1531">
        <v>200</v>
      </c>
      <c r="V1531" t="s">
        <v>42</v>
      </c>
      <c r="W1531" t="s">
        <v>116</v>
      </c>
      <c r="X1531" t="s">
        <v>116</v>
      </c>
      <c r="Y1531" t="s">
        <v>117</v>
      </c>
      <c r="AF1531" t="s">
        <v>13</v>
      </c>
      <c r="AG1531" t="str">
        <f>HYPERLINK("https://doi.org/10.1515/9780748629336")</f>
        <v>https://doi.org/10.1515/9780748629336</v>
      </c>
      <c r="AH1531" t="str">
        <f>HYPERLINK("http://www.degruyter.com/isbn/9780748629336")</f>
        <v>http://www.degruyter.com/isbn/9780748629336</v>
      </c>
      <c r="AI1531" t="s">
        <v>68</v>
      </c>
      <c r="AL1531" t="s">
        <v>47</v>
      </c>
      <c r="AM1531">
        <v>1</v>
      </c>
      <c r="AN1531" s="2">
        <v>9780748621057</v>
      </c>
    </row>
    <row r="1532" spans="1:40" x14ac:dyDescent="0.3">
      <c r="A1532" t="s">
        <v>7505</v>
      </c>
      <c r="B1532" t="s">
        <v>1</v>
      </c>
      <c r="C1532" t="s">
        <v>7506</v>
      </c>
      <c r="D1532" t="s">
        <v>7507</v>
      </c>
      <c r="E1532" t="s">
        <v>7508</v>
      </c>
      <c r="F1532" t="s">
        <v>5</v>
      </c>
      <c r="G1532" t="s">
        <v>6</v>
      </c>
      <c r="L1532" t="s">
        <v>7</v>
      </c>
      <c r="M1532">
        <v>2012</v>
      </c>
      <c r="N1532" s="1">
        <v>41087</v>
      </c>
      <c r="O1532" t="s">
        <v>7509</v>
      </c>
      <c r="P1532">
        <v>1</v>
      </c>
      <c r="S1532">
        <v>227.95</v>
      </c>
      <c r="T1532">
        <v>260</v>
      </c>
      <c r="U1532">
        <v>200</v>
      </c>
      <c r="V1532" t="s">
        <v>42</v>
      </c>
      <c r="W1532" t="s">
        <v>116</v>
      </c>
      <c r="X1532" t="s">
        <v>116</v>
      </c>
      <c r="Y1532" t="s">
        <v>586</v>
      </c>
      <c r="AF1532" t="s">
        <v>13</v>
      </c>
      <c r="AG1532" t="str">
        <f>HYPERLINK("https://doi.org/10.1515/9780748646746")</f>
        <v>https://doi.org/10.1515/9780748646746</v>
      </c>
      <c r="AH1532" t="str">
        <f>HYPERLINK("http://www.degruyter.com/isbn/9780748646746")</f>
        <v>http://www.degruyter.com/isbn/9780748646746</v>
      </c>
      <c r="AI1532" t="s">
        <v>68</v>
      </c>
      <c r="AL1532" t="s">
        <v>47</v>
      </c>
      <c r="AM1532">
        <v>1</v>
      </c>
      <c r="AN1532" s="2">
        <v>9780748646739</v>
      </c>
    </row>
    <row r="1533" spans="1:40" x14ac:dyDescent="0.3">
      <c r="A1533" t="s">
        <v>7510</v>
      </c>
      <c r="B1533" t="s">
        <v>1</v>
      </c>
      <c r="C1533" t="s">
        <v>7511</v>
      </c>
      <c r="D1533" t="s">
        <v>7512</v>
      </c>
      <c r="E1533" t="s">
        <v>7513</v>
      </c>
      <c r="F1533" t="s">
        <v>5</v>
      </c>
      <c r="G1533" t="s">
        <v>6</v>
      </c>
      <c r="L1533" t="s">
        <v>7</v>
      </c>
      <c r="M1533">
        <v>2014</v>
      </c>
      <c r="N1533" s="1">
        <v>41752</v>
      </c>
      <c r="O1533" t="s">
        <v>7514</v>
      </c>
      <c r="P1533">
        <v>1</v>
      </c>
      <c r="Q1533" t="s">
        <v>7515</v>
      </c>
      <c r="S1533">
        <v>217.95</v>
      </c>
      <c r="T1533">
        <v>250</v>
      </c>
      <c r="U1533">
        <v>190</v>
      </c>
      <c r="V1533" t="s">
        <v>58</v>
      </c>
      <c r="W1533" t="s">
        <v>59</v>
      </c>
      <c r="X1533" t="s">
        <v>60</v>
      </c>
      <c r="Y1533" t="s">
        <v>169</v>
      </c>
      <c r="AF1533" t="s">
        <v>13</v>
      </c>
      <c r="AG1533" t="str">
        <f>HYPERLINK("https://doi.org/10.1515/9780748691746")</f>
        <v>https://doi.org/10.1515/9780748691746</v>
      </c>
      <c r="AH1533" t="str">
        <f>HYPERLINK("http://www.degruyter.com/isbn/9780748691746")</f>
        <v>http://www.degruyter.com/isbn/9780748691746</v>
      </c>
      <c r="AI1533" t="s">
        <v>34</v>
      </c>
      <c r="AL1533" t="s">
        <v>62</v>
      </c>
      <c r="AM1533">
        <v>1</v>
      </c>
      <c r="AN1533" s="2">
        <v>9780748691739</v>
      </c>
    </row>
    <row r="1534" spans="1:40" x14ac:dyDescent="0.3">
      <c r="A1534" t="s">
        <v>7516</v>
      </c>
      <c r="B1534" t="s">
        <v>1</v>
      </c>
      <c r="C1534" t="s">
        <v>7517</v>
      </c>
      <c r="D1534" t="s">
        <v>7518</v>
      </c>
      <c r="E1534" t="s">
        <v>7519</v>
      </c>
      <c r="F1534" t="s">
        <v>5</v>
      </c>
      <c r="G1534" t="s">
        <v>6</v>
      </c>
      <c r="L1534" t="s">
        <v>7</v>
      </c>
      <c r="M1534">
        <v>2021</v>
      </c>
      <c r="N1534" s="1">
        <v>44656</v>
      </c>
      <c r="O1534" t="s">
        <v>7520</v>
      </c>
      <c r="P1534">
        <v>1</v>
      </c>
      <c r="Q1534" t="s">
        <v>7521</v>
      </c>
      <c r="S1534">
        <v>227.95</v>
      </c>
      <c r="T1534">
        <v>260</v>
      </c>
      <c r="U1534">
        <v>200</v>
      </c>
      <c r="V1534" t="s">
        <v>449</v>
      </c>
      <c r="W1534" t="s">
        <v>450</v>
      </c>
      <c r="X1534" t="s">
        <v>450</v>
      </c>
      <c r="Y1534" t="s">
        <v>7522</v>
      </c>
      <c r="AF1534" t="s">
        <v>13</v>
      </c>
      <c r="AG1534" t="str">
        <f>HYPERLINK("https://doi.org/10.1515/9781474474405")</f>
        <v>https://doi.org/10.1515/9781474474405</v>
      </c>
      <c r="AH1534" t="str">
        <f>HYPERLINK("http://www.degruyter.com/isbn/9781474474405")</f>
        <v>http://www.degruyter.com/isbn/9781474474405</v>
      </c>
      <c r="AI1534" t="s">
        <v>7523</v>
      </c>
      <c r="AL1534" t="s">
        <v>308</v>
      </c>
      <c r="AM1534">
        <v>1</v>
      </c>
      <c r="AN1534" s="2">
        <v>9781474474382</v>
      </c>
    </row>
    <row r="1535" spans="1:40" x14ac:dyDescent="0.3">
      <c r="A1535" t="s">
        <v>7524</v>
      </c>
      <c r="B1535" t="s">
        <v>1</v>
      </c>
      <c r="C1535" t="s">
        <v>7525</v>
      </c>
      <c r="D1535" t="s">
        <v>7526</v>
      </c>
      <c r="E1535" t="s">
        <v>7527</v>
      </c>
      <c r="F1535" t="s">
        <v>5</v>
      </c>
      <c r="G1535" t="s">
        <v>6</v>
      </c>
      <c r="L1535" t="s">
        <v>7</v>
      </c>
      <c r="M1535">
        <v>2020</v>
      </c>
      <c r="N1535" s="1">
        <v>44592</v>
      </c>
      <c r="O1535" t="s">
        <v>7528</v>
      </c>
      <c r="P1535">
        <v>1</v>
      </c>
      <c r="Q1535" t="s">
        <v>7529</v>
      </c>
      <c r="S1535">
        <v>305.95</v>
      </c>
      <c r="T1535">
        <v>350</v>
      </c>
      <c r="U1535">
        <v>270</v>
      </c>
      <c r="V1535" t="s">
        <v>329</v>
      </c>
      <c r="W1535" t="s">
        <v>330</v>
      </c>
      <c r="X1535" t="s">
        <v>331</v>
      </c>
      <c r="Y1535" t="s">
        <v>1035</v>
      </c>
      <c r="AF1535" t="s">
        <v>13</v>
      </c>
      <c r="AG1535" t="str">
        <f>HYPERLINK("https://doi.org/10.1515/9780748629343")</f>
        <v>https://doi.org/10.1515/9780748629343</v>
      </c>
      <c r="AH1535" t="str">
        <f>HYPERLINK("http://www.degruyter.com/isbn/9780748629343")</f>
        <v>http://www.degruyter.com/isbn/9780748629343</v>
      </c>
      <c r="AI1535" t="s">
        <v>14</v>
      </c>
      <c r="AL1535" t="s">
        <v>333</v>
      </c>
      <c r="AM1535">
        <v>1</v>
      </c>
      <c r="AN1535" s="2">
        <v>9780748621095</v>
      </c>
    </row>
    <row r="1536" spans="1:40" x14ac:dyDescent="0.3">
      <c r="A1536" t="s">
        <v>7530</v>
      </c>
      <c r="B1536" t="s">
        <v>1</v>
      </c>
      <c r="C1536" t="s">
        <v>7531</v>
      </c>
      <c r="E1536" t="s">
        <v>7532</v>
      </c>
      <c r="F1536" t="s">
        <v>5</v>
      </c>
      <c r="G1536" t="s">
        <v>6</v>
      </c>
      <c r="L1536" t="s">
        <v>7</v>
      </c>
      <c r="M1536">
        <v>2003</v>
      </c>
      <c r="N1536" s="1">
        <v>44607</v>
      </c>
      <c r="O1536" t="s">
        <v>7533</v>
      </c>
      <c r="P1536">
        <v>1</v>
      </c>
      <c r="Q1536" t="s">
        <v>6820</v>
      </c>
      <c r="S1536">
        <v>217.95</v>
      </c>
      <c r="T1536">
        <v>250</v>
      </c>
      <c r="U1536">
        <v>190</v>
      </c>
      <c r="V1536" t="s">
        <v>98</v>
      </c>
      <c r="W1536" t="s">
        <v>256</v>
      </c>
      <c r="X1536" t="s">
        <v>4297</v>
      </c>
      <c r="Y1536" t="s">
        <v>4298</v>
      </c>
      <c r="AF1536" t="s">
        <v>13</v>
      </c>
      <c r="AG1536" t="str">
        <f>HYPERLINK("https://doi.org/10.1515/9781474472111")</f>
        <v>https://doi.org/10.1515/9781474472111</v>
      </c>
      <c r="AH1536" t="str">
        <f>HYPERLINK("http://www.degruyter.com/isbn/9781474472111")</f>
        <v>http://www.degruyter.com/isbn/9781474472111</v>
      </c>
      <c r="AI1536" t="s">
        <v>68</v>
      </c>
      <c r="AL1536" t="s">
        <v>102</v>
      </c>
      <c r="AM1536">
        <v>1</v>
      </c>
      <c r="AN1536" s="2">
        <v>9780748615445</v>
      </c>
    </row>
    <row r="1537" spans="1:40" x14ac:dyDescent="0.3">
      <c r="A1537" t="s">
        <v>7534</v>
      </c>
      <c r="B1537" t="s">
        <v>1</v>
      </c>
      <c r="C1537" t="s">
        <v>7535</v>
      </c>
      <c r="D1537" t="s">
        <v>7536</v>
      </c>
      <c r="E1537" t="s">
        <v>7537</v>
      </c>
      <c r="F1537" t="s">
        <v>5</v>
      </c>
      <c r="G1537" t="s">
        <v>6</v>
      </c>
      <c r="L1537" t="s">
        <v>7</v>
      </c>
      <c r="M1537">
        <v>2011</v>
      </c>
      <c r="N1537" s="1">
        <v>40573</v>
      </c>
      <c r="O1537" t="s">
        <v>7538</v>
      </c>
      <c r="P1537">
        <v>1</v>
      </c>
      <c r="Q1537" t="s">
        <v>7539</v>
      </c>
      <c r="S1537">
        <v>287.95</v>
      </c>
      <c r="T1537">
        <v>330</v>
      </c>
      <c r="U1537">
        <v>250</v>
      </c>
      <c r="V1537" t="s">
        <v>329</v>
      </c>
      <c r="W1537" t="s">
        <v>330</v>
      </c>
      <c r="X1537" t="s">
        <v>331</v>
      </c>
      <c r="Y1537" t="s">
        <v>4770</v>
      </c>
      <c r="AF1537" t="s">
        <v>13</v>
      </c>
      <c r="AG1537" t="str">
        <f>HYPERLINK("https://doi.org/10.1515/9780748644896?locatt=mode:legacy")</f>
        <v>https://doi.org/10.1515/9780748644896?locatt=mode:legacy</v>
      </c>
      <c r="AH1537" t="str">
        <f>HYPERLINK("http://www.degruyter.com/isbn/9780748644896")</f>
        <v>http://www.degruyter.com/isbn/9780748644896</v>
      </c>
      <c r="AI1537" t="s">
        <v>68</v>
      </c>
      <c r="AL1537" t="s">
        <v>333</v>
      </c>
      <c r="AM1537">
        <v>1</v>
      </c>
      <c r="AN1537" s="2">
        <v>9780748638093</v>
      </c>
    </row>
    <row r="1538" spans="1:40" x14ac:dyDescent="0.3">
      <c r="A1538" t="s">
        <v>7540</v>
      </c>
      <c r="B1538" t="s">
        <v>1</v>
      </c>
      <c r="C1538" t="s">
        <v>7541</v>
      </c>
      <c r="E1538" t="s">
        <v>7542</v>
      </c>
      <c r="F1538" t="s">
        <v>5</v>
      </c>
      <c r="G1538" t="s">
        <v>6</v>
      </c>
      <c r="L1538" t="s">
        <v>7</v>
      </c>
      <c r="M1538">
        <v>1986</v>
      </c>
      <c r="N1538" s="1">
        <v>44607</v>
      </c>
      <c r="O1538" t="s">
        <v>6997</v>
      </c>
      <c r="P1538">
        <v>1</v>
      </c>
      <c r="Q1538" t="s">
        <v>6998</v>
      </c>
      <c r="S1538">
        <v>876.95</v>
      </c>
      <c r="T1538">
        <v>990</v>
      </c>
      <c r="U1538">
        <v>760</v>
      </c>
      <c r="V1538" t="s">
        <v>1325</v>
      </c>
      <c r="W1538" t="s">
        <v>1326</v>
      </c>
      <c r="X1538" t="s">
        <v>1326</v>
      </c>
      <c r="Y1538" t="s">
        <v>6999</v>
      </c>
      <c r="AF1538" t="s">
        <v>13</v>
      </c>
      <c r="AG1538" t="str">
        <f>HYPERLINK("https://www.degruyter.com/isbn/9781474466141")</f>
        <v>https://www.degruyter.com/isbn/9781474466141</v>
      </c>
      <c r="AH1538" t="str">
        <f>HYPERLINK("http://www.degruyter.com/isbn/9781474466141")</f>
        <v>http://www.degruyter.com/isbn/9781474466141</v>
      </c>
      <c r="AI1538" t="s">
        <v>24</v>
      </c>
      <c r="AL1538" t="s">
        <v>1328</v>
      </c>
      <c r="AM1538">
        <v>1</v>
      </c>
      <c r="AN1538" s="2">
        <v>9780852245163</v>
      </c>
    </row>
    <row r="1539" spans="1:40" x14ac:dyDescent="0.3">
      <c r="A1539" t="s">
        <v>7543</v>
      </c>
      <c r="B1539" t="s">
        <v>1</v>
      </c>
      <c r="C1539" t="s">
        <v>7544</v>
      </c>
      <c r="D1539" t="s">
        <v>7545</v>
      </c>
      <c r="E1539" t="s">
        <v>7546</v>
      </c>
      <c r="F1539" t="s">
        <v>5</v>
      </c>
      <c r="G1539" t="s">
        <v>6</v>
      </c>
      <c r="L1539" t="s">
        <v>7</v>
      </c>
      <c r="M1539">
        <v>1995</v>
      </c>
      <c r="N1539" s="1">
        <v>44599</v>
      </c>
      <c r="O1539" t="s">
        <v>6796</v>
      </c>
      <c r="P1539">
        <v>1</v>
      </c>
      <c r="Q1539" t="s">
        <v>6797</v>
      </c>
      <c r="S1539">
        <v>487.95</v>
      </c>
      <c r="T1539">
        <v>560</v>
      </c>
      <c r="U1539">
        <v>430</v>
      </c>
      <c r="V1539" t="s">
        <v>79</v>
      </c>
      <c r="W1539" t="s">
        <v>209</v>
      </c>
      <c r="X1539" t="s">
        <v>209</v>
      </c>
      <c r="Y1539" t="s">
        <v>510</v>
      </c>
      <c r="AF1539" t="s">
        <v>13</v>
      </c>
      <c r="AG1539" t="str">
        <f>HYPERLINK("https://doi.org/10.1515/9781474428149")</f>
        <v>https://doi.org/10.1515/9781474428149</v>
      </c>
      <c r="AH1539" t="str">
        <f>HYPERLINK("http://www.degruyter.com/isbn/9781474428149")</f>
        <v>http://www.degruyter.com/isbn/9781474428149</v>
      </c>
      <c r="AI1539" t="s">
        <v>24</v>
      </c>
      <c r="AL1539" t="s">
        <v>83</v>
      </c>
      <c r="AM1539">
        <v>1</v>
      </c>
      <c r="AN1539" s="2">
        <v>9780748604593</v>
      </c>
    </row>
    <row r="1540" spans="1:40" x14ac:dyDescent="0.3">
      <c r="A1540" t="s">
        <v>7547</v>
      </c>
      <c r="B1540" t="s">
        <v>1</v>
      </c>
      <c r="C1540" t="s">
        <v>7548</v>
      </c>
      <c r="D1540" t="s">
        <v>7549</v>
      </c>
      <c r="E1540" t="s">
        <v>7550</v>
      </c>
      <c r="F1540" t="s">
        <v>5</v>
      </c>
      <c r="G1540" t="s">
        <v>6</v>
      </c>
      <c r="L1540" t="s">
        <v>7</v>
      </c>
      <c r="M1540">
        <v>2017</v>
      </c>
      <c r="N1540" s="1">
        <v>42934</v>
      </c>
      <c r="O1540" t="s">
        <v>7551</v>
      </c>
      <c r="P1540">
        <v>1</v>
      </c>
      <c r="S1540">
        <v>217.95</v>
      </c>
      <c r="T1540">
        <v>250</v>
      </c>
      <c r="U1540">
        <v>190</v>
      </c>
      <c r="V1540" t="s">
        <v>20</v>
      </c>
      <c r="W1540" t="s">
        <v>21</v>
      </c>
      <c r="X1540" t="s">
        <v>22</v>
      </c>
      <c r="Y1540" t="s">
        <v>23</v>
      </c>
      <c r="AF1540" t="s">
        <v>13</v>
      </c>
      <c r="AG1540" t="str">
        <f>HYPERLINK("https://doi.org/10.1515/9781474402309?locatt=mode:legacy")</f>
        <v>https://doi.org/10.1515/9781474402309?locatt=mode:legacy</v>
      </c>
      <c r="AH1540" t="str">
        <f>HYPERLINK("http://www.degruyter.com/isbn/9781474402309")</f>
        <v>http://www.degruyter.com/isbn/9781474402309</v>
      </c>
      <c r="AI1540" t="s">
        <v>222</v>
      </c>
      <c r="AL1540" t="s">
        <v>15</v>
      </c>
      <c r="AM1540">
        <v>1</v>
      </c>
      <c r="AN1540" s="2">
        <v>9781474402293</v>
      </c>
    </row>
    <row r="1541" spans="1:40" x14ac:dyDescent="0.3">
      <c r="A1541" t="s">
        <v>7552</v>
      </c>
      <c r="B1541" t="s">
        <v>1</v>
      </c>
      <c r="C1541" t="s">
        <v>7553</v>
      </c>
      <c r="E1541" t="s">
        <v>7554</v>
      </c>
      <c r="F1541" t="s">
        <v>5</v>
      </c>
      <c r="G1541" t="s">
        <v>6</v>
      </c>
      <c r="L1541" t="s">
        <v>7</v>
      </c>
      <c r="M1541">
        <v>2019</v>
      </c>
      <c r="N1541" s="1">
        <v>44656</v>
      </c>
      <c r="O1541" t="s">
        <v>7555</v>
      </c>
      <c r="P1541">
        <v>1</v>
      </c>
      <c r="S1541">
        <v>217.95</v>
      </c>
      <c r="T1541">
        <v>250</v>
      </c>
      <c r="U1541">
        <v>190</v>
      </c>
      <c r="V1541" t="s">
        <v>42</v>
      </c>
      <c r="W1541" t="s">
        <v>107</v>
      </c>
      <c r="X1541" t="s">
        <v>108</v>
      </c>
      <c r="Y1541" t="s">
        <v>109</v>
      </c>
      <c r="AF1541" t="s">
        <v>13</v>
      </c>
      <c r="AG1541" t="str">
        <f>HYPERLINK("https://doi.org/10.1515/9781474436892?locatt=mode:legacy")</f>
        <v>https://doi.org/10.1515/9781474436892?locatt=mode:legacy</v>
      </c>
      <c r="AH1541" t="str">
        <f>HYPERLINK("http://www.degruyter.com/isbn/9781474436892")</f>
        <v>http://www.degruyter.com/isbn/9781474436892</v>
      </c>
      <c r="AI1541" t="s">
        <v>280</v>
      </c>
      <c r="AL1541" t="s">
        <v>47</v>
      </c>
      <c r="AM1541">
        <v>1</v>
      </c>
      <c r="AN1541" s="2">
        <v>9781474436878</v>
      </c>
    </row>
    <row r="1542" spans="1:40" x14ac:dyDescent="0.3">
      <c r="A1542" t="s">
        <v>7556</v>
      </c>
      <c r="B1542" t="s">
        <v>1</v>
      </c>
      <c r="C1542" t="s">
        <v>7557</v>
      </c>
      <c r="D1542" t="s">
        <v>7558</v>
      </c>
      <c r="E1542" t="s">
        <v>7559</v>
      </c>
      <c r="F1542" t="s">
        <v>5</v>
      </c>
      <c r="G1542" t="s">
        <v>6</v>
      </c>
      <c r="L1542" t="s">
        <v>7</v>
      </c>
      <c r="M1542">
        <v>2008</v>
      </c>
      <c r="N1542" s="1">
        <v>39778</v>
      </c>
      <c r="O1542" t="s">
        <v>7560</v>
      </c>
      <c r="P1542">
        <v>1</v>
      </c>
      <c r="S1542">
        <v>243.95</v>
      </c>
      <c r="T1542">
        <v>280</v>
      </c>
      <c r="U1542">
        <v>210</v>
      </c>
      <c r="V1542" t="s">
        <v>20</v>
      </c>
      <c r="W1542" t="s">
        <v>21</v>
      </c>
      <c r="X1542" t="s">
        <v>575</v>
      </c>
      <c r="Y1542" t="s">
        <v>576</v>
      </c>
      <c r="AF1542" t="s">
        <v>13</v>
      </c>
      <c r="AG1542" t="str">
        <f>HYPERLINK("https://doi.org/10.1515/9780748629480")</f>
        <v>https://doi.org/10.1515/9780748629480</v>
      </c>
      <c r="AH1542" t="str">
        <f>HYPERLINK("http://www.degruyter.com/isbn/9780748629480")</f>
        <v>http://www.degruyter.com/isbn/9780748629480</v>
      </c>
      <c r="AI1542" t="s">
        <v>68</v>
      </c>
      <c r="AL1542" t="s">
        <v>15</v>
      </c>
      <c r="AM1542">
        <v>1</v>
      </c>
      <c r="AN1542" s="2">
        <v>9780748621514</v>
      </c>
    </row>
    <row r="1543" spans="1:40" x14ac:dyDescent="0.3">
      <c r="A1543" t="s">
        <v>7561</v>
      </c>
      <c r="B1543" t="s">
        <v>1</v>
      </c>
      <c r="C1543" t="s">
        <v>7562</v>
      </c>
      <c r="D1543" t="s">
        <v>7563</v>
      </c>
      <c r="E1543" t="s">
        <v>7564</v>
      </c>
      <c r="F1543" t="s">
        <v>5</v>
      </c>
      <c r="G1543" t="s">
        <v>6</v>
      </c>
      <c r="L1543" t="s">
        <v>7</v>
      </c>
      <c r="M1543">
        <v>1993</v>
      </c>
      <c r="N1543" s="1">
        <v>44607</v>
      </c>
      <c r="O1543" t="s">
        <v>7565</v>
      </c>
      <c r="P1543">
        <v>1</v>
      </c>
      <c r="Q1543" t="s">
        <v>6528</v>
      </c>
      <c r="S1543">
        <v>217.95</v>
      </c>
      <c r="T1543">
        <v>250</v>
      </c>
      <c r="U1543">
        <v>190</v>
      </c>
      <c r="V1543" t="s">
        <v>58</v>
      </c>
      <c r="W1543" t="s">
        <v>59</v>
      </c>
      <c r="X1543" t="s">
        <v>60</v>
      </c>
      <c r="Y1543" t="s">
        <v>145</v>
      </c>
      <c r="AF1543" t="s">
        <v>13</v>
      </c>
      <c r="AG1543" t="str">
        <f>HYPERLINK("https://doi.org/10.1515/9781474470605")</f>
        <v>https://doi.org/10.1515/9781474470605</v>
      </c>
      <c r="AH1543" t="str">
        <f>HYPERLINK("http://www.degruyter.com/isbn/9781474470605")</f>
        <v>http://www.degruyter.com/isbn/9781474470605</v>
      </c>
      <c r="AI1543" t="s">
        <v>24</v>
      </c>
      <c r="AL1543" t="s">
        <v>62</v>
      </c>
      <c r="AM1543">
        <v>1</v>
      </c>
      <c r="AN1543" s="2">
        <v>9780748604852</v>
      </c>
    </row>
    <row r="1544" spans="1:40" x14ac:dyDescent="0.3">
      <c r="A1544" t="s">
        <v>7566</v>
      </c>
      <c r="B1544" t="s">
        <v>1</v>
      </c>
      <c r="C1544" t="s">
        <v>7567</v>
      </c>
      <c r="D1544" t="s">
        <v>7568</v>
      </c>
      <c r="E1544" t="s">
        <v>7569</v>
      </c>
      <c r="F1544" t="s">
        <v>5</v>
      </c>
      <c r="G1544" t="s">
        <v>6</v>
      </c>
      <c r="L1544" t="s">
        <v>7</v>
      </c>
      <c r="M1544">
        <v>1989</v>
      </c>
      <c r="N1544" s="1">
        <v>44719</v>
      </c>
      <c r="O1544" t="s">
        <v>7570</v>
      </c>
      <c r="P1544">
        <v>1</v>
      </c>
      <c r="Q1544" t="s">
        <v>7571</v>
      </c>
      <c r="S1544">
        <v>217.95</v>
      </c>
      <c r="T1544">
        <v>250</v>
      </c>
      <c r="U1544">
        <v>190</v>
      </c>
      <c r="V1544" t="s">
        <v>20</v>
      </c>
      <c r="W1544" t="s">
        <v>21</v>
      </c>
      <c r="X1544" t="s">
        <v>22</v>
      </c>
      <c r="Y1544" t="s">
        <v>23</v>
      </c>
      <c r="AF1544" t="s">
        <v>13</v>
      </c>
      <c r="AG1544" t="str">
        <f>HYPERLINK("https://doi.org/10.1515/9781474465694")</f>
        <v>https://doi.org/10.1515/9781474465694</v>
      </c>
      <c r="AH1544" t="str">
        <f>HYPERLINK("http://www.degruyter.com/isbn/9781474465694")</f>
        <v>http://www.degruyter.com/isbn/9781474465694</v>
      </c>
      <c r="AI1544" t="s">
        <v>24</v>
      </c>
      <c r="AL1544" t="s">
        <v>15</v>
      </c>
      <c r="AM1544">
        <v>1</v>
      </c>
      <c r="AN1544" s="2">
        <v>9780748601028</v>
      </c>
    </row>
    <row r="1545" spans="1:40" x14ac:dyDescent="0.3">
      <c r="A1545" t="s">
        <v>7572</v>
      </c>
      <c r="B1545" t="s">
        <v>1</v>
      </c>
      <c r="C1545" t="s">
        <v>7573</v>
      </c>
      <c r="E1545" t="s">
        <v>7574</v>
      </c>
      <c r="F1545" t="s">
        <v>5</v>
      </c>
      <c r="G1545" t="s">
        <v>6</v>
      </c>
      <c r="L1545" t="s">
        <v>7</v>
      </c>
      <c r="M1545">
        <v>2010</v>
      </c>
      <c r="N1545" s="1">
        <v>40298</v>
      </c>
      <c r="O1545" t="s">
        <v>1960</v>
      </c>
      <c r="P1545">
        <v>1</v>
      </c>
      <c r="Q1545" t="s">
        <v>7283</v>
      </c>
      <c r="S1545">
        <v>243.95</v>
      </c>
      <c r="T1545">
        <v>280</v>
      </c>
      <c r="U1545">
        <v>210</v>
      </c>
      <c r="V1545" t="s">
        <v>42</v>
      </c>
      <c r="W1545" t="s">
        <v>43</v>
      </c>
      <c r="X1545" t="s">
        <v>44</v>
      </c>
      <c r="Y1545" t="s">
        <v>45</v>
      </c>
      <c r="AF1545" t="s">
        <v>13</v>
      </c>
      <c r="AG1545" t="str">
        <f>HYPERLINK("https://doi.org/10.1515/9780748642304?locatt=mode:legacy")</f>
        <v>https://doi.org/10.1515/9780748642304?locatt=mode:legacy</v>
      </c>
      <c r="AH1545" t="str">
        <f>HYPERLINK("http://www.degruyter.com/isbn/9780748642304")</f>
        <v>http://www.degruyter.com/isbn/9780748642304</v>
      </c>
      <c r="AI1545" t="s">
        <v>68</v>
      </c>
      <c r="AL1545" t="s">
        <v>47</v>
      </c>
      <c r="AM1545">
        <v>1</v>
      </c>
      <c r="AN1545" s="2">
        <v>9780748640140</v>
      </c>
    </row>
    <row r="1546" spans="1:40" x14ac:dyDescent="0.3">
      <c r="A1546" t="s">
        <v>7575</v>
      </c>
      <c r="B1546" t="s">
        <v>1</v>
      </c>
      <c r="C1546" t="s">
        <v>7576</v>
      </c>
      <c r="D1546" t="s">
        <v>7577</v>
      </c>
      <c r="E1546" t="s">
        <v>7578</v>
      </c>
      <c r="F1546" t="s">
        <v>5</v>
      </c>
      <c r="G1546" t="s">
        <v>6</v>
      </c>
      <c r="L1546" t="s">
        <v>7</v>
      </c>
      <c r="M1546">
        <v>2016</v>
      </c>
      <c r="N1546" s="1">
        <v>42436</v>
      </c>
      <c r="O1546" t="s">
        <v>7579</v>
      </c>
      <c r="P1546">
        <v>1</v>
      </c>
      <c r="Q1546" t="s">
        <v>7238</v>
      </c>
      <c r="S1546">
        <v>227.95</v>
      </c>
      <c r="T1546">
        <v>260</v>
      </c>
      <c r="U1546">
        <v>200</v>
      </c>
      <c r="V1546" t="s">
        <v>329</v>
      </c>
      <c r="W1546" t="s">
        <v>330</v>
      </c>
      <c r="X1546" t="s">
        <v>331</v>
      </c>
      <c r="Y1546" t="s">
        <v>4770</v>
      </c>
      <c r="AF1546" t="s">
        <v>13</v>
      </c>
      <c r="AG1546" t="str">
        <f>HYPERLINK("https://doi.org/10.1515/9780748647248")</f>
        <v>https://doi.org/10.1515/9780748647248</v>
      </c>
      <c r="AH1546" t="str">
        <f>HYPERLINK("http://www.degruyter.com/isbn/9780748647248")</f>
        <v>http://www.degruyter.com/isbn/9780748647248</v>
      </c>
      <c r="AI1546" t="s">
        <v>180</v>
      </c>
      <c r="AL1546" t="s">
        <v>333</v>
      </c>
      <c r="AM1546">
        <v>1</v>
      </c>
      <c r="AN1546" s="2">
        <v>9780748647231</v>
      </c>
    </row>
    <row r="1547" spans="1:40" x14ac:dyDescent="0.3">
      <c r="A1547" t="s">
        <v>7580</v>
      </c>
      <c r="B1547" t="s">
        <v>1</v>
      </c>
      <c r="C1547" t="s">
        <v>7581</v>
      </c>
      <c r="E1547" t="s">
        <v>7582</v>
      </c>
      <c r="F1547" t="s">
        <v>5</v>
      </c>
      <c r="G1547" t="s">
        <v>6</v>
      </c>
      <c r="L1547" t="s">
        <v>7</v>
      </c>
      <c r="M1547">
        <v>2019</v>
      </c>
      <c r="N1547" s="1">
        <v>44656</v>
      </c>
      <c r="O1547" t="s">
        <v>7583</v>
      </c>
      <c r="P1547">
        <v>1</v>
      </c>
      <c r="Q1547" t="s">
        <v>6418</v>
      </c>
      <c r="S1547">
        <v>253.95</v>
      </c>
      <c r="T1547">
        <v>290</v>
      </c>
      <c r="U1547">
        <v>220</v>
      </c>
      <c r="V1547" t="s">
        <v>79</v>
      </c>
      <c r="W1547" t="s">
        <v>123</v>
      </c>
      <c r="X1547" t="s">
        <v>123</v>
      </c>
      <c r="Y1547" t="s">
        <v>124</v>
      </c>
      <c r="AF1547" t="s">
        <v>13</v>
      </c>
      <c r="AG1547" t="str">
        <f>HYPERLINK("https://doi.org/10.1515/9781474439091")</f>
        <v>https://doi.org/10.1515/9781474439091</v>
      </c>
      <c r="AH1547" t="str">
        <f>HYPERLINK("http://www.degruyter.com/isbn/9781474439091")</f>
        <v>http://www.degruyter.com/isbn/9781474439091</v>
      </c>
      <c r="AI1547" t="s">
        <v>280</v>
      </c>
      <c r="AL1547" t="s">
        <v>83</v>
      </c>
      <c r="AM1547">
        <v>1</v>
      </c>
      <c r="AN1547" s="2">
        <v>9781474439077</v>
      </c>
    </row>
    <row r="1548" spans="1:40" x14ac:dyDescent="0.3">
      <c r="A1548" t="s">
        <v>7584</v>
      </c>
      <c r="B1548" t="s">
        <v>1</v>
      </c>
      <c r="C1548" t="s">
        <v>7585</v>
      </c>
      <c r="D1548" t="s">
        <v>7586</v>
      </c>
      <c r="E1548" t="s">
        <v>7587</v>
      </c>
      <c r="F1548" t="s">
        <v>5</v>
      </c>
      <c r="G1548" t="s">
        <v>6</v>
      </c>
      <c r="L1548" t="s">
        <v>7</v>
      </c>
      <c r="M1548">
        <v>2021</v>
      </c>
      <c r="N1548" s="1">
        <v>44644</v>
      </c>
      <c r="O1548" t="s">
        <v>7588</v>
      </c>
      <c r="P1548">
        <v>1</v>
      </c>
      <c r="S1548">
        <v>217.95</v>
      </c>
      <c r="T1548">
        <v>250</v>
      </c>
      <c r="U1548">
        <v>190</v>
      </c>
      <c r="V1548" t="s">
        <v>42</v>
      </c>
      <c r="W1548" t="s">
        <v>116</v>
      </c>
      <c r="X1548" t="s">
        <v>116</v>
      </c>
      <c r="Y1548" t="s">
        <v>117</v>
      </c>
      <c r="AF1548" t="s">
        <v>13</v>
      </c>
      <c r="AG1548" t="str">
        <f>HYPERLINK("https://doi.org/10.1515/9781474429887")</f>
        <v>https://doi.org/10.1515/9781474429887</v>
      </c>
      <c r="AH1548" t="str">
        <f>HYPERLINK("http://www.degruyter.com/isbn/9781474429887")</f>
        <v>http://www.degruyter.com/isbn/9781474429887</v>
      </c>
      <c r="AI1548" t="s">
        <v>1561</v>
      </c>
      <c r="AL1548" t="s">
        <v>47</v>
      </c>
      <c r="AM1548">
        <v>1</v>
      </c>
      <c r="AN1548" s="2">
        <v>9781474429863</v>
      </c>
    </row>
    <row r="1549" spans="1:40" x14ac:dyDescent="0.3">
      <c r="A1549" t="s">
        <v>7589</v>
      </c>
      <c r="B1549" t="s">
        <v>1</v>
      </c>
      <c r="C1549" t="s">
        <v>7590</v>
      </c>
      <c r="E1549" t="s">
        <v>7591</v>
      </c>
      <c r="F1549" t="s">
        <v>5</v>
      </c>
      <c r="G1549" t="s">
        <v>6</v>
      </c>
      <c r="L1549" t="s">
        <v>7</v>
      </c>
      <c r="M1549">
        <v>2007</v>
      </c>
      <c r="N1549" s="1">
        <v>39127</v>
      </c>
      <c r="O1549" t="s">
        <v>7592</v>
      </c>
      <c r="P1549">
        <v>1</v>
      </c>
      <c r="S1549">
        <v>253.95</v>
      </c>
      <c r="T1549">
        <v>290</v>
      </c>
      <c r="U1549">
        <v>220</v>
      </c>
      <c r="V1549" t="s">
        <v>9</v>
      </c>
      <c r="W1549" t="s">
        <v>10</v>
      </c>
      <c r="X1549" t="s">
        <v>11</v>
      </c>
      <c r="Y1549" t="s">
        <v>12</v>
      </c>
      <c r="AF1549" t="s">
        <v>13</v>
      </c>
      <c r="AG1549" t="str">
        <f>HYPERLINK("https://doi.org/10.1515/9780748629442")</f>
        <v>https://doi.org/10.1515/9780748629442</v>
      </c>
      <c r="AH1549" t="str">
        <f>HYPERLINK("http://www.degruyter.com/isbn/9780748629442")</f>
        <v>http://www.degruyter.com/isbn/9780748629442</v>
      </c>
      <c r="AI1549" t="s">
        <v>68</v>
      </c>
      <c r="AL1549" t="s">
        <v>15</v>
      </c>
      <c r="AM1549">
        <v>1</v>
      </c>
      <c r="AN1549" s="2">
        <v>9780748621408</v>
      </c>
    </row>
    <row r="1550" spans="1:40" x14ac:dyDescent="0.3">
      <c r="A1550" t="s">
        <v>7593</v>
      </c>
      <c r="B1550" t="s">
        <v>1</v>
      </c>
      <c r="C1550" t="s">
        <v>7594</v>
      </c>
      <c r="D1550" t="s">
        <v>7595</v>
      </c>
      <c r="E1550" t="s">
        <v>7596</v>
      </c>
      <c r="F1550" t="s">
        <v>5</v>
      </c>
      <c r="G1550" t="s">
        <v>6</v>
      </c>
      <c r="L1550" t="s">
        <v>7</v>
      </c>
      <c r="M1550">
        <v>2019</v>
      </c>
      <c r="N1550" s="1">
        <v>44644</v>
      </c>
      <c r="O1550" t="s">
        <v>7597</v>
      </c>
      <c r="P1550">
        <v>1</v>
      </c>
      <c r="Q1550" t="s">
        <v>6539</v>
      </c>
      <c r="S1550">
        <v>217.95</v>
      </c>
      <c r="T1550">
        <v>250</v>
      </c>
      <c r="U1550">
        <v>190</v>
      </c>
      <c r="V1550" t="s">
        <v>42</v>
      </c>
      <c r="W1550" t="s">
        <v>116</v>
      </c>
      <c r="X1550" t="s">
        <v>116</v>
      </c>
      <c r="Y1550" t="s">
        <v>117</v>
      </c>
      <c r="AF1550" t="s">
        <v>13</v>
      </c>
      <c r="AG1550" t="str">
        <f>HYPERLINK("https://doi.org/10.1515/9781474406963")</f>
        <v>https://doi.org/10.1515/9781474406963</v>
      </c>
      <c r="AH1550" t="str">
        <f>HYPERLINK("http://www.degruyter.com/isbn/9781474406963")</f>
        <v>http://www.degruyter.com/isbn/9781474406963</v>
      </c>
      <c r="AI1550" t="s">
        <v>280</v>
      </c>
      <c r="AL1550" t="s">
        <v>47</v>
      </c>
      <c r="AM1550">
        <v>1</v>
      </c>
      <c r="AN1550" s="2">
        <v>9781474406956</v>
      </c>
    </row>
    <row r="1551" spans="1:40" x14ac:dyDescent="0.3">
      <c r="A1551" t="s">
        <v>7598</v>
      </c>
      <c r="B1551" t="s">
        <v>1</v>
      </c>
      <c r="C1551" t="s">
        <v>7599</v>
      </c>
      <c r="E1551" t="s">
        <v>7600</v>
      </c>
      <c r="F1551" t="s">
        <v>5</v>
      </c>
      <c r="G1551" t="s">
        <v>6</v>
      </c>
      <c r="L1551" t="s">
        <v>7</v>
      </c>
      <c r="M1551">
        <v>2009</v>
      </c>
      <c r="N1551" s="1">
        <v>40073</v>
      </c>
      <c r="O1551" t="s">
        <v>7601</v>
      </c>
      <c r="P1551">
        <v>1</v>
      </c>
      <c r="Q1551" t="s">
        <v>6923</v>
      </c>
      <c r="S1551">
        <v>243.95</v>
      </c>
      <c r="T1551">
        <v>280</v>
      </c>
      <c r="U1551">
        <v>210</v>
      </c>
      <c r="V1551" t="s">
        <v>20</v>
      </c>
      <c r="W1551" t="s">
        <v>470</v>
      </c>
      <c r="X1551" t="s">
        <v>471</v>
      </c>
      <c r="Y1551" t="s">
        <v>472</v>
      </c>
      <c r="AF1551" t="s">
        <v>13</v>
      </c>
      <c r="AG1551" t="str">
        <f>HYPERLINK("https://doi.org/10.1515/9780748629114")</f>
        <v>https://doi.org/10.1515/9780748629114</v>
      </c>
      <c r="AH1551" t="str">
        <f>HYPERLINK("http://www.degruyter.com/isbn/9780748629114")</f>
        <v>http://www.degruyter.com/isbn/9780748629114</v>
      </c>
      <c r="AI1551" t="s">
        <v>68</v>
      </c>
      <c r="AL1551" t="s">
        <v>15</v>
      </c>
      <c r="AM1551">
        <v>1</v>
      </c>
      <c r="AN1551" s="2">
        <v>9780748620074</v>
      </c>
    </row>
    <row r="1552" spans="1:40" x14ac:dyDescent="0.3">
      <c r="A1552" t="s">
        <v>7602</v>
      </c>
      <c r="B1552" t="s">
        <v>1</v>
      </c>
      <c r="C1552" t="s">
        <v>7603</v>
      </c>
      <c r="E1552" t="s">
        <v>7604</v>
      </c>
      <c r="F1552" t="s">
        <v>5</v>
      </c>
      <c r="G1552" t="s">
        <v>6</v>
      </c>
      <c r="L1552" t="s">
        <v>7</v>
      </c>
      <c r="M1552">
        <v>2010</v>
      </c>
      <c r="N1552" s="1">
        <v>40268</v>
      </c>
      <c r="O1552" t="s">
        <v>7605</v>
      </c>
      <c r="P1552">
        <v>1</v>
      </c>
      <c r="Q1552" t="s">
        <v>7606</v>
      </c>
      <c r="S1552">
        <v>217.95</v>
      </c>
      <c r="T1552">
        <v>250</v>
      </c>
      <c r="U1552">
        <v>190</v>
      </c>
      <c r="V1552" t="s">
        <v>42</v>
      </c>
      <c r="W1552" t="s">
        <v>43</v>
      </c>
      <c r="X1552" t="s">
        <v>44</v>
      </c>
      <c r="Y1552" t="s">
        <v>45</v>
      </c>
      <c r="AF1552" t="s">
        <v>13</v>
      </c>
      <c r="AG1552" t="str">
        <f>HYPERLINK("https://doi.org/10.1515/9780748633845?locatt=mode:legacy")</f>
        <v>https://doi.org/10.1515/9780748633845?locatt=mode:legacy</v>
      </c>
      <c r="AH1552" t="str">
        <f>HYPERLINK("http://www.degruyter.com/isbn/9780748633845")</f>
        <v>http://www.degruyter.com/isbn/9780748633845</v>
      </c>
      <c r="AI1552" t="s">
        <v>68</v>
      </c>
      <c r="AL1552" t="s">
        <v>47</v>
      </c>
      <c r="AM1552">
        <v>1</v>
      </c>
      <c r="AN1552" s="2">
        <v>9780748633821</v>
      </c>
    </row>
    <row r="1553" spans="1:40" x14ac:dyDescent="0.3">
      <c r="A1553" t="s">
        <v>7607</v>
      </c>
      <c r="B1553" t="s">
        <v>1</v>
      </c>
      <c r="C1553" t="s">
        <v>7608</v>
      </c>
      <c r="E1553" t="s">
        <v>7609</v>
      </c>
      <c r="F1553" t="s">
        <v>5</v>
      </c>
      <c r="G1553" t="s">
        <v>6</v>
      </c>
      <c r="L1553" t="s">
        <v>7</v>
      </c>
      <c r="M1553">
        <v>2013</v>
      </c>
      <c r="N1553" s="1">
        <v>41460</v>
      </c>
      <c r="O1553" t="s">
        <v>7610</v>
      </c>
      <c r="P1553">
        <v>1</v>
      </c>
      <c r="Q1553" t="s">
        <v>7095</v>
      </c>
      <c r="S1553">
        <v>243.95</v>
      </c>
      <c r="T1553">
        <v>280</v>
      </c>
      <c r="U1553">
        <v>210</v>
      </c>
      <c r="V1553" t="s">
        <v>9</v>
      </c>
      <c r="W1553" t="s">
        <v>10</v>
      </c>
      <c r="X1553" t="s">
        <v>11</v>
      </c>
      <c r="Y1553" t="s">
        <v>3792</v>
      </c>
      <c r="AF1553" t="s">
        <v>13</v>
      </c>
      <c r="AG1553" t="str">
        <f>HYPERLINK("https://doi.org/10.1515/9780748647378")</f>
        <v>https://doi.org/10.1515/9780748647378</v>
      </c>
      <c r="AH1553" t="str">
        <f>HYPERLINK("http://www.degruyter.com/isbn/9780748647378")</f>
        <v>http://www.degruyter.com/isbn/9780748647378</v>
      </c>
      <c r="AI1553" t="s">
        <v>68</v>
      </c>
      <c r="AL1553" t="s">
        <v>15</v>
      </c>
      <c r="AM1553">
        <v>1</v>
      </c>
      <c r="AN1553" s="2">
        <v>9780748647361</v>
      </c>
    </row>
    <row r="1554" spans="1:40" x14ac:dyDescent="0.3">
      <c r="A1554" t="s">
        <v>7611</v>
      </c>
      <c r="B1554" t="s">
        <v>1</v>
      </c>
      <c r="C1554" t="s">
        <v>7612</v>
      </c>
      <c r="D1554" t="s">
        <v>7613</v>
      </c>
      <c r="E1554" t="s">
        <v>7614</v>
      </c>
      <c r="F1554" t="s">
        <v>5</v>
      </c>
      <c r="G1554" t="s">
        <v>6</v>
      </c>
      <c r="L1554" t="s">
        <v>7</v>
      </c>
      <c r="M1554">
        <v>2019</v>
      </c>
      <c r="N1554" s="1">
        <v>44644</v>
      </c>
      <c r="O1554" t="s">
        <v>7615</v>
      </c>
      <c r="P1554">
        <v>1</v>
      </c>
      <c r="Q1554" t="s">
        <v>7616</v>
      </c>
      <c r="S1554">
        <v>253.95</v>
      </c>
      <c r="T1554">
        <v>290</v>
      </c>
      <c r="U1554">
        <v>220</v>
      </c>
      <c r="V1554" t="s">
        <v>268</v>
      </c>
      <c r="W1554" t="s">
        <v>269</v>
      </c>
      <c r="X1554" t="s">
        <v>269</v>
      </c>
      <c r="Y1554" t="s">
        <v>1045</v>
      </c>
      <c r="AF1554" t="s">
        <v>13</v>
      </c>
      <c r="AG1554" t="str">
        <f>HYPERLINK("https://doi.org/10.1515/9781474422604?locatt=mode:legacy")</f>
        <v>https://doi.org/10.1515/9781474422604?locatt=mode:legacy</v>
      </c>
      <c r="AH1554" t="str">
        <f>HYPERLINK("http://www.degruyter.com/isbn/9781474422604")</f>
        <v>http://www.degruyter.com/isbn/9781474422604</v>
      </c>
      <c r="AI1554" t="s">
        <v>3613</v>
      </c>
      <c r="AL1554" t="s">
        <v>272</v>
      </c>
      <c r="AM1554">
        <v>1</v>
      </c>
      <c r="AN1554" s="2">
        <v>9781474422598</v>
      </c>
    </row>
    <row r="1555" spans="1:40" x14ac:dyDescent="0.3">
      <c r="A1555" t="s">
        <v>7617</v>
      </c>
      <c r="B1555" t="s">
        <v>1</v>
      </c>
      <c r="C1555" t="s">
        <v>7618</v>
      </c>
      <c r="D1555" t="s">
        <v>7619</v>
      </c>
      <c r="E1555" t="s">
        <v>7620</v>
      </c>
      <c r="F1555" t="s">
        <v>5</v>
      </c>
      <c r="G1555" t="s">
        <v>6</v>
      </c>
      <c r="L1555" t="s">
        <v>7</v>
      </c>
      <c r="M1555">
        <v>2019</v>
      </c>
      <c r="N1555" s="1">
        <v>44693</v>
      </c>
      <c r="O1555" t="s">
        <v>7621</v>
      </c>
      <c r="P1555">
        <v>1</v>
      </c>
      <c r="Q1555" t="s">
        <v>7622</v>
      </c>
      <c r="S1555">
        <v>261.95</v>
      </c>
      <c r="T1555">
        <v>300</v>
      </c>
      <c r="U1555">
        <v>230</v>
      </c>
      <c r="V1555" t="s">
        <v>58</v>
      </c>
      <c r="W1555" t="s">
        <v>808</v>
      </c>
      <c r="X1555" t="s">
        <v>3096</v>
      </c>
      <c r="Y1555" t="s">
        <v>3097</v>
      </c>
      <c r="AF1555" t="s">
        <v>13</v>
      </c>
      <c r="AG1555" t="str">
        <f>HYPERLINK("https://doi.org/10.1515/9781474412636")</f>
        <v>https://doi.org/10.1515/9781474412636</v>
      </c>
      <c r="AH1555" t="str">
        <f>HYPERLINK("http://www.degruyter.com/isbn/9781474412636")</f>
        <v>http://www.degruyter.com/isbn/9781474412636</v>
      </c>
      <c r="AI1555" t="s">
        <v>280</v>
      </c>
      <c r="AL1555" t="s">
        <v>62</v>
      </c>
      <c r="AM1555">
        <v>1</v>
      </c>
      <c r="AN1555" s="2">
        <v>9781474412629</v>
      </c>
    </row>
    <row r="1556" spans="1:40" x14ac:dyDescent="0.3">
      <c r="A1556" t="s">
        <v>7623</v>
      </c>
      <c r="B1556" t="s">
        <v>1</v>
      </c>
      <c r="C1556" t="s">
        <v>7624</v>
      </c>
      <c r="D1556" t="s">
        <v>7625</v>
      </c>
      <c r="E1556" t="s">
        <v>7626</v>
      </c>
      <c r="F1556" t="s">
        <v>5</v>
      </c>
      <c r="G1556" t="s">
        <v>6</v>
      </c>
      <c r="L1556" t="s">
        <v>7</v>
      </c>
      <c r="M1556">
        <v>2018</v>
      </c>
      <c r="N1556" s="1">
        <v>44656</v>
      </c>
      <c r="O1556" t="s">
        <v>7627</v>
      </c>
      <c r="P1556">
        <v>1</v>
      </c>
      <c r="Q1556" t="s">
        <v>6779</v>
      </c>
      <c r="S1556">
        <v>217.95</v>
      </c>
      <c r="T1556">
        <v>250</v>
      </c>
      <c r="U1556">
        <v>190</v>
      </c>
      <c r="V1556" t="s">
        <v>20</v>
      </c>
      <c r="W1556" t="s">
        <v>21</v>
      </c>
      <c r="X1556" t="s">
        <v>839</v>
      </c>
      <c r="Y1556" t="s">
        <v>2469</v>
      </c>
      <c r="AF1556" t="s">
        <v>13</v>
      </c>
      <c r="AG1556" t="str">
        <f>HYPERLINK("https://doi.org/10.1515/9780748698226")</f>
        <v>https://doi.org/10.1515/9780748698226</v>
      </c>
      <c r="AH1556" t="str">
        <f>HYPERLINK("http://www.degruyter.com/isbn/9780748698226")</f>
        <v>http://www.degruyter.com/isbn/9780748698226</v>
      </c>
      <c r="AI1556" t="s">
        <v>7628</v>
      </c>
      <c r="AJ1556" t="s">
        <v>35</v>
      </c>
      <c r="AL1556" t="s">
        <v>1346</v>
      </c>
      <c r="AM1556">
        <v>1</v>
      </c>
      <c r="AN1556" s="2">
        <v>9780748698219</v>
      </c>
    </row>
    <row r="1557" spans="1:40" x14ac:dyDescent="0.3">
      <c r="A1557" t="s">
        <v>7629</v>
      </c>
      <c r="B1557" t="s">
        <v>1</v>
      </c>
      <c r="C1557" t="s">
        <v>7630</v>
      </c>
      <c r="E1557" t="s">
        <v>7631</v>
      </c>
      <c r="F1557" t="s">
        <v>5</v>
      </c>
      <c r="G1557" t="s">
        <v>6</v>
      </c>
      <c r="L1557" t="s">
        <v>7</v>
      </c>
      <c r="M1557">
        <v>2005</v>
      </c>
      <c r="N1557" s="1">
        <v>44607</v>
      </c>
      <c r="O1557" t="s">
        <v>7632</v>
      </c>
      <c r="P1557">
        <v>1</v>
      </c>
      <c r="Q1557" t="s">
        <v>6820</v>
      </c>
      <c r="S1557">
        <v>217.95</v>
      </c>
      <c r="T1557">
        <v>250</v>
      </c>
      <c r="U1557">
        <v>190</v>
      </c>
      <c r="V1557" t="s">
        <v>58</v>
      </c>
      <c r="W1557" t="s">
        <v>129</v>
      </c>
      <c r="X1557" t="s">
        <v>130</v>
      </c>
      <c r="Y1557" t="s">
        <v>7633</v>
      </c>
      <c r="AF1557" t="s">
        <v>13</v>
      </c>
      <c r="AG1557" t="str">
        <f>HYPERLINK("https://doi.org/10.1515/9781474470889")</f>
        <v>https://doi.org/10.1515/9781474470889</v>
      </c>
      <c r="AH1557" t="str">
        <f>HYPERLINK("http://www.degruyter.com/isbn/9781474470889")</f>
        <v>http://www.degruyter.com/isbn/9781474470889</v>
      </c>
      <c r="AI1557" t="s">
        <v>68</v>
      </c>
      <c r="AL1557" t="s">
        <v>62</v>
      </c>
      <c r="AM1557">
        <v>1</v>
      </c>
      <c r="AN1557" s="2">
        <v>9780748620197</v>
      </c>
    </row>
    <row r="1558" spans="1:40" x14ac:dyDescent="0.3">
      <c r="A1558" t="s">
        <v>7634</v>
      </c>
      <c r="B1558" t="s">
        <v>1</v>
      </c>
      <c r="C1558" t="s">
        <v>7635</v>
      </c>
      <c r="E1558" t="s">
        <v>7636</v>
      </c>
      <c r="F1558" t="s">
        <v>5</v>
      </c>
      <c r="G1558" t="s">
        <v>6</v>
      </c>
      <c r="L1558" t="s">
        <v>7</v>
      </c>
      <c r="M1558">
        <v>1998</v>
      </c>
      <c r="N1558" s="1">
        <v>44599</v>
      </c>
      <c r="O1558" t="s">
        <v>7637</v>
      </c>
      <c r="P1558">
        <v>1</v>
      </c>
      <c r="Q1558" t="s">
        <v>6923</v>
      </c>
      <c r="S1558">
        <v>217.95</v>
      </c>
      <c r="T1558">
        <v>250</v>
      </c>
      <c r="U1558">
        <v>190</v>
      </c>
      <c r="V1558" t="s">
        <v>89</v>
      </c>
      <c r="W1558" t="s">
        <v>90</v>
      </c>
      <c r="X1558" t="s">
        <v>91</v>
      </c>
      <c r="Y1558" t="s">
        <v>717</v>
      </c>
      <c r="AF1558" t="s">
        <v>13</v>
      </c>
      <c r="AG1558" t="str">
        <f>HYPERLINK("https://doi.org/10.1515/9781474473484")</f>
        <v>https://doi.org/10.1515/9781474473484</v>
      </c>
      <c r="AH1558" t="str">
        <f>HYPERLINK("http://www.degruyter.com/isbn/9781474473484")</f>
        <v>http://www.degruyter.com/isbn/9781474473484</v>
      </c>
      <c r="AI1558" t="s">
        <v>24</v>
      </c>
      <c r="AL1558" t="s">
        <v>83</v>
      </c>
      <c r="AM1558">
        <v>1</v>
      </c>
      <c r="AN1558" s="2">
        <v>9780748610983</v>
      </c>
    </row>
    <row r="1559" spans="1:40" x14ac:dyDescent="0.3">
      <c r="A1559" t="s">
        <v>7638</v>
      </c>
      <c r="B1559" t="s">
        <v>1</v>
      </c>
      <c r="C1559" t="s">
        <v>7639</v>
      </c>
      <c r="D1559" t="s">
        <v>7640</v>
      </c>
      <c r="E1559" t="s">
        <v>7641</v>
      </c>
      <c r="F1559" t="s">
        <v>5</v>
      </c>
      <c r="G1559" t="s">
        <v>6</v>
      </c>
      <c r="L1559" t="s">
        <v>7</v>
      </c>
      <c r="M1559">
        <v>2013</v>
      </c>
      <c r="N1559" s="1">
        <v>41323</v>
      </c>
      <c r="O1559" t="s">
        <v>7642</v>
      </c>
      <c r="P1559">
        <v>1</v>
      </c>
      <c r="Q1559" t="s">
        <v>7052</v>
      </c>
      <c r="S1559">
        <v>217.95</v>
      </c>
      <c r="T1559">
        <v>250</v>
      </c>
      <c r="U1559">
        <v>190</v>
      </c>
      <c r="V1559" t="s">
        <v>42</v>
      </c>
      <c r="W1559" t="s">
        <v>116</v>
      </c>
      <c r="X1559" t="s">
        <v>116</v>
      </c>
      <c r="Y1559" t="s">
        <v>117</v>
      </c>
      <c r="AF1559" t="s">
        <v>13</v>
      </c>
      <c r="AG1559" t="str">
        <f>HYPERLINK("https://doi.org/10.1515/9780748669387?locatt=mode:legacy")</f>
        <v>https://doi.org/10.1515/9780748669387?locatt=mode:legacy</v>
      </c>
      <c r="AH1559" t="str">
        <f>HYPERLINK("http://www.degruyter.com/isbn/9780748669387")</f>
        <v>http://www.degruyter.com/isbn/9780748669387</v>
      </c>
      <c r="AI1559" t="s">
        <v>68</v>
      </c>
      <c r="AL1559" t="s">
        <v>47</v>
      </c>
      <c r="AM1559">
        <v>1</v>
      </c>
      <c r="AN1559" s="2">
        <v>9780748669370</v>
      </c>
    </row>
    <row r="1560" spans="1:40" x14ac:dyDescent="0.3">
      <c r="A1560" t="s">
        <v>7643</v>
      </c>
      <c r="B1560" t="s">
        <v>1</v>
      </c>
      <c r="C1560" t="s">
        <v>7644</v>
      </c>
      <c r="E1560" t="s">
        <v>7645</v>
      </c>
      <c r="F1560" t="s">
        <v>5</v>
      </c>
      <c r="G1560" t="s">
        <v>6</v>
      </c>
      <c r="L1560" t="s">
        <v>7</v>
      </c>
      <c r="M1560">
        <v>2013</v>
      </c>
      <c r="N1560" s="1">
        <v>41333</v>
      </c>
      <c r="O1560" t="s">
        <v>7646</v>
      </c>
      <c r="P1560">
        <v>1</v>
      </c>
      <c r="Q1560" t="s">
        <v>6418</v>
      </c>
      <c r="S1560">
        <v>253.95</v>
      </c>
      <c r="T1560">
        <v>290</v>
      </c>
      <c r="U1560">
        <v>220</v>
      </c>
      <c r="V1560" t="s">
        <v>79</v>
      </c>
      <c r="W1560" t="s">
        <v>209</v>
      </c>
      <c r="X1560" t="s">
        <v>209</v>
      </c>
      <c r="Y1560" t="s">
        <v>510</v>
      </c>
      <c r="AF1560" t="s">
        <v>13</v>
      </c>
      <c r="AG1560" t="str">
        <f>HYPERLINK("https://doi.org/10.1515/9780748644124")</f>
        <v>https://doi.org/10.1515/9780748644124</v>
      </c>
      <c r="AH1560" t="str">
        <f>HYPERLINK("http://www.degruyter.com/isbn/9780748644124")</f>
        <v>http://www.degruyter.com/isbn/9780748644124</v>
      </c>
      <c r="AI1560" t="s">
        <v>7647</v>
      </c>
      <c r="AL1560" t="s">
        <v>83</v>
      </c>
      <c r="AM1560">
        <v>1</v>
      </c>
      <c r="AN1560" s="2">
        <v>9780748644117</v>
      </c>
    </row>
    <row r="1561" spans="1:40" x14ac:dyDescent="0.3">
      <c r="A1561" t="s">
        <v>7648</v>
      </c>
      <c r="B1561" t="s">
        <v>1</v>
      </c>
      <c r="C1561" t="s">
        <v>7649</v>
      </c>
      <c r="E1561" t="s">
        <v>7650</v>
      </c>
      <c r="F1561" t="s">
        <v>5</v>
      </c>
      <c r="G1561" t="s">
        <v>6</v>
      </c>
      <c r="L1561" t="s">
        <v>7</v>
      </c>
      <c r="M1561">
        <v>2006</v>
      </c>
      <c r="N1561" s="1">
        <v>38856</v>
      </c>
      <c r="O1561" t="s">
        <v>7651</v>
      </c>
      <c r="P1561">
        <v>1</v>
      </c>
      <c r="Q1561" t="s">
        <v>7225</v>
      </c>
      <c r="S1561">
        <v>217.95</v>
      </c>
      <c r="T1561">
        <v>250</v>
      </c>
      <c r="U1561">
        <v>190</v>
      </c>
      <c r="V1561" t="s">
        <v>98</v>
      </c>
      <c r="W1561" t="s">
        <v>99</v>
      </c>
      <c r="X1561" t="s">
        <v>100</v>
      </c>
      <c r="Y1561" t="s">
        <v>101</v>
      </c>
      <c r="AF1561" t="s">
        <v>13</v>
      </c>
      <c r="AG1561" t="str">
        <f>HYPERLINK("https://doi.org/10.1515/9780748626915")</f>
        <v>https://doi.org/10.1515/9780748626915</v>
      </c>
      <c r="AH1561" t="str">
        <f>HYPERLINK("http://www.degruyter.com/isbn/9780748626915")</f>
        <v>http://www.degruyter.com/isbn/9780748626915</v>
      </c>
      <c r="AI1561" t="s">
        <v>68</v>
      </c>
      <c r="AL1561" t="s">
        <v>102</v>
      </c>
      <c r="AM1561">
        <v>1</v>
      </c>
      <c r="AN1561" s="2">
        <v>9780748617296</v>
      </c>
    </row>
    <row r="1562" spans="1:40" x14ac:dyDescent="0.3">
      <c r="A1562" t="s">
        <v>7652</v>
      </c>
      <c r="B1562" t="s">
        <v>1</v>
      </c>
      <c r="C1562" t="s">
        <v>6983</v>
      </c>
      <c r="D1562" t="s">
        <v>7653</v>
      </c>
      <c r="E1562" t="s">
        <v>6985</v>
      </c>
      <c r="F1562" t="s">
        <v>5</v>
      </c>
      <c r="G1562" t="s">
        <v>6</v>
      </c>
      <c r="L1562" t="s">
        <v>7</v>
      </c>
      <c r="M1562">
        <v>2018</v>
      </c>
      <c r="N1562" s="1">
        <v>44656</v>
      </c>
      <c r="O1562" t="s">
        <v>7654</v>
      </c>
      <c r="P1562">
        <v>1</v>
      </c>
      <c r="Q1562" t="s">
        <v>7655</v>
      </c>
      <c r="S1562">
        <v>217.95</v>
      </c>
      <c r="T1562">
        <v>250</v>
      </c>
      <c r="U1562">
        <v>190</v>
      </c>
      <c r="V1562" t="s">
        <v>9</v>
      </c>
      <c r="W1562" t="s">
        <v>10</v>
      </c>
      <c r="X1562" t="s">
        <v>11</v>
      </c>
      <c r="Y1562" t="s">
        <v>52</v>
      </c>
      <c r="AF1562" t="s">
        <v>13</v>
      </c>
      <c r="AG1562" t="str">
        <f>HYPERLINK("https://www.degruyter.com/isbn/9781474411134")</f>
        <v>https://www.degruyter.com/isbn/9781474411134</v>
      </c>
      <c r="AH1562" t="str">
        <f>HYPERLINK("http://www.degruyter.com/isbn/9781474411134")</f>
        <v>http://www.degruyter.com/isbn/9781474411134</v>
      </c>
      <c r="AI1562" t="s">
        <v>46</v>
      </c>
      <c r="AL1562" t="s">
        <v>15</v>
      </c>
      <c r="AM1562">
        <v>1</v>
      </c>
      <c r="AN1562" s="2">
        <v>9781474411127</v>
      </c>
    </row>
    <row r="1563" spans="1:40" x14ac:dyDescent="0.3">
      <c r="A1563" t="s">
        <v>7656</v>
      </c>
      <c r="B1563" t="s">
        <v>1</v>
      </c>
      <c r="C1563" t="s">
        <v>7657</v>
      </c>
      <c r="D1563" t="s">
        <v>7658</v>
      </c>
      <c r="E1563" t="s">
        <v>7659</v>
      </c>
      <c r="F1563" t="s">
        <v>5</v>
      </c>
      <c r="G1563" t="s">
        <v>6</v>
      </c>
      <c r="L1563" t="s">
        <v>7</v>
      </c>
      <c r="M1563">
        <v>2016</v>
      </c>
      <c r="N1563" s="1">
        <v>42503</v>
      </c>
      <c r="O1563" t="s">
        <v>7660</v>
      </c>
      <c r="P1563">
        <v>1</v>
      </c>
      <c r="Q1563" t="s">
        <v>7283</v>
      </c>
      <c r="S1563">
        <v>217.95</v>
      </c>
      <c r="T1563">
        <v>250</v>
      </c>
      <c r="U1563">
        <v>190</v>
      </c>
      <c r="V1563" t="s">
        <v>9</v>
      </c>
      <c r="W1563" t="s">
        <v>2817</v>
      </c>
      <c r="X1563" t="s">
        <v>2818</v>
      </c>
      <c r="Y1563" t="s">
        <v>2819</v>
      </c>
      <c r="AF1563" t="s">
        <v>13</v>
      </c>
      <c r="AG1563" t="str">
        <f>HYPERLINK("https://doi.org/10.1515/9781474403382?locatt=mode:legacy")</f>
        <v>https://doi.org/10.1515/9781474403382?locatt=mode:legacy</v>
      </c>
      <c r="AH1563" t="str">
        <f>HYPERLINK("http://www.degruyter.com/isbn/9781474403382")</f>
        <v>http://www.degruyter.com/isbn/9781474403382</v>
      </c>
      <c r="AI1563" t="s">
        <v>180</v>
      </c>
      <c r="AL1563" t="s">
        <v>15</v>
      </c>
      <c r="AM1563">
        <v>1</v>
      </c>
      <c r="AN1563" s="2">
        <v>9781474403375</v>
      </c>
    </row>
    <row r="1564" spans="1:40" x14ac:dyDescent="0.3">
      <c r="A1564" t="s">
        <v>7661</v>
      </c>
      <c r="B1564" t="s">
        <v>1</v>
      </c>
      <c r="C1564" t="s">
        <v>7662</v>
      </c>
      <c r="E1564" t="s">
        <v>7663</v>
      </c>
      <c r="F1564" t="s">
        <v>5</v>
      </c>
      <c r="G1564" t="s">
        <v>6</v>
      </c>
      <c r="L1564" t="s">
        <v>7</v>
      </c>
      <c r="M1564">
        <v>2013</v>
      </c>
      <c r="N1564" s="1">
        <v>41569</v>
      </c>
      <c r="O1564" t="s">
        <v>7664</v>
      </c>
      <c r="P1564">
        <v>1</v>
      </c>
      <c r="Q1564" t="s">
        <v>7009</v>
      </c>
      <c r="S1564">
        <v>209.95</v>
      </c>
      <c r="T1564">
        <v>240</v>
      </c>
      <c r="U1564">
        <v>180</v>
      </c>
      <c r="V1564" t="s">
        <v>329</v>
      </c>
      <c r="W1564" t="s">
        <v>330</v>
      </c>
      <c r="X1564" t="s">
        <v>331</v>
      </c>
      <c r="Y1564" t="s">
        <v>4770</v>
      </c>
      <c r="AF1564" t="s">
        <v>13</v>
      </c>
      <c r="AG1564" t="str">
        <f>HYPERLINK("https://doi.org/10.1515/9781474472135")</f>
        <v>https://doi.org/10.1515/9781474472135</v>
      </c>
      <c r="AH1564" t="str">
        <f>HYPERLINK("http://www.degruyter.com/isbn/9781474472135")</f>
        <v>http://www.degruyter.com/isbn/9781474472135</v>
      </c>
      <c r="AI1564" t="s">
        <v>68</v>
      </c>
      <c r="AL1564" t="s">
        <v>333</v>
      </c>
      <c r="AM1564">
        <v>1</v>
      </c>
      <c r="AN1564" s="2">
        <v>9780748634132</v>
      </c>
    </row>
    <row r="1565" spans="1:40" x14ac:dyDescent="0.3">
      <c r="A1565" t="s">
        <v>7665</v>
      </c>
      <c r="B1565" t="s">
        <v>1</v>
      </c>
      <c r="C1565" t="s">
        <v>7666</v>
      </c>
      <c r="E1565" t="s">
        <v>7667</v>
      </c>
      <c r="F1565" t="s">
        <v>5</v>
      </c>
      <c r="G1565" t="s">
        <v>6</v>
      </c>
      <c r="K1565" t="s">
        <v>923</v>
      </c>
      <c r="L1565" t="s">
        <v>7</v>
      </c>
      <c r="M1565">
        <v>2020</v>
      </c>
      <c r="N1565" s="1">
        <v>44148</v>
      </c>
      <c r="O1565" t="s">
        <v>7668</v>
      </c>
      <c r="P1565">
        <v>1</v>
      </c>
      <c r="Q1565" t="s">
        <v>6659</v>
      </c>
      <c r="V1565" t="s">
        <v>268</v>
      </c>
      <c r="W1565" t="s">
        <v>2337</v>
      </c>
      <c r="X1565" t="s">
        <v>2337</v>
      </c>
      <c r="Y1565" t="s">
        <v>2338</v>
      </c>
      <c r="AF1565" t="s">
        <v>13</v>
      </c>
      <c r="AG1565" t="str">
        <f>HYPERLINK("https://doi.org/10.1515/9781474451024")</f>
        <v>https://doi.org/10.1515/9781474451024</v>
      </c>
      <c r="AH1565" t="str">
        <f>HYPERLINK("http://www.degruyter.com/isbn/9781474451024")</f>
        <v>http://www.degruyter.com/isbn/9781474451024</v>
      </c>
      <c r="AI1565" t="s">
        <v>7669</v>
      </c>
      <c r="AM1565">
        <v>1</v>
      </c>
      <c r="AN1565" s="2"/>
    </row>
    <row r="1566" spans="1:40" x14ac:dyDescent="0.3">
      <c r="A1566" t="s">
        <v>7670</v>
      </c>
      <c r="B1566" t="s">
        <v>1</v>
      </c>
      <c r="C1566" t="s">
        <v>7671</v>
      </c>
      <c r="E1566" t="s">
        <v>7672</v>
      </c>
      <c r="F1566" t="s">
        <v>5</v>
      </c>
      <c r="G1566" t="s">
        <v>6</v>
      </c>
      <c r="L1566" t="s">
        <v>7</v>
      </c>
      <c r="M1566">
        <v>2021</v>
      </c>
      <c r="N1566" s="1">
        <v>44644</v>
      </c>
      <c r="O1566" t="s">
        <v>7673</v>
      </c>
      <c r="P1566">
        <v>1</v>
      </c>
      <c r="Q1566" t="s">
        <v>6923</v>
      </c>
      <c r="S1566">
        <v>243.95</v>
      </c>
      <c r="T1566">
        <v>280</v>
      </c>
      <c r="U1566">
        <v>210</v>
      </c>
      <c r="V1566" t="s">
        <v>20</v>
      </c>
      <c r="W1566" t="s">
        <v>470</v>
      </c>
      <c r="X1566" t="s">
        <v>1269</v>
      </c>
      <c r="Y1566" t="s">
        <v>1705</v>
      </c>
      <c r="AF1566" t="s">
        <v>13</v>
      </c>
      <c r="AG1566" t="str">
        <f>HYPERLINK("https://doi.org/10.1515/9781474440165")</f>
        <v>https://doi.org/10.1515/9781474440165</v>
      </c>
      <c r="AH1566" t="str">
        <f>HYPERLINK("http://www.degruyter.com/isbn/9781474440165")</f>
        <v>http://www.degruyter.com/isbn/9781474440165</v>
      </c>
      <c r="AI1566" t="s">
        <v>559</v>
      </c>
      <c r="AJ1566" t="s">
        <v>35</v>
      </c>
      <c r="AL1566" t="s">
        <v>1346</v>
      </c>
      <c r="AM1566">
        <v>1</v>
      </c>
      <c r="AN1566" s="2">
        <v>9781474440141</v>
      </c>
    </row>
    <row r="1567" spans="1:40" x14ac:dyDescent="0.3">
      <c r="A1567" t="s">
        <v>7674</v>
      </c>
      <c r="B1567" t="s">
        <v>1</v>
      </c>
      <c r="C1567" t="s">
        <v>7675</v>
      </c>
      <c r="E1567" t="s">
        <v>7676</v>
      </c>
      <c r="F1567" t="s">
        <v>5</v>
      </c>
      <c r="G1567" t="s">
        <v>6</v>
      </c>
      <c r="L1567" t="s">
        <v>7</v>
      </c>
      <c r="M1567">
        <v>1984</v>
      </c>
      <c r="N1567" s="1">
        <v>44719</v>
      </c>
      <c r="O1567" t="s">
        <v>5563</v>
      </c>
      <c r="P1567">
        <v>1</v>
      </c>
      <c r="Q1567" t="s">
        <v>7677</v>
      </c>
      <c r="S1567">
        <v>739.95</v>
      </c>
      <c r="T1567">
        <v>850</v>
      </c>
      <c r="U1567">
        <v>650</v>
      </c>
      <c r="V1567" t="s">
        <v>20</v>
      </c>
      <c r="W1567" t="s">
        <v>21</v>
      </c>
      <c r="X1567" t="s">
        <v>22</v>
      </c>
      <c r="Y1567" t="s">
        <v>23</v>
      </c>
      <c r="AF1567" t="s">
        <v>13</v>
      </c>
      <c r="AG1567" t="str">
        <f>HYPERLINK("https://doi.org/10.1515/9781474464208")</f>
        <v>https://doi.org/10.1515/9781474464208</v>
      </c>
      <c r="AH1567" t="str">
        <f>HYPERLINK("http://www.degruyter.com/isbn/9781474464208")</f>
        <v>http://www.degruyter.com/isbn/9781474464208</v>
      </c>
      <c r="AI1567" t="s">
        <v>24</v>
      </c>
      <c r="AL1567" t="s">
        <v>15</v>
      </c>
      <c r="AM1567">
        <v>1</v>
      </c>
      <c r="AN1567" s="2">
        <v>9780852241417</v>
      </c>
    </row>
    <row r="1568" spans="1:40" x14ac:dyDescent="0.3">
      <c r="A1568" t="s">
        <v>7678</v>
      </c>
      <c r="B1568" t="s">
        <v>1</v>
      </c>
      <c r="C1568" t="s">
        <v>7679</v>
      </c>
      <c r="E1568" t="s">
        <v>7680</v>
      </c>
      <c r="F1568" t="s">
        <v>5</v>
      </c>
      <c r="G1568" t="s">
        <v>6</v>
      </c>
      <c r="L1568" t="s">
        <v>7</v>
      </c>
      <c r="M1568">
        <v>2004</v>
      </c>
      <c r="N1568" s="1">
        <v>38075</v>
      </c>
      <c r="O1568" t="s">
        <v>7681</v>
      </c>
      <c r="P1568">
        <v>1</v>
      </c>
      <c r="Q1568" t="s">
        <v>7266</v>
      </c>
      <c r="S1568">
        <v>279.95</v>
      </c>
      <c r="T1568">
        <v>320</v>
      </c>
      <c r="U1568">
        <v>240</v>
      </c>
      <c r="V1568" t="s">
        <v>42</v>
      </c>
      <c r="W1568" t="s">
        <v>116</v>
      </c>
      <c r="X1568" t="s">
        <v>116</v>
      </c>
      <c r="Y1568" t="s">
        <v>117</v>
      </c>
      <c r="AF1568" t="s">
        <v>13</v>
      </c>
      <c r="AG1568" t="str">
        <f>HYPERLINK("https://doi.org/10.1515/9781474433532")</f>
        <v>https://doi.org/10.1515/9781474433532</v>
      </c>
      <c r="AH1568" t="str">
        <f>HYPERLINK("http://www.degruyter.com/isbn/9781474433532")</f>
        <v>http://www.degruyter.com/isbn/9781474433532</v>
      </c>
      <c r="AI1568" t="s">
        <v>68</v>
      </c>
      <c r="AL1568" t="s">
        <v>47</v>
      </c>
      <c r="AM1568">
        <v>1</v>
      </c>
      <c r="AN1568" s="2">
        <v>9780748605705</v>
      </c>
    </row>
    <row r="1569" spans="1:40" x14ac:dyDescent="0.3">
      <c r="A1569" t="s">
        <v>7682</v>
      </c>
      <c r="B1569" t="s">
        <v>1</v>
      </c>
      <c r="C1569" t="s">
        <v>7683</v>
      </c>
      <c r="D1569" t="s">
        <v>7684</v>
      </c>
      <c r="E1569" t="s">
        <v>7685</v>
      </c>
      <c r="F1569" t="s">
        <v>5</v>
      </c>
      <c r="G1569" t="s">
        <v>6</v>
      </c>
      <c r="K1569" t="s">
        <v>929</v>
      </c>
      <c r="L1569" t="s">
        <v>7</v>
      </c>
      <c r="M1569">
        <v>2020</v>
      </c>
      <c r="N1569" s="1">
        <v>44095</v>
      </c>
      <c r="O1569" t="s">
        <v>7686</v>
      </c>
      <c r="P1569">
        <v>1</v>
      </c>
      <c r="Q1569" t="s">
        <v>7059</v>
      </c>
      <c r="V1569" t="s">
        <v>9</v>
      </c>
      <c r="W1569" t="s">
        <v>10</v>
      </c>
      <c r="X1569" t="s">
        <v>11</v>
      </c>
      <c r="Y1569" t="s">
        <v>52</v>
      </c>
      <c r="AF1569" t="s">
        <v>13</v>
      </c>
      <c r="AG1569" t="str">
        <f>HYPERLINK("https://doi.org/10.1515/9781474434331")</f>
        <v>https://doi.org/10.1515/9781474434331</v>
      </c>
      <c r="AH1569" t="str">
        <f>HYPERLINK("http://www.degruyter.com/isbn/9781474434331")</f>
        <v>http://www.degruyter.com/isbn/9781474434331</v>
      </c>
      <c r="AI1569" t="s">
        <v>14</v>
      </c>
      <c r="AM1569">
        <v>1</v>
      </c>
      <c r="AN1569" s="2"/>
    </row>
    <row r="1570" spans="1:40" x14ac:dyDescent="0.3">
      <c r="A1570" t="s">
        <v>7687</v>
      </c>
      <c r="B1570" t="s">
        <v>1</v>
      </c>
      <c r="C1570" t="s">
        <v>7688</v>
      </c>
      <c r="D1570" t="s">
        <v>7689</v>
      </c>
      <c r="E1570" t="s">
        <v>7690</v>
      </c>
      <c r="F1570" t="s">
        <v>5</v>
      </c>
      <c r="G1570" t="s">
        <v>6</v>
      </c>
      <c r="K1570" t="s">
        <v>929</v>
      </c>
      <c r="L1570" t="s">
        <v>7</v>
      </c>
      <c r="M1570">
        <v>2019</v>
      </c>
      <c r="N1570" s="1">
        <v>43588</v>
      </c>
      <c r="O1570" t="s">
        <v>5053</v>
      </c>
      <c r="P1570">
        <v>1</v>
      </c>
      <c r="Q1570" t="s">
        <v>7086</v>
      </c>
      <c r="V1570" t="s">
        <v>42</v>
      </c>
      <c r="W1570" t="s">
        <v>161</v>
      </c>
      <c r="X1570" t="s">
        <v>4261</v>
      </c>
      <c r="Y1570" t="s">
        <v>393</v>
      </c>
      <c r="AF1570" t="s">
        <v>13</v>
      </c>
      <c r="AG1570" t="str">
        <f>HYPERLINK("https://doi.org/10.1515/9781474439015")</f>
        <v>https://doi.org/10.1515/9781474439015</v>
      </c>
      <c r="AH1570" t="str">
        <f>HYPERLINK("http://www.degruyter.com/isbn/9781474439015")</f>
        <v>http://www.degruyter.com/isbn/9781474439015</v>
      </c>
      <c r="AI1570" t="s">
        <v>280</v>
      </c>
      <c r="AM1570">
        <v>1</v>
      </c>
      <c r="AN1570" s="2"/>
    </row>
    <row r="1571" spans="1:40" x14ac:dyDescent="0.3">
      <c r="A1571" t="s">
        <v>7691</v>
      </c>
      <c r="B1571" t="s">
        <v>1</v>
      </c>
      <c r="C1571" t="s">
        <v>7692</v>
      </c>
      <c r="D1571" t="s">
        <v>7693</v>
      </c>
      <c r="E1571" t="s">
        <v>7694</v>
      </c>
      <c r="F1571" t="s">
        <v>5</v>
      </c>
      <c r="G1571" t="s">
        <v>6</v>
      </c>
      <c r="L1571" t="s">
        <v>7</v>
      </c>
      <c r="M1571">
        <v>1996</v>
      </c>
      <c r="N1571" s="1">
        <v>44607</v>
      </c>
      <c r="O1571" t="s">
        <v>7565</v>
      </c>
      <c r="P1571">
        <v>1</v>
      </c>
      <c r="Q1571" t="s">
        <v>6528</v>
      </c>
      <c r="S1571">
        <v>217.95</v>
      </c>
      <c r="T1571">
        <v>250</v>
      </c>
      <c r="U1571">
        <v>190</v>
      </c>
      <c r="V1571" t="s">
        <v>79</v>
      </c>
      <c r="W1571" t="s">
        <v>209</v>
      </c>
      <c r="X1571" t="s">
        <v>209</v>
      </c>
      <c r="Y1571" t="s">
        <v>510</v>
      </c>
      <c r="AF1571" t="s">
        <v>13</v>
      </c>
      <c r="AG1571" t="str">
        <f>HYPERLINK("https://doi.org/10.1515/9781474470575")</f>
        <v>https://doi.org/10.1515/9781474470575</v>
      </c>
      <c r="AH1571" t="str">
        <f>HYPERLINK("http://www.degruyter.com/isbn/9781474470575")</f>
        <v>http://www.degruyter.com/isbn/9781474470575</v>
      </c>
      <c r="AI1571" t="s">
        <v>24</v>
      </c>
      <c r="AL1571" t="s">
        <v>83</v>
      </c>
      <c r="AM1571">
        <v>1</v>
      </c>
      <c r="AN1571" s="2">
        <v>9780748607389</v>
      </c>
    </row>
    <row r="1572" spans="1:40" x14ac:dyDescent="0.3">
      <c r="A1572" t="s">
        <v>7695</v>
      </c>
      <c r="B1572" t="s">
        <v>1</v>
      </c>
      <c r="C1572" t="s">
        <v>7696</v>
      </c>
      <c r="D1572" t="s">
        <v>7697</v>
      </c>
      <c r="E1572" t="s">
        <v>7698</v>
      </c>
      <c r="F1572" t="s">
        <v>5</v>
      </c>
      <c r="G1572" t="s">
        <v>6</v>
      </c>
      <c r="L1572" t="s">
        <v>7</v>
      </c>
      <c r="M1572">
        <v>2019</v>
      </c>
      <c r="N1572" s="1">
        <v>44656</v>
      </c>
      <c r="O1572" t="s">
        <v>7699</v>
      </c>
      <c r="P1572">
        <v>1</v>
      </c>
      <c r="Q1572" t="s">
        <v>6539</v>
      </c>
      <c r="S1572">
        <v>227.95</v>
      </c>
      <c r="T1572">
        <v>260</v>
      </c>
      <c r="U1572">
        <v>200</v>
      </c>
      <c r="V1572" t="s">
        <v>42</v>
      </c>
      <c r="W1572" t="s">
        <v>107</v>
      </c>
      <c r="X1572" t="s">
        <v>108</v>
      </c>
      <c r="Y1572" t="s">
        <v>109</v>
      </c>
      <c r="AF1572" t="s">
        <v>13</v>
      </c>
      <c r="AG1572" t="str">
        <f>HYPERLINK("https://doi.org/10.1515/9781474453264?locatt=mode:legacy")</f>
        <v>https://doi.org/10.1515/9781474453264?locatt=mode:legacy</v>
      </c>
      <c r="AH1572" t="str">
        <f>HYPERLINK("http://www.degruyter.com/isbn/9781474453264")</f>
        <v>http://www.degruyter.com/isbn/9781474453264</v>
      </c>
      <c r="AI1572" t="s">
        <v>280</v>
      </c>
      <c r="AL1572" t="s">
        <v>47</v>
      </c>
      <c r="AM1572">
        <v>1</v>
      </c>
      <c r="AN1572" s="2">
        <v>9781474453240</v>
      </c>
    </row>
    <row r="1573" spans="1:40" x14ac:dyDescent="0.3">
      <c r="A1573" t="s">
        <v>7700</v>
      </c>
      <c r="B1573" t="s">
        <v>1</v>
      </c>
      <c r="C1573" t="s">
        <v>7701</v>
      </c>
      <c r="E1573" t="s">
        <v>7702</v>
      </c>
      <c r="F1573" t="s">
        <v>5</v>
      </c>
      <c r="G1573" t="s">
        <v>6</v>
      </c>
      <c r="L1573" t="s">
        <v>7</v>
      </c>
      <c r="M1573">
        <v>2015</v>
      </c>
      <c r="N1573" s="1">
        <v>42163</v>
      </c>
      <c r="O1573" t="s">
        <v>7703</v>
      </c>
      <c r="P1573">
        <v>1</v>
      </c>
      <c r="Q1573" t="s">
        <v>6418</v>
      </c>
      <c r="S1573">
        <v>253.95</v>
      </c>
      <c r="T1573">
        <v>290</v>
      </c>
      <c r="U1573">
        <v>220</v>
      </c>
      <c r="V1573" t="s">
        <v>847</v>
      </c>
      <c r="W1573" t="s">
        <v>848</v>
      </c>
      <c r="X1573" t="s">
        <v>849</v>
      </c>
      <c r="Y1573" t="s">
        <v>850</v>
      </c>
      <c r="AF1573" t="s">
        <v>13</v>
      </c>
      <c r="AG1573" t="str">
        <f>HYPERLINK("https://doi.org/10.1515/9780748691555")</f>
        <v>https://doi.org/10.1515/9780748691555</v>
      </c>
      <c r="AH1573" t="str">
        <f>HYPERLINK("http://www.degruyter.com/isbn/9780748691555")</f>
        <v>http://www.degruyter.com/isbn/9780748691555</v>
      </c>
      <c r="AI1573" t="s">
        <v>34</v>
      </c>
      <c r="AL1573" t="s">
        <v>1070</v>
      </c>
      <c r="AM1573">
        <v>1</v>
      </c>
      <c r="AN1573" s="2">
        <v>9780748691531</v>
      </c>
    </row>
    <row r="1574" spans="1:40" x14ac:dyDescent="0.3">
      <c r="A1574" t="s">
        <v>7704</v>
      </c>
      <c r="B1574" t="s">
        <v>1</v>
      </c>
      <c r="C1574" t="s">
        <v>7705</v>
      </c>
      <c r="E1574" t="s">
        <v>7706</v>
      </c>
      <c r="F1574" t="s">
        <v>5</v>
      </c>
      <c r="G1574" t="s">
        <v>6</v>
      </c>
      <c r="L1574" t="s">
        <v>7</v>
      </c>
      <c r="M1574">
        <v>2020</v>
      </c>
      <c r="N1574" s="1">
        <v>44644</v>
      </c>
      <c r="O1574" t="s">
        <v>7707</v>
      </c>
      <c r="P1574">
        <v>1</v>
      </c>
      <c r="Q1574" t="s">
        <v>6606</v>
      </c>
      <c r="S1574">
        <v>253.95</v>
      </c>
      <c r="T1574">
        <v>290</v>
      </c>
      <c r="U1574">
        <v>220</v>
      </c>
      <c r="V1574" t="s">
        <v>329</v>
      </c>
      <c r="W1574" t="s">
        <v>330</v>
      </c>
      <c r="X1574" t="s">
        <v>331</v>
      </c>
      <c r="Y1574" t="s">
        <v>332</v>
      </c>
      <c r="AF1574" t="s">
        <v>13</v>
      </c>
      <c r="AG1574" t="str">
        <f>HYPERLINK("https://doi.org/10.1515/9781474462181?locatt=mode:legacy")</f>
        <v>https://doi.org/10.1515/9781474462181?locatt=mode:legacy</v>
      </c>
      <c r="AH1574" t="str">
        <f>HYPERLINK("http://www.degruyter.com/isbn/9781474462181")</f>
        <v>http://www.degruyter.com/isbn/9781474462181</v>
      </c>
      <c r="AI1574" t="s">
        <v>14</v>
      </c>
      <c r="AL1574" t="s">
        <v>333</v>
      </c>
      <c r="AM1574">
        <v>1</v>
      </c>
      <c r="AN1574" s="2">
        <v>9781474462150</v>
      </c>
    </row>
    <row r="1575" spans="1:40" x14ac:dyDescent="0.3">
      <c r="A1575" t="s">
        <v>7708</v>
      </c>
      <c r="B1575" t="s">
        <v>1</v>
      </c>
      <c r="C1575" t="s">
        <v>7709</v>
      </c>
      <c r="D1575" t="s">
        <v>7710</v>
      </c>
      <c r="E1575" t="s">
        <v>7711</v>
      </c>
      <c r="F1575" t="s">
        <v>5</v>
      </c>
      <c r="G1575" t="s">
        <v>6</v>
      </c>
      <c r="K1575" t="s">
        <v>923</v>
      </c>
      <c r="L1575" t="s">
        <v>7</v>
      </c>
      <c r="M1575">
        <v>2020</v>
      </c>
      <c r="N1575" s="1">
        <v>44169</v>
      </c>
      <c r="O1575" t="s">
        <v>7712</v>
      </c>
      <c r="P1575">
        <v>1</v>
      </c>
      <c r="Q1575" t="s">
        <v>7616</v>
      </c>
      <c r="V1575" t="s">
        <v>268</v>
      </c>
      <c r="W1575" t="s">
        <v>269</v>
      </c>
      <c r="X1575" t="s">
        <v>269</v>
      </c>
      <c r="Y1575" t="s">
        <v>7713</v>
      </c>
      <c r="AF1575" t="s">
        <v>13</v>
      </c>
      <c r="AG1575" t="str">
        <f>HYPERLINK("https://doi.org/10.1515/9781474473880")</f>
        <v>https://doi.org/10.1515/9781474473880</v>
      </c>
      <c r="AH1575" t="str">
        <f>HYPERLINK("http://www.degruyter.com/isbn/9781474473880")</f>
        <v>http://www.degruyter.com/isbn/9781474473880</v>
      </c>
      <c r="AI1575" t="s">
        <v>7714</v>
      </c>
      <c r="AM1575">
        <v>1</v>
      </c>
      <c r="AN1575" s="2"/>
    </row>
    <row r="1576" spans="1:40" x14ac:dyDescent="0.3">
      <c r="A1576" t="s">
        <v>7715</v>
      </c>
      <c r="B1576" t="s">
        <v>1</v>
      </c>
      <c r="C1576" t="s">
        <v>7716</v>
      </c>
      <c r="D1576" t="s">
        <v>7717</v>
      </c>
      <c r="E1576" t="s">
        <v>7718</v>
      </c>
      <c r="F1576" t="s">
        <v>5</v>
      </c>
      <c r="G1576" t="s">
        <v>6</v>
      </c>
      <c r="L1576" t="s">
        <v>7</v>
      </c>
      <c r="M1576">
        <v>2018</v>
      </c>
      <c r="N1576" s="1">
        <v>44644</v>
      </c>
      <c r="O1576" t="s">
        <v>7719</v>
      </c>
      <c r="P1576">
        <v>1</v>
      </c>
      <c r="Q1576" t="s">
        <v>6665</v>
      </c>
      <c r="S1576">
        <v>217.95</v>
      </c>
      <c r="T1576">
        <v>250</v>
      </c>
      <c r="U1576">
        <v>190</v>
      </c>
      <c r="V1576" t="s">
        <v>9</v>
      </c>
      <c r="W1576" t="s">
        <v>10</v>
      </c>
      <c r="X1576" t="s">
        <v>11</v>
      </c>
      <c r="Y1576" t="s">
        <v>52</v>
      </c>
      <c r="AF1576" t="s">
        <v>13</v>
      </c>
      <c r="AG1576" t="str">
        <f>HYPERLINK("https://doi.org/10.1515/9781474402897?locatt=mode:legacy")</f>
        <v>https://doi.org/10.1515/9781474402897?locatt=mode:legacy</v>
      </c>
      <c r="AH1576" t="str">
        <f>HYPERLINK("http://www.degruyter.com/isbn/9781474402897")</f>
        <v>http://www.degruyter.com/isbn/9781474402897</v>
      </c>
      <c r="AI1576" t="s">
        <v>46</v>
      </c>
      <c r="AL1576" t="s">
        <v>15</v>
      </c>
      <c r="AM1576">
        <v>1</v>
      </c>
      <c r="AN1576" s="2">
        <v>9781474402880</v>
      </c>
    </row>
    <row r="1577" spans="1:40" x14ac:dyDescent="0.3">
      <c r="A1577" t="s">
        <v>7720</v>
      </c>
      <c r="B1577" t="s">
        <v>1</v>
      </c>
      <c r="C1577" t="s">
        <v>7721</v>
      </c>
      <c r="E1577" t="s">
        <v>7722</v>
      </c>
      <c r="F1577" t="s">
        <v>5</v>
      </c>
      <c r="G1577" t="s">
        <v>6</v>
      </c>
      <c r="L1577" t="s">
        <v>7</v>
      </c>
      <c r="M1577">
        <v>2017</v>
      </c>
      <c r="N1577" s="1">
        <v>43089</v>
      </c>
      <c r="O1577" t="s">
        <v>7723</v>
      </c>
      <c r="P1577">
        <v>1</v>
      </c>
      <c r="Q1577" t="s">
        <v>6923</v>
      </c>
      <c r="S1577">
        <v>243.95</v>
      </c>
      <c r="T1577">
        <v>280</v>
      </c>
      <c r="U1577">
        <v>210</v>
      </c>
      <c r="V1577" t="s">
        <v>20</v>
      </c>
      <c r="W1577" t="s">
        <v>21</v>
      </c>
      <c r="X1577" t="s">
        <v>4875</v>
      </c>
      <c r="Y1577" t="s">
        <v>5044</v>
      </c>
      <c r="AF1577" t="s">
        <v>13</v>
      </c>
      <c r="AG1577" t="str">
        <f>HYPERLINK("https://doi.org/10.1515/9781474415804")</f>
        <v>https://doi.org/10.1515/9781474415804</v>
      </c>
      <c r="AH1577" t="str">
        <f>HYPERLINK("http://www.degruyter.com/isbn/9781474415804")</f>
        <v>http://www.degruyter.com/isbn/9781474415804</v>
      </c>
      <c r="AI1577" t="s">
        <v>222</v>
      </c>
      <c r="AL1577" t="s">
        <v>15</v>
      </c>
      <c r="AM1577">
        <v>1</v>
      </c>
      <c r="AN1577" s="2">
        <v>9781474415781</v>
      </c>
    </row>
    <row r="1578" spans="1:40" x14ac:dyDescent="0.3">
      <c r="A1578" t="s">
        <v>7724</v>
      </c>
      <c r="B1578" t="s">
        <v>1</v>
      </c>
      <c r="C1578" t="s">
        <v>7725</v>
      </c>
      <c r="E1578" t="s">
        <v>7726</v>
      </c>
      <c r="F1578" t="s">
        <v>5</v>
      </c>
      <c r="G1578" t="s">
        <v>6</v>
      </c>
      <c r="L1578" t="s">
        <v>7</v>
      </c>
      <c r="M1578">
        <v>2018</v>
      </c>
      <c r="N1578" s="1">
        <v>44644</v>
      </c>
      <c r="O1578" t="s">
        <v>7727</v>
      </c>
      <c r="P1578">
        <v>1</v>
      </c>
      <c r="Q1578" t="s">
        <v>7728</v>
      </c>
      <c r="S1578">
        <v>217.95</v>
      </c>
      <c r="T1578">
        <v>250</v>
      </c>
      <c r="U1578">
        <v>190</v>
      </c>
      <c r="V1578" t="s">
        <v>42</v>
      </c>
      <c r="W1578" t="s">
        <v>43</v>
      </c>
      <c r="X1578" t="s">
        <v>178</v>
      </c>
      <c r="Y1578" t="s">
        <v>4382</v>
      </c>
      <c r="AF1578" t="s">
        <v>13</v>
      </c>
      <c r="AG1578" t="str">
        <f>HYPERLINK("https://doi.org/10.1515/9781474416306?locatt=mode:legacy")</f>
        <v>https://doi.org/10.1515/9781474416306?locatt=mode:legacy</v>
      </c>
      <c r="AH1578" t="str">
        <f>HYPERLINK("http://www.degruyter.com/isbn/9781474416306")</f>
        <v>http://www.degruyter.com/isbn/9781474416306</v>
      </c>
      <c r="AI1578" t="s">
        <v>46</v>
      </c>
      <c r="AL1578" t="s">
        <v>47</v>
      </c>
      <c r="AM1578">
        <v>1</v>
      </c>
      <c r="AN1578" s="2">
        <v>9781474416290</v>
      </c>
    </row>
    <row r="1579" spans="1:40" x14ac:dyDescent="0.3">
      <c r="A1579" t="s">
        <v>7729</v>
      </c>
      <c r="B1579" t="s">
        <v>1</v>
      </c>
      <c r="C1579" t="s">
        <v>7730</v>
      </c>
      <c r="D1579" t="s">
        <v>7731</v>
      </c>
      <c r="E1579" t="s">
        <v>7732</v>
      </c>
      <c r="F1579" t="s">
        <v>5</v>
      </c>
      <c r="G1579" t="s">
        <v>6</v>
      </c>
      <c r="L1579" t="s">
        <v>7</v>
      </c>
      <c r="M1579">
        <v>2013</v>
      </c>
      <c r="N1579" s="1">
        <v>41289</v>
      </c>
      <c r="O1579" t="s">
        <v>2986</v>
      </c>
      <c r="P1579">
        <v>1</v>
      </c>
      <c r="Q1579" t="s">
        <v>7733</v>
      </c>
      <c r="S1579">
        <v>253.95</v>
      </c>
      <c r="T1579">
        <v>290</v>
      </c>
      <c r="U1579">
        <v>220</v>
      </c>
      <c r="V1579" t="s">
        <v>79</v>
      </c>
      <c r="W1579" t="s">
        <v>209</v>
      </c>
      <c r="X1579" t="s">
        <v>209</v>
      </c>
      <c r="Y1579" t="s">
        <v>510</v>
      </c>
      <c r="AF1579" t="s">
        <v>13</v>
      </c>
      <c r="AG1579" t="str">
        <f>HYPERLINK("https://doi.org/10.1515/9780748668946")</f>
        <v>https://doi.org/10.1515/9780748668946</v>
      </c>
      <c r="AH1579" t="str">
        <f>HYPERLINK("http://www.degruyter.com/isbn/9780748668946")</f>
        <v>http://www.degruyter.com/isbn/9780748668946</v>
      </c>
      <c r="AI1579" t="s">
        <v>68</v>
      </c>
      <c r="AL1579" t="s">
        <v>83</v>
      </c>
      <c r="AM1579">
        <v>1</v>
      </c>
      <c r="AN1579" s="2">
        <v>9780748668809</v>
      </c>
    </row>
    <row r="1580" spans="1:40" x14ac:dyDescent="0.3">
      <c r="A1580" t="s">
        <v>7734</v>
      </c>
      <c r="B1580" t="s">
        <v>1</v>
      </c>
      <c r="C1580" t="s">
        <v>7735</v>
      </c>
      <c r="E1580" t="s">
        <v>7736</v>
      </c>
      <c r="F1580" t="s">
        <v>5</v>
      </c>
      <c r="G1580" t="s">
        <v>6</v>
      </c>
      <c r="L1580" t="s">
        <v>7</v>
      </c>
      <c r="M1580">
        <v>2010</v>
      </c>
      <c r="N1580" s="1">
        <v>40298</v>
      </c>
      <c r="O1580" t="s">
        <v>7737</v>
      </c>
      <c r="P1580">
        <v>1</v>
      </c>
      <c r="Q1580" t="s">
        <v>7738</v>
      </c>
      <c r="S1580">
        <v>227.95</v>
      </c>
      <c r="T1580">
        <v>260</v>
      </c>
      <c r="U1580">
        <v>200</v>
      </c>
      <c r="V1580" t="s">
        <v>98</v>
      </c>
      <c r="W1580" t="s">
        <v>99</v>
      </c>
      <c r="X1580" t="s">
        <v>386</v>
      </c>
      <c r="Y1580" t="s">
        <v>387</v>
      </c>
      <c r="AF1580" t="s">
        <v>13</v>
      </c>
      <c r="AG1580" t="str">
        <f>HYPERLINK("https://doi.org/10.1515/9780748630004")</f>
        <v>https://doi.org/10.1515/9780748630004</v>
      </c>
      <c r="AH1580" t="str">
        <f>HYPERLINK("http://www.degruyter.com/isbn/9780748630004")</f>
        <v>http://www.degruyter.com/isbn/9780748630004</v>
      </c>
      <c r="AI1580" t="s">
        <v>68</v>
      </c>
      <c r="AL1580" t="s">
        <v>102</v>
      </c>
      <c r="AM1580">
        <v>1</v>
      </c>
      <c r="AN1580" s="2">
        <v>9780748623242</v>
      </c>
    </row>
    <row r="1581" spans="1:40" x14ac:dyDescent="0.3">
      <c r="A1581" t="s">
        <v>7739</v>
      </c>
      <c r="B1581" t="s">
        <v>1</v>
      </c>
      <c r="C1581" t="s">
        <v>7740</v>
      </c>
      <c r="D1581" t="s">
        <v>7741</v>
      </c>
      <c r="E1581" t="s">
        <v>7742</v>
      </c>
      <c r="F1581" t="s">
        <v>5</v>
      </c>
      <c r="G1581" t="s">
        <v>6</v>
      </c>
      <c r="L1581" t="s">
        <v>7</v>
      </c>
      <c r="M1581">
        <v>2001</v>
      </c>
      <c r="N1581" s="1">
        <v>44634</v>
      </c>
      <c r="O1581" t="s">
        <v>3836</v>
      </c>
      <c r="P1581">
        <v>1</v>
      </c>
      <c r="S1581">
        <v>217.95</v>
      </c>
      <c r="T1581">
        <v>250</v>
      </c>
      <c r="U1581">
        <v>190</v>
      </c>
      <c r="V1581" t="s">
        <v>58</v>
      </c>
      <c r="W1581" t="s">
        <v>59</v>
      </c>
      <c r="X1581" t="s">
        <v>60</v>
      </c>
      <c r="Y1581" t="s">
        <v>145</v>
      </c>
      <c r="AF1581" t="s">
        <v>13</v>
      </c>
      <c r="AG1581" t="str">
        <f>HYPERLINK("https://doi.org/10.1515/9781474468954")</f>
        <v>https://doi.org/10.1515/9781474468954</v>
      </c>
      <c r="AH1581" t="str">
        <f>HYPERLINK("http://www.degruyter.com/isbn/9781474468954")</f>
        <v>http://www.degruyter.com/isbn/9781474468954</v>
      </c>
      <c r="AI1581" t="s">
        <v>68</v>
      </c>
      <c r="AL1581" t="s">
        <v>62</v>
      </c>
      <c r="AM1581">
        <v>1</v>
      </c>
      <c r="AN1581" s="2">
        <v>9780748615414</v>
      </c>
    </row>
    <row r="1582" spans="1:40" x14ac:dyDescent="0.3">
      <c r="A1582" t="s">
        <v>7743</v>
      </c>
      <c r="B1582" t="s">
        <v>1</v>
      </c>
      <c r="C1582" t="s">
        <v>7744</v>
      </c>
      <c r="D1582" t="s">
        <v>7745</v>
      </c>
      <c r="E1582" t="s">
        <v>7746</v>
      </c>
      <c r="F1582" t="s">
        <v>5</v>
      </c>
      <c r="G1582" t="s">
        <v>6</v>
      </c>
      <c r="L1582" t="s">
        <v>7</v>
      </c>
      <c r="M1582">
        <v>2016</v>
      </c>
      <c r="N1582" s="1">
        <v>42621</v>
      </c>
      <c r="O1582" t="s">
        <v>7747</v>
      </c>
      <c r="P1582">
        <v>1</v>
      </c>
      <c r="Q1582" t="s">
        <v>5754</v>
      </c>
      <c r="S1582">
        <v>261.95</v>
      </c>
      <c r="T1582">
        <v>300</v>
      </c>
      <c r="U1582">
        <v>230</v>
      </c>
      <c r="V1582" t="s">
        <v>79</v>
      </c>
      <c r="W1582" t="s">
        <v>209</v>
      </c>
      <c r="X1582" t="s">
        <v>209</v>
      </c>
      <c r="Y1582" t="s">
        <v>510</v>
      </c>
      <c r="AF1582" t="s">
        <v>13</v>
      </c>
      <c r="AG1582" t="str">
        <f>HYPERLINK("https://doi.org/10.1515/9781474418263")</f>
        <v>https://doi.org/10.1515/9781474418263</v>
      </c>
      <c r="AH1582" t="str">
        <f>HYPERLINK("http://www.degruyter.com/isbn/9781474418263")</f>
        <v>http://www.degruyter.com/isbn/9781474418263</v>
      </c>
      <c r="AI1582" t="s">
        <v>180</v>
      </c>
      <c r="AL1582" t="s">
        <v>83</v>
      </c>
      <c r="AM1582">
        <v>1</v>
      </c>
      <c r="AN1582" s="2">
        <v>9781474418249</v>
      </c>
    </row>
    <row r="1583" spans="1:40" x14ac:dyDescent="0.3">
      <c r="A1583" t="s">
        <v>7748</v>
      </c>
      <c r="B1583" t="s">
        <v>1</v>
      </c>
      <c r="C1583" t="s">
        <v>7749</v>
      </c>
      <c r="D1583" t="s">
        <v>7750</v>
      </c>
      <c r="E1583" t="s">
        <v>7751</v>
      </c>
      <c r="F1583" t="s">
        <v>5</v>
      </c>
      <c r="G1583" t="s">
        <v>6</v>
      </c>
      <c r="L1583" t="s">
        <v>7</v>
      </c>
      <c r="M1583">
        <v>2015</v>
      </c>
      <c r="N1583" s="1">
        <v>42321</v>
      </c>
      <c r="O1583" t="s">
        <v>7752</v>
      </c>
      <c r="P1583">
        <v>1</v>
      </c>
      <c r="Q1583" t="s">
        <v>6665</v>
      </c>
      <c r="S1583">
        <v>209.95</v>
      </c>
      <c r="T1583">
        <v>240</v>
      </c>
      <c r="U1583">
        <v>180</v>
      </c>
      <c r="V1583" t="s">
        <v>9</v>
      </c>
      <c r="W1583" t="s">
        <v>10</v>
      </c>
      <c r="X1583" t="s">
        <v>11</v>
      </c>
      <c r="Y1583" t="s">
        <v>12</v>
      </c>
      <c r="AF1583" t="s">
        <v>13</v>
      </c>
      <c r="AG1583" t="str">
        <f>HYPERLINK("https://doi.org/10.1515/9781474403887")</f>
        <v>https://doi.org/10.1515/9781474403887</v>
      </c>
      <c r="AH1583" t="str">
        <f>HYPERLINK("http://www.degruyter.com/isbn/9781474403887")</f>
        <v>http://www.degruyter.com/isbn/9781474403887</v>
      </c>
      <c r="AI1583" t="s">
        <v>34</v>
      </c>
      <c r="AL1583" t="s">
        <v>15</v>
      </c>
      <c r="AM1583">
        <v>1</v>
      </c>
      <c r="AN1583" s="2">
        <v>9781474403863</v>
      </c>
    </row>
    <row r="1584" spans="1:40" x14ac:dyDescent="0.3">
      <c r="A1584" t="s">
        <v>7753</v>
      </c>
      <c r="B1584" t="s">
        <v>1</v>
      </c>
      <c r="C1584" t="s">
        <v>7754</v>
      </c>
      <c r="D1584" t="s">
        <v>7755</v>
      </c>
      <c r="E1584" t="s">
        <v>7756</v>
      </c>
      <c r="F1584" t="s">
        <v>5</v>
      </c>
      <c r="G1584" t="s">
        <v>6</v>
      </c>
      <c r="L1584" t="s">
        <v>7</v>
      </c>
      <c r="M1584">
        <v>2021</v>
      </c>
      <c r="N1584" s="1">
        <v>44656</v>
      </c>
      <c r="O1584" t="s">
        <v>7757</v>
      </c>
      <c r="P1584">
        <v>1</v>
      </c>
      <c r="Q1584" t="s">
        <v>6876</v>
      </c>
      <c r="S1584">
        <v>217.95</v>
      </c>
      <c r="T1584">
        <v>250</v>
      </c>
      <c r="U1584">
        <v>190</v>
      </c>
      <c r="V1584" t="s">
        <v>42</v>
      </c>
      <c r="W1584" t="s">
        <v>161</v>
      </c>
      <c r="X1584" t="s">
        <v>162</v>
      </c>
      <c r="Y1584" t="s">
        <v>393</v>
      </c>
      <c r="AF1584" t="s">
        <v>13</v>
      </c>
      <c r="AG1584" t="str">
        <f>HYPERLINK("https://doi.org/10.1515/9781474474986")</f>
        <v>https://doi.org/10.1515/9781474474986</v>
      </c>
      <c r="AH1584" t="str">
        <f>HYPERLINK("http://www.degruyter.com/isbn/9781474474986")</f>
        <v>http://www.degruyter.com/isbn/9781474474986</v>
      </c>
      <c r="AI1584" t="s">
        <v>110</v>
      </c>
      <c r="AL1584" t="s">
        <v>47</v>
      </c>
      <c r="AM1584">
        <v>1</v>
      </c>
      <c r="AN1584" s="2">
        <v>9781474474962</v>
      </c>
    </row>
    <row r="1585" spans="1:40" x14ac:dyDescent="0.3">
      <c r="A1585" t="s">
        <v>7758</v>
      </c>
      <c r="B1585" t="s">
        <v>1</v>
      </c>
      <c r="C1585" t="s">
        <v>7759</v>
      </c>
      <c r="D1585" t="s">
        <v>7760</v>
      </c>
      <c r="E1585" t="s">
        <v>7761</v>
      </c>
      <c r="F1585" t="s">
        <v>5</v>
      </c>
      <c r="G1585" t="s">
        <v>6</v>
      </c>
      <c r="L1585" t="s">
        <v>7</v>
      </c>
      <c r="M1585">
        <v>2019</v>
      </c>
      <c r="N1585" s="1">
        <v>44656</v>
      </c>
      <c r="O1585" t="s">
        <v>7762</v>
      </c>
      <c r="P1585">
        <v>1</v>
      </c>
      <c r="S1585">
        <v>227.95</v>
      </c>
      <c r="T1585">
        <v>260</v>
      </c>
      <c r="U1585">
        <v>200</v>
      </c>
      <c r="V1585" t="s">
        <v>9</v>
      </c>
      <c r="W1585" t="s">
        <v>10</v>
      </c>
      <c r="X1585" t="s">
        <v>11</v>
      </c>
      <c r="Y1585" t="s">
        <v>52</v>
      </c>
      <c r="AF1585" t="s">
        <v>13</v>
      </c>
      <c r="AG1585" t="str">
        <f>HYPERLINK("https://doi.org/10.1515/9781474444026?locatt=mode:legacy")</f>
        <v>https://doi.org/10.1515/9781474444026?locatt=mode:legacy</v>
      </c>
      <c r="AH1585" t="str">
        <f>HYPERLINK("http://www.degruyter.com/isbn/9781474444026")</f>
        <v>http://www.degruyter.com/isbn/9781474444026</v>
      </c>
      <c r="AI1585" t="s">
        <v>280</v>
      </c>
      <c r="AL1585" t="s">
        <v>15</v>
      </c>
      <c r="AM1585">
        <v>1</v>
      </c>
      <c r="AN1585" s="2">
        <v>9781474444002</v>
      </c>
    </row>
    <row r="1586" spans="1:40" x14ac:dyDescent="0.3">
      <c r="A1586" t="s">
        <v>7763</v>
      </c>
      <c r="B1586" t="s">
        <v>1</v>
      </c>
      <c r="C1586" t="s">
        <v>7764</v>
      </c>
      <c r="D1586" t="s">
        <v>7765</v>
      </c>
      <c r="E1586" t="s">
        <v>7766</v>
      </c>
      <c r="F1586" t="s">
        <v>5</v>
      </c>
      <c r="G1586" t="s">
        <v>6</v>
      </c>
      <c r="L1586" t="s">
        <v>7</v>
      </c>
      <c r="M1586">
        <v>2020</v>
      </c>
      <c r="N1586" s="1">
        <v>44656</v>
      </c>
      <c r="O1586" t="s">
        <v>184</v>
      </c>
      <c r="P1586">
        <v>1</v>
      </c>
      <c r="S1586">
        <v>217.95</v>
      </c>
      <c r="T1586">
        <v>250</v>
      </c>
      <c r="U1586">
        <v>190</v>
      </c>
      <c r="V1586" t="s">
        <v>58</v>
      </c>
      <c r="W1586" t="s">
        <v>59</v>
      </c>
      <c r="X1586" t="s">
        <v>60</v>
      </c>
      <c r="Y1586" t="s">
        <v>169</v>
      </c>
      <c r="AF1586" t="s">
        <v>13</v>
      </c>
      <c r="AG1586" t="str">
        <f>HYPERLINK("https://doi.org/10.1515/9781474447836?locatt=mode:legacy")</f>
        <v>https://doi.org/10.1515/9781474447836?locatt=mode:legacy</v>
      </c>
      <c r="AH1586" t="str">
        <f>HYPERLINK("http://www.degruyter.com/isbn/9781474447836")</f>
        <v>http://www.degruyter.com/isbn/9781474447836</v>
      </c>
      <c r="AI1586" t="s">
        <v>14</v>
      </c>
      <c r="AL1586" t="s">
        <v>62</v>
      </c>
      <c r="AM1586">
        <v>1</v>
      </c>
      <c r="AN1586" s="2">
        <v>9781474447812</v>
      </c>
    </row>
    <row r="1587" spans="1:40" x14ac:dyDescent="0.3">
      <c r="A1587" t="s">
        <v>7767</v>
      </c>
      <c r="B1587" t="s">
        <v>1</v>
      </c>
      <c r="C1587" t="s">
        <v>7768</v>
      </c>
      <c r="D1587" t="s">
        <v>7769</v>
      </c>
      <c r="E1587" t="s">
        <v>7770</v>
      </c>
      <c r="F1587" t="s">
        <v>5</v>
      </c>
      <c r="G1587" t="s">
        <v>6</v>
      </c>
      <c r="L1587" t="s">
        <v>7</v>
      </c>
      <c r="M1587">
        <v>2016</v>
      </c>
      <c r="N1587" s="1">
        <v>42419</v>
      </c>
      <c r="O1587" t="s">
        <v>7771</v>
      </c>
      <c r="P1587">
        <v>1</v>
      </c>
      <c r="S1587">
        <v>217.95</v>
      </c>
      <c r="T1587">
        <v>250</v>
      </c>
      <c r="U1587">
        <v>190</v>
      </c>
      <c r="V1587" t="s">
        <v>42</v>
      </c>
      <c r="W1587" t="s">
        <v>43</v>
      </c>
      <c r="X1587" t="s">
        <v>44</v>
      </c>
      <c r="Y1587" t="s">
        <v>45</v>
      </c>
      <c r="AF1587" t="s">
        <v>13</v>
      </c>
      <c r="AG1587" t="str">
        <f>HYPERLINK("https://doi.org/10.1515/9781474406901?locatt=mode:legacy")</f>
        <v>https://doi.org/10.1515/9781474406901?locatt=mode:legacy</v>
      </c>
      <c r="AH1587" t="str">
        <f>HYPERLINK("http://www.degruyter.com/isbn/9781474406901")</f>
        <v>http://www.degruyter.com/isbn/9781474406901</v>
      </c>
      <c r="AI1587" t="s">
        <v>180</v>
      </c>
      <c r="AL1587" t="s">
        <v>47</v>
      </c>
      <c r="AM1587">
        <v>1</v>
      </c>
      <c r="AN1587" s="2">
        <v>9781474406895</v>
      </c>
    </row>
    <row r="1588" spans="1:40" x14ac:dyDescent="0.3">
      <c r="A1588" t="s">
        <v>7772</v>
      </c>
      <c r="B1588" t="s">
        <v>1</v>
      </c>
      <c r="C1588" t="s">
        <v>7773</v>
      </c>
      <c r="D1588" t="s">
        <v>7774</v>
      </c>
      <c r="E1588" t="s">
        <v>7775</v>
      </c>
      <c r="F1588" t="s">
        <v>5</v>
      </c>
      <c r="G1588" t="s">
        <v>6</v>
      </c>
      <c r="L1588" t="s">
        <v>7</v>
      </c>
      <c r="M1588">
        <v>2015</v>
      </c>
      <c r="N1588" s="1">
        <v>42083</v>
      </c>
      <c r="O1588" t="s">
        <v>4746</v>
      </c>
      <c r="P1588">
        <v>1</v>
      </c>
      <c r="Q1588" t="s">
        <v>6876</v>
      </c>
      <c r="S1588">
        <v>217.95</v>
      </c>
      <c r="T1588">
        <v>250</v>
      </c>
      <c r="U1588">
        <v>190</v>
      </c>
      <c r="V1588" t="s">
        <v>42</v>
      </c>
      <c r="W1588" t="s">
        <v>161</v>
      </c>
      <c r="X1588" t="s">
        <v>162</v>
      </c>
      <c r="Y1588" t="s">
        <v>393</v>
      </c>
      <c r="AF1588" t="s">
        <v>13</v>
      </c>
      <c r="AG1588" t="str">
        <f>HYPERLINK("https://doi.org/10.1515/9780748696253")</f>
        <v>https://doi.org/10.1515/9780748696253</v>
      </c>
      <c r="AH1588" t="str">
        <f>HYPERLINK("http://www.degruyter.com/isbn/9780748696253")</f>
        <v>http://www.degruyter.com/isbn/9780748696253</v>
      </c>
      <c r="AI1588" t="s">
        <v>34</v>
      </c>
      <c r="AL1588" t="s">
        <v>47</v>
      </c>
      <c r="AM1588">
        <v>1</v>
      </c>
      <c r="AN1588" s="2">
        <v>9780748696246</v>
      </c>
    </row>
    <row r="1589" spans="1:40" x14ac:dyDescent="0.3">
      <c r="A1589" t="s">
        <v>7776</v>
      </c>
      <c r="B1589" t="s">
        <v>1</v>
      </c>
      <c r="C1589" t="s">
        <v>7777</v>
      </c>
      <c r="D1589" t="s">
        <v>7778</v>
      </c>
      <c r="E1589" t="s">
        <v>7779</v>
      </c>
      <c r="F1589" t="s">
        <v>5</v>
      </c>
      <c r="G1589" t="s">
        <v>6</v>
      </c>
      <c r="L1589" t="s">
        <v>7</v>
      </c>
      <c r="M1589">
        <v>1998</v>
      </c>
      <c r="N1589" s="1">
        <v>44607</v>
      </c>
      <c r="O1589" t="s">
        <v>7780</v>
      </c>
      <c r="P1589">
        <v>1</v>
      </c>
      <c r="S1589">
        <v>217.95</v>
      </c>
      <c r="T1589">
        <v>250</v>
      </c>
      <c r="U1589">
        <v>190</v>
      </c>
      <c r="V1589" t="s">
        <v>297</v>
      </c>
      <c r="W1589" t="s">
        <v>7781</v>
      </c>
      <c r="X1589" t="s">
        <v>7781</v>
      </c>
      <c r="Y1589" t="s">
        <v>7782</v>
      </c>
      <c r="AF1589" t="s">
        <v>13</v>
      </c>
      <c r="AG1589" t="str">
        <f>HYPERLINK("https://doi.org/10.1515/9781474463782")</f>
        <v>https://doi.org/10.1515/9781474463782</v>
      </c>
      <c r="AH1589" t="str">
        <f>HYPERLINK("http://www.degruyter.com/isbn/9781474463782")</f>
        <v>http://www.degruyter.com/isbn/9781474463782</v>
      </c>
      <c r="AI1589" t="s">
        <v>24</v>
      </c>
      <c r="AL1589" t="s">
        <v>83</v>
      </c>
      <c r="AM1589">
        <v>1</v>
      </c>
      <c r="AN1589" s="2">
        <v>9780748611027</v>
      </c>
    </row>
    <row r="1590" spans="1:40" x14ac:dyDescent="0.3">
      <c r="A1590" t="s">
        <v>7783</v>
      </c>
      <c r="B1590" t="s">
        <v>1</v>
      </c>
      <c r="C1590" t="s">
        <v>7784</v>
      </c>
      <c r="E1590" t="s">
        <v>7785</v>
      </c>
      <c r="F1590" t="s">
        <v>5</v>
      </c>
      <c r="G1590" t="s">
        <v>6</v>
      </c>
      <c r="L1590" t="s">
        <v>7</v>
      </c>
      <c r="M1590">
        <v>2006</v>
      </c>
      <c r="N1590" s="1">
        <v>38736</v>
      </c>
      <c r="O1590" t="s">
        <v>7786</v>
      </c>
      <c r="P1590">
        <v>1</v>
      </c>
      <c r="Q1590" t="s">
        <v>7738</v>
      </c>
      <c r="S1590">
        <v>227.95</v>
      </c>
      <c r="T1590">
        <v>260</v>
      </c>
      <c r="U1590">
        <v>200</v>
      </c>
      <c r="V1590" t="s">
        <v>98</v>
      </c>
      <c r="W1590" t="s">
        <v>99</v>
      </c>
      <c r="X1590" t="s">
        <v>386</v>
      </c>
      <c r="Y1590" t="s">
        <v>387</v>
      </c>
      <c r="AF1590" t="s">
        <v>13</v>
      </c>
      <c r="AG1590" t="str">
        <f>HYPERLINK("https://doi.org/10.1515/9780748626366")</f>
        <v>https://doi.org/10.1515/9780748626366</v>
      </c>
      <c r="AH1590" t="str">
        <f>HYPERLINK("http://www.degruyter.com/isbn/9780748626366")</f>
        <v>http://www.degruyter.com/isbn/9780748626366</v>
      </c>
      <c r="AI1590" t="s">
        <v>68</v>
      </c>
      <c r="AL1590" t="s">
        <v>102</v>
      </c>
      <c r="AM1590">
        <v>1</v>
      </c>
      <c r="AN1590" s="2">
        <v>9780748615230</v>
      </c>
    </row>
    <row r="1591" spans="1:40" x14ac:dyDescent="0.3">
      <c r="A1591" t="s">
        <v>7787</v>
      </c>
      <c r="B1591" t="s">
        <v>1</v>
      </c>
      <c r="C1591" t="s">
        <v>7788</v>
      </c>
      <c r="D1591" t="s">
        <v>7789</v>
      </c>
      <c r="E1591" t="s">
        <v>7790</v>
      </c>
      <c r="F1591" t="s">
        <v>5</v>
      </c>
      <c r="G1591" t="s">
        <v>6</v>
      </c>
      <c r="L1591" t="s">
        <v>7</v>
      </c>
      <c r="M1591">
        <v>2018</v>
      </c>
      <c r="N1591" s="1">
        <v>44644</v>
      </c>
      <c r="O1591" t="s">
        <v>7791</v>
      </c>
      <c r="P1591">
        <v>1</v>
      </c>
      <c r="S1591">
        <v>217.95</v>
      </c>
      <c r="T1591">
        <v>250</v>
      </c>
      <c r="U1591">
        <v>190</v>
      </c>
      <c r="V1591" t="s">
        <v>98</v>
      </c>
      <c r="W1591" t="s">
        <v>99</v>
      </c>
      <c r="X1591" t="s">
        <v>100</v>
      </c>
      <c r="Y1591" t="s">
        <v>937</v>
      </c>
      <c r="AF1591" t="s">
        <v>13</v>
      </c>
      <c r="AG1591" t="str">
        <f>HYPERLINK("https://doi.org/10.1515/9781474420662")</f>
        <v>https://doi.org/10.1515/9781474420662</v>
      </c>
      <c r="AH1591" t="str">
        <f>HYPERLINK("http://www.degruyter.com/isbn/9781474420662")</f>
        <v>http://www.degruyter.com/isbn/9781474420662</v>
      </c>
      <c r="AI1591" t="s">
        <v>46</v>
      </c>
      <c r="AL1591" t="s">
        <v>102</v>
      </c>
      <c r="AM1591">
        <v>1</v>
      </c>
      <c r="AN1591" s="2">
        <v>9781474420655</v>
      </c>
    </row>
    <row r="1592" spans="1:40" x14ac:dyDescent="0.3">
      <c r="A1592" t="s">
        <v>7792</v>
      </c>
      <c r="B1592" t="s">
        <v>1</v>
      </c>
      <c r="C1592" t="s">
        <v>7793</v>
      </c>
      <c r="E1592" t="s">
        <v>7794</v>
      </c>
      <c r="F1592" t="s">
        <v>5</v>
      </c>
      <c r="G1592" t="s">
        <v>6</v>
      </c>
      <c r="L1592" t="s">
        <v>7</v>
      </c>
      <c r="M1592">
        <v>2010</v>
      </c>
      <c r="N1592" s="1">
        <v>40288</v>
      </c>
      <c r="O1592" t="s">
        <v>7795</v>
      </c>
      <c r="P1592">
        <v>1</v>
      </c>
      <c r="Q1592" t="s">
        <v>6630</v>
      </c>
      <c r="S1592">
        <v>191.95</v>
      </c>
      <c r="T1592">
        <v>220</v>
      </c>
      <c r="U1592">
        <v>170</v>
      </c>
      <c r="V1592" t="s">
        <v>42</v>
      </c>
      <c r="W1592" t="s">
        <v>107</v>
      </c>
      <c r="X1592" t="s">
        <v>108</v>
      </c>
      <c r="Y1592" t="s">
        <v>221</v>
      </c>
      <c r="AF1592" t="s">
        <v>13</v>
      </c>
      <c r="AG1592" t="str">
        <f>HYPERLINK("https://doi.org/10.1515/9780748629817")</f>
        <v>https://doi.org/10.1515/9780748629817</v>
      </c>
      <c r="AH1592" t="str">
        <f>HYPERLINK("http://www.degruyter.com/isbn/9780748629817")</f>
        <v>http://www.degruyter.com/isbn/9780748629817</v>
      </c>
      <c r="AI1592" t="s">
        <v>68</v>
      </c>
      <c r="AL1592" t="s">
        <v>47</v>
      </c>
      <c r="AM1592">
        <v>1</v>
      </c>
      <c r="AN1592" s="2">
        <v>9780748622672</v>
      </c>
    </row>
    <row r="1593" spans="1:40" x14ac:dyDescent="0.3">
      <c r="A1593" t="s">
        <v>7796</v>
      </c>
      <c r="B1593" t="s">
        <v>1</v>
      </c>
      <c r="C1593" t="s">
        <v>7797</v>
      </c>
      <c r="D1593" t="s">
        <v>7798</v>
      </c>
      <c r="E1593" t="s">
        <v>7799</v>
      </c>
      <c r="F1593" t="s">
        <v>5</v>
      </c>
      <c r="G1593" t="s">
        <v>6</v>
      </c>
      <c r="L1593" t="s">
        <v>7</v>
      </c>
      <c r="M1593">
        <v>2019</v>
      </c>
      <c r="N1593" s="1">
        <v>44644</v>
      </c>
      <c r="O1593" t="s">
        <v>7800</v>
      </c>
      <c r="P1593">
        <v>1</v>
      </c>
      <c r="S1593">
        <v>227.95</v>
      </c>
      <c r="T1593">
        <v>260</v>
      </c>
      <c r="U1593">
        <v>200</v>
      </c>
      <c r="V1593" t="s">
        <v>20</v>
      </c>
      <c r="W1593" t="s">
        <v>21</v>
      </c>
      <c r="X1593" t="s">
        <v>839</v>
      </c>
      <c r="Y1593" t="s">
        <v>2469</v>
      </c>
      <c r="AF1593" t="s">
        <v>13</v>
      </c>
      <c r="AG1593" t="str">
        <f>HYPERLINK("https://doi.org/10.1515/9781474440448?locatt=mode:legacy")</f>
        <v>https://doi.org/10.1515/9781474440448?locatt=mode:legacy</v>
      </c>
      <c r="AH1593" t="str">
        <f>HYPERLINK("http://www.degruyter.com/isbn/9781474440448")</f>
        <v>http://www.degruyter.com/isbn/9781474440448</v>
      </c>
      <c r="AI1593" t="s">
        <v>280</v>
      </c>
      <c r="AJ1593" t="s">
        <v>35</v>
      </c>
      <c r="AL1593" t="s">
        <v>1346</v>
      </c>
      <c r="AM1593">
        <v>1</v>
      </c>
      <c r="AN1593" s="2">
        <v>9781474440424</v>
      </c>
    </row>
    <row r="1594" spans="1:40" x14ac:dyDescent="0.3">
      <c r="A1594" t="s">
        <v>7801</v>
      </c>
      <c r="B1594" t="s">
        <v>1</v>
      </c>
      <c r="C1594" t="s">
        <v>7802</v>
      </c>
      <c r="D1594" t="s">
        <v>7803</v>
      </c>
      <c r="E1594" t="s">
        <v>7804</v>
      </c>
      <c r="F1594" t="s">
        <v>5</v>
      </c>
      <c r="G1594" t="s">
        <v>6</v>
      </c>
      <c r="L1594" t="s">
        <v>7</v>
      </c>
      <c r="M1594">
        <v>2017</v>
      </c>
      <c r="N1594" s="1">
        <v>42746</v>
      </c>
      <c r="O1594" t="s">
        <v>7805</v>
      </c>
      <c r="P1594">
        <v>1</v>
      </c>
      <c r="S1594">
        <v>253.95</v>
      </c>
      <c r="T1594">
        <v>290</v>
      </c>
      <c r="U1594">
        <v>220</v>
      </c>
      <c r="V1594" t="s">
        <v>58</v>
      </c>
      <c r="W1594" t="s">
        <v>59</v>
      </c>
      <c r="X1594" t="s">
        <v>60</v>
      </c>
      <c r="Y1594" t="s">
        <v>169</v>
      </c>
      <c r="AF1594" t="s">
        <v>13</v>
      </c>
      <c r="AG1594" t="str">
        <f>HYPERLINK("https://doi.org/10.1515/9781474415057")</f>
        <v>https://doi.org/10.1515/9781474415057</v>
      </c>
      <c r="AH1594" t="str">
        <f>HYPERLINK("http://www.degruyter.com/isbn/9781474415057")</f>
        <v>http://www.degruyter.com/isbn/9781474415057</v>
      </c>
      <c r="AI1594" t="s">
        <v>222</v>
      </c>
      <c r="AL1594" t="s">
        <v>62</v>
      </c>
      <c r="AM1594">
        <v>1</v>
      </c>
      <c r="AN1594" s="2">
        <v>9781474415040</v>
      </c>
    </row>
    <row r="1595" spans="1:40" x14ac:dyDescent="0.3">
      <c r="A1595" t="s">
        <v>7806</v>
      </c>
      <c r="B1595" t="s">
        <v>1</v>
      </c>
      <c r="C1595" t="s">
        <v>7807</v>
      </c>
      <c r="E1595" t="s">
        <v>7808</v>
      </c>
      <c r="F1595" t="s">
        <v>5</v>
      </c>
      <c r="G1595" t="s">
        <v>6</v>
      </c>
      <c r="L1595" t="s">
        <v>7</v>
      </c>
      <c r="M1595">
        <v>2017</v>
      </c>
      <c r="N1595" s="1">
        <v>43017</v>
      </c>
      <c r="O1595" t="s">
        <v>7809</v>
      </c>
      <c r="P1595">
        <v>1</v>
      </c>
      <c r="Q1595" t="s">
        <v>7810</v>
      </c>
      <c r="S1595">
        <v>217.95</v>
      </c>
      <c r="T1595">
        <v>250</v>
      </c>
      <c r="U1595">
        <v>190</v>
      </c>
      <c r="V1595" t="s">
        <v>79</v>
      </c>
      <c r="W1595" t="s">
        <v>762</v>
      </c>
      <c r="X1595" t="s">
        <v>762</v>
      </c>
      <c r="Y1595" t="s">
        <v>763</v>
      </c>
      <c r="AF1595" t="s">
        <v>13</v>
      </c>
      <c r="AG1595" t="str">
        <f>HYPERLINK("https://doi.org/10.1515/9781474417853?locatt=mode:legacy")</f>
        <v>https://doi.org/10.1515/9781474417853?locatt=mode:legacy</v>
      </c>
      <c r="AH1595" t="str">
        <f>HYPERLINK("http://www.degruyter.com/isbn/9781474417853")</f>
        <v>http://www.degruyter.com/isbn/9781474417853</v>
      </c>
      <c r="AI1595" t="s">
        <v>222</v>
      </c>
      <c r="AL1595" t="s">
        <v>83</v>
      </c>
      <c r="AM1595">
        <v>1</v>
      </c>
      <c r="AN1595" s="2">
        <v>9781474417846</v>
      </c>
    </row>
    <row r="1596" spans="1:40" x14ac:dyDescent="0.3">
      <c r="A1596" t="s">
        <v>7811</v>
      </c>
      <c r="B1596" t="s">
        <v>1</v>
      </c>
      <c r="C1596" t="s">
        <v>7812</v>
      </c>
      <c r="D1596" t="s">
        <v>7813</v>
      </c>
      <c r="E1596" t="s">
        <v>7814</v>
      </c>
      <c r="F1596" t="s">
        <v>5</v>
      </c>
      <c r="G1596" t="s">
        <v>6</v>
      </c>
      <c r="L1596" t="s">
        <v>7</v>
      </c>
      <c r="M1596">
        <v>2003</v>
      </c>
      <c r="N1596" s="1">
        <v>44607</v>
      </c>
      <c r="O1596" t="s">
        <v>7815</v>
      </c>
      <c r="P1596">
        <v>1</v>
      </c>
      <c r="S1596">
        <v>217.95</v>
      </c>
      <c r="T1596">
        <v>250</v>
      </c>
      <c r="U1596">
        <v>190</v>
      </c>
      <c r="V1596" t="s">
        <v>495</v>
      </c>
      <c r="W1596" t="s">
        <v>496</v>
      </c>
      <c r="X1596" t="s">
        <v>496</v>
      </c>
      <c r="Y1596" t="s">
        <v>621</v>
      </c>
      <c r="AF1596" t="s">
        <v>13</v>
      </c>
      <c r="AG1596" t="str">
        <f>HYPERLINK("https://doi.org/10.1515/9781474467995")</f>
        <v>https://doi.org/10.1515/9781474467995</v>
      </c>
      <c r="AH1596" t="str">
        <f>HYPERLINK("http://www.degruyter.com/isbn/9781474467995")</f>
        <v>http://www.degruyter.com/isbn/9781474467995</v>
      </c>
      <c r="AI1596" t="s">
        <v>68</v>
      </c>
      <c r="AL1596" t="s">
        <v>498</v>
      </c>
      <c r="AM1596">
        <v>1</v>
      </c>
      <c r="AN1596" s="2">
        <v>9780748617364</v>
      </c>
    </row>
    <row r="1597" spans="1:40" x14ac:dyDescent="0.3">
      <c r="A1597" t="s">
        <v>7816</v>
      </c>
      <c r="B1597" t="s">
        <v>1</v>
      </c>
      <c r="C1597" t="s">
        <v>7817</v>
      </c>
      <c r="E1597" t="s">
        <v>7818</v>
      </c>
      <c r="F1597" t="s">
        <v>5</v>
      </c>
      <c r="G1597" t="s">
        <v>6</v>
      </c>
      <c r="L1597" t="s">
        <v>7</v>
      </c>
      <c r="M1597">
        <v>2002</v>
      </c>
      <c r="N1597" s="1">
        <v>37330</v>
      </c>
      <c r="O1597" t="s">
        <v>7819</v>
      </c>
      <c r="P1597">
        <v>1</v>
      </c>
      <c r="Q1597" t="s">
        <v>7298</v>
      </c>
      <c r="S1597">
        <v>331.95</v>
      </c>
      <c r="T1597">
        <v>380</v>
      </c>
      <c r="U1597">
        <v>290</v>
      </c>
      <c r="V1597" t="s">
        <v>30</v>
      </c>
      <c r="W1597" t="s">
        <v>31</v>
      </c>
      <c r="X1597" t="s">
        <v>32</v>
      </c>
      <c r="Y1597" t="s">
        <v>7820</v>
      </c>
      <c r="AF1597" t="s">
        <v>13</v>
      </c>
      <c r="AG1597" t="str">
        <f>HYPERLINK("https://doi.org/10.1515/9781474472326")</f>
        <v>https://doi.org/10.1515/9781474472326</v>
      </c>
      <c r="AH1597" t="str">
        <f>HYPERLINK("http://www.degruyter.com/isbn/9781474472326")</f>
        <v>http://www.degruyter.com/isbn/9781474472326</v>
      </c>
      <c r="AI1597" t="s">
        <v>1149</v>
      </c>
      <c r="AL1597" t="s">
        <v>272</v>
      </c>
      <c r="AM1597">
        <v>1</v>
      </c>
      <c r="AN1597" s="2">
        <v>9780748613229</v>
      </c>
    </row>
    <row r="1598" spans="1:40" x14ac:dyDescent="0.3">
      <c r="A1598" t="s">
        <v>7821</v>
      </c>
      <c r="B1598" t="s">
        <v>1</v>
      </c>
      <c r="C1598" t="s">
        <v>7822</v>
      </c>
      <c r="D1598" t="s">
        <v>7823</v>
      </c>
      <c r="E1598" t="s">
        <v>7824</v>
      </c>
      <c r="F1598" t="s">
        <v>5</v>
      </c>
      <c r="G1598" t="s">
        <v>6</v>
      </c>
      <c r="L1598" t="s">
        <v>7</v>
      </c>
      <c r="M1598">
        <v>2014</v>
      </c>
      <c r="N1598" s="1">
        <v>41848</v>
      </c>
      <c r="O1598" t="s">
        <v>7825</v>
      </c>
      <c r="P1598">
        <v>1</v>
      </c>
      <c r="S1598">
        <v>217.95</v>
      </c>
      <c r="T1598">
        <v>250</v>
      </c>
      <c r="U1598">
        <v>190</v>
      </c>
      <c r="V1598" t="s">
        <v>20</v>
      </c>
      <c r="W1598" t="s">
        <v>21</v>
      </c>
      <c r="X1598" t="s">
        <v>458</v>
      </c>
      <c r="Y1598" t="s">
        <v>1816</v>
      </c>
      <c r="AF1598" t="s">
        <v>13</v>
      </c>
      <c r="AG1598" t="str">
        <f>HYPERLINK("https://doi.org/10.1515/9780748670130?locatt=mode:legacy")</f>
        <v>https://doi.org/10.1515/9780748670130?locatt=mode:legacy</v>
      </c>
      <c r="AH1598" t="str">
        <f>HYPERLINK("http://www.degruyter.com/isbn/9780748670130")</f>
        <v>http://www.degruyter.com/isbn/9780748670130</v>
      </c>
      <c r="AI1598" t="s">
        <v>34</v>
      </c>
      <c r="AL1598" t="s">
        <v>15</v>
      </c>
      <c r="AM1598">
        <v>1</v>
      </c>
      <c r="AN1598" s="2">
        <v>9780748670123</v>
      </c>
    </row>
    <row r="1599" spans="1:40" x14ac:dyDescent="0.3">
      <c r="A1599" t="s">
        <v>7826</v>
      </c>
      <c r="B1599" t="s">
        <v>1</v>
      </c>
      <c r="C1599" t="s">
        <v>7827</v>
      </c>
      <c r="D1599" t="s">
        <v>7828</v>
      </c>
      <c r="E1599" t="s">
        <v>7829</v>
      </c>
      <c r="F1599" t="s">
        <v>5</v>
      </c>
      <c r="G1599" t="s">
        <v>6</v>
      </c>
      <c r="K1599" t="s">
        <v>929</v>
      </c>
      <c r="L1599" t="s">
        <v>7</v>
      </c>
      <c r="M1599">
        <v>2017</v>
      </c>
      <c r="N1599" s="1">
        <v>43004</v>
      </c>
      <c r="O1599" t="s">
        <v>7830</v>
      </c>
      <c r="P1599">
        <v>1</v>
      </c>
      <c r="V1599" t="s">
        <v>20</v>
      </c>
      <c r="W1599" t="s">
        <v>21</v>
      </c>
      <c r="X1599" t="s">
        <v>458</v>
      </c>
      <c r="Y1599" t="s">
        <v>459</v>
      </c>
      <c r="AF1599" t="s">
        <v>13</v>
      </c>
      <c r="AG1599" t="str">
        <f>HYPERLINK("https://doi.org/10.1515/9781474425247")</f>
        <v>https://doi.org/10.1515/9781474425247</v>
      </c>
      <c r="AH1599" t="str">
        <f>HYPERLINK("http://www.degruyter.com/isbn/9781474425247")</f>
        <v>http://www.degruyter.com/isbn/9781474425247</v>
      </c>
      <c r="AI1599" t="s">
        <v>222</v>
      </c>
      <c r="AM1599">
        <v>1</v>
      </c>
      <c r="AN1599" s="2"/>
    </row>
    <row r="1600" spans="1:40" x14ac:dyDescent="0.3">
      <c r="A1600" t="s">
        <v>7831</v>
      </c>
      <c r="B1600" t="s">
        <v>1</v>
      </c>
      <c r="C1600" t="s">
        <v>138</v>
      </c>
      <c r="D1600" t="s">
        <v>1240</v>
      </c>
      <c r="E1600" t="s">
        <v>7832</v>
      </c>
      <c r="F1600" t="s">
        <v>5</v>
      </c>
      <c r="G1600" t="s">
        <v>6</v>
      </c>
      <c r="L1600" t="s">
        <v>7</v>
      </c>
      <c r="M1600">
        <v>2001</v>
      </c>
      <c r="N1600" s="1">
        <v>37215</v>
      </c>
      <c r="O1600" t="s">
        <v>7833</v>
      </c>
      <c r="P1600">
        <v>1</v>
      </c>
      <c r="S1600">
        <v>347.95</v>
      </c>
      <c r="T1600">
        <v>400</v>
      </c>
      <c r="U1600">
        <v>310</v>
      </c>
      <c r="V1600" t="s">
        <v>79</v>
      </c>
      <c r="W1600" t="s">
        <v>138</v>
      </c>
      <c r="X1600" t="s">
        <v>138</v>
      </c>
      <c r="Y1600" t="s">
        <v>2824</v>
      </c>
      <c r="AF1600" t="s">
        <v>13</v>
      </c>
      <c r="AG1600" t="str">
        <f>HYPERLINK("https://doi.org/10.1515/9781474465908")</f>
        <v>https://doi.org/10.1515/9781474465908</v>
      </c>
      <c r="AH1600" t="str">
        <f>HYPERLINK("http://www.degruyter.com/isbn/9781474465908")</f>
        <v>http://www.degruyter.com/isbn/9781474465908</v>
      </c>
      <c r="AI1600" t="s">
        <v>68</v>
      </c>
      <c r="AL1600" t="s">
        <v>83</v>
      </c>
      <c r="AM1600">
        <v>1</v>
      </c>
      <c r="AN1600" s="2">
        <v>9780748614615</v>
      </c>
    </row>
    <row r="1601" spans="1:40" x14ac:dyDescent="0.3">
      <c r="A1601" t="s">
        <v>7834</v>
      </c>
      <c r="B1601" t="s">
        <v>1</v>
      </c>
      <c r="C1601" t="s">
        <v>7835</v>
      </c>
      <c r="D1601" t="s">
        <v>7836</v>
      </c>
      <c r="E1601" t="s">
        <v>7837</v>
      </c>
      <c r="F1601" t="s">
        <v>5</v>
      </c>
      <c r="G1601" t="s">
        <v>6</v>
      </c>
      <c r="L1601" t="s">
        <v>7</v>
      </c>
      <c r="M1601">
        <v>2019</v>
      </c>
      <c r="N1601" s="1">
        <v>44656</v>
      </c>
      <c r="O1601" t="s">
        <v>7838</v>
      </c>
      <c r="P1601">
        <v>1</v>
      </c>
      <c r="S1601">
        <v>217.95</v>
      </c>
      <c r="T1601">
        <v>250</v>
      </c>
      <c r="U1601">
        <v>190</v>
      </c>
      <c r="V1601" t="s">
        <v>79</v>
      </c>
      <c r="W1601" t="s">
        <v>123</v>
      </c>
      <c r="X1601" t="s">
        <v>123</v>
      </c>
      <c r="Y1601" t="s">
        <v>124</v>
      </c>
      <c r="AF1601" t="s">
        <v>13</v>
      </c>
      <c r="AG1601" t="str">
        <f>HYPERLINK("https://doi.org/10.1515/9781474446167")</f>
        <v>https://doi.org/10.1515/9781474446167</v>
      </c>
      <c r="AH1601" t="str">
        <f>HYPERLINK("http://www.degruyter.com/isbn/9781474446167")</f>
        <v>http://www.degruyter.com/isbn/9781474446167</v>
      </c>
      <c r="AI1601" t="s">
        <v>280</v>
      </c>
      <c r="AL1601" t="s">
        <v>83</v>
      </c>
      <c r="AM1601">
        <v>1</v>
      </c>
      <c r="AN1601" s="2">
        <v>9781474446143</v>
      </c>
    </row>
    <row r="1602" spans="1:40" x14ac:dyDescent="0.3">
      <c r="A1602" t="s">
        <v>7839</v>
      </c>
      <c r="B1602" t="s">
        <v>1</v>
      </c>
      <c r="C1602" t="s">
        <v>7840</v>
      </c>
      <c r="E1602" t="s">
        <v>7841</v>
      </c>
      <c r="F1602" t="s">
        <v>5</v>
      </c>
      <c r="G1602" t="s">
        <v>6</v>
      </c>
      <c r="L1602" t="s">
        <v>7</v>
      </c>
      <c r="M1602">
        <v>2012</v>
      </c>
      <c r="N1602" s="1">
        <v>40914</v>
      </c>
      <c r="O1602" t="s">
        <v>7842</v>
      </c>
      <c r="P1602">
        <v>1</v>
      </c>
      <c r="Q1602" t="s">
        <v>6665</v>
      </c>
      <c r="S1602">
        <v>217.95</v>
      </c>
      <c r="T1602">
        <v>250</v>
      </c>
      <c r="U1602">
        <v>190</v>
      </c>
      <c r="V1602" t="s">
        <v>9</v>
      </c>
      <c r="W1602" t="s">
        <v>10</v>
      </c>
      <c r="X1602" t="s">
        <v>11</v>
      </c>
      <c r="Y1602" t="s">
        <v>12</v>
      </c>
      <c r="AF1602" t="s">
        <v>13</v>
      </c>
      <c r="AG1602" t="str">
        <f>HYPERLINK("https://doi.org/10.1515/9780748646548")</f>
        <v>https://doi.org/10.1515/9780748646548</v>
      </c>
      <c r="AH1602" t="str">
        <f>HYPERLINK("http://www.degruyter.com/isbn/9780748646548")</f>
        <v>http://www.degruyter.com/isbn/9780748646548</v>
      </c>
      <c r="AI1602" t="s">
        <v>68</v>
      </c>
      <c r="AL1602" t="s">
        <v>15</v>
      </c>
      <c r="AM1602">
        <v>1</v>
      </c>
      <c r="AN1602" s="2">
        <v>9780748640744</v>
      </c>
    </row>
    <row r="1603" spans="1:40" x14ac:dyDescent="0.3">
      <c r="A1603" t="s">
        <v>7843</v>
      </c>
      <c r="B1603" t="s">
        <v>1</v>
      </c>
      <c r="C1603" t="s">
        <v>7844</v>
      </c>
      <c r="E1603" t="s">
        <v>7845</v>
      </c>
      <c r="F1603" t="s">
        <v>5</v>
      </c>
      <c r="G1603" t="s">
        <v>6</v>
      </c>
      <c r="L1603" t="s">
        <v>7</v>
      </c>
      <c r="M1603">
        <v>2002</v>
      </c>
      <c r="N1603" s="1">
        <v>37361</v>
      </c>
      <c r="O1603" t="s">
        <v>7846</v>
      </c>
      <c r="P1603">
        <v>1</v>
      </c>
      <c r="S1603">
        <v>279.95</v>
      </c>
      <c r="T1603">
        <v>320</v>
      </c>
      <c r="U1603">
        <v>240</v>
      </c>
      <c r="V1603" t="s">
        <v>79</v>
      </c>
      <c r="W1603" t="s">
        <v>209</v>
      </c>
      <c r="X1603" t="s">
        <v>209</v>
      </c>
      <c r="Y1603" t="s">
        <v>510</v>
      </c>
      <c r="AF1603" t="s">
        <v>13</v>
      </c>
      <c r="AG1603" t="str">
        <f>HYPERLINK("https://doi.org/10.1515/9781474470629")</f>
        <v>https://doi.org/10.1515/9781474470629</v>
      </c>
      <c r="AH1603" t="str">
        <f>HYPERLINK("http://www.degruyter.com/isbn/9781474470629")</f>
        <v>http://www.degruyter.com/isbn/9781474470629</v>
      </c>
      <c r="AI1603" t="s">
        <v>68</v>
      </c>
      <c r="AL1603" t="s">
        <v>83</v>
      </c>
      <c r="AM1603">
        <v>1</v>
      </c>
      <c r="AN1603" s="2">
        <v>9780748616121</v>
      </c>
    </row>
    <row r="1604" spans="1:40" x14ac:dyDescent="0.3">
      <c r="A1604" t="s">
        <v>7847</v>
      </c>
      <c r="B1604" t="s">
        <v>1</v>
      </c>
      <c r="C1604" t="s">
        <v>7848</v>
      </c>
      <c r="E1604" t="s">
        <v>7849</v>
      </c>
      <c r="F1604" t="s">
        <v>5</v>
      </c>
      <c r="G1604" t="s">
        <v>6</v>
      </c>
      <c r="L1604" t="s">
        <v>7</v>
      </c>
      <c r="M1604">
        <v>2015</v>
      </c>
      <c r="N1604" s="1">
        <v>42066</v>
      </c>
      <c r="O1604" t="s">
        <v>7850</v>
      </c>
      <c r="P1604">
        <v>1</v>
      </c>
      <c r="Q1604" t="s">
        <v>6539</v>
      </c>
      <c r="S1604">
        <v>217.95</v>
      </c>
      <c r="T1604">
        <v>250</v>
      </c>
      <c r="U1604">
        <v>190</v>
      </c>
      <c r="V1604" t="s">
        <v>20</v>
      </c>
      <c r="W1604" t="s">
        <v>21</v>
      </c>
      <c r="X1604" t="s">
        <v>575</v>
      </c>
      <c r="Y1604" t="s">
        <v>576</v>
      </c>
      <c r="AF1604" t="s">
        <v>13</v>
      </c>
      <c r="AG1604" t="str">
        <f>HYPERLINK("https://doi.org/10.1515/9780748676958")</f>
        <v>https://doi.org/10.1515/9780748676958</v>
      </c>
      <c r="AH1604" t="str">
        <f>HYPERLINK("http://www.degruyter.com/isbn/9780748676958")</f>
        <v>http://www.degruyter.com/isbn/9780748676958</v>
      </c>
      <c r="AI1604" t="s">
        <v>34</v>
      </c>
      <c r="AL1604" t="s">
        <v>15</v>
      </c>
      <c r="AM1604">
        <v>1</v>
      </c>
      <c r="AN1604" s="2">
        <v>9780748676941</v>
      </c>
    </row>
    <row r="1605" spans="1:40" x14ac:dyDescent="0.3">
      <c r="A1605" t="s">
        <v>7851</v>
      </c>
      <c r="B1605" t="s">
        <v>1</v>
      </c>
      <c r="C1605" t="s">
        <v>7852</v>
      </c>
      <c r="D1605" t="s">
        <v>3830</v>
      </c>
      <c r="E1605" t="s">
        <v>7853</v>
      </c>
      <c r="F1605" t="s">
        <v>5</v>
      </c>
      <c r="G1605" t="s">
        <v>6</v>
      </c>
      <c r="L1605" t="s">
        <v>7</v>
      </c>
      <c r="M1605">
        <v>2000</v>
      </c>
      <c r="N1605" s="1">
        <v>36705</v>
      </c>
      <c r="O1605" t="s">
        <v>7854</v>
      </c>
      <c r="P1605">
        <v>1</v>
      </c>
      <c r="S1605">
        <v>331.95</v>
      </c>
      <c r="T1605">
        <v>380</v>
      </c>
      <c r="U1605">
        <v>290</v>
      </c>
      <c r="V1605" t="s">
        <v>79</v>
      </c>
      <c r="W1605" t="s">
        <v>209</v>
      </c>
      <c r="X1605" t="s">
        <v>209</v>
      </c>
      <c r="Y1605" t="s">
        <v>510</v>
      </c>
      <c r="AF1605" t="s">
        <v>13</v>
      </c>
      <c r="AG1605" t="str">
        <f>HYPERLINK("https://doi.org/10.1515/9781474469319")</f>
        <v>https://doi.org/10.1515/9781474469319</v>
      </c>
      <c r="AH1605" t="str">
        <f>HYPERLINK("http://www.degruyter.com/isbn/9781474469319")</f>
        <v>http://www.degruyter.com/isbn/9781474469319</v>
      </c>
      <c r="AI1605" t="s">
        <v>68</v>
      </c>
      <c r="AL1605" t="s">
        <v>83</v>
      </c>
      <c r="AM1605">
        <v>1</v>
      </c>
      <c r="AN1605" s="2">
        <v>9780748611287</v>
      </c>
    </row>
    <row r="1606" spans="1:40" x14ac:dyDescent="0.3">
      <c r="A1606" t="s">
        <v>7855</v>
      </c>
      <c r="B1606" t="s">
        <v>1</v>
      </c>
      <c r="C1606" t="s">
        <v>7856</v>
      </c>
      <c r="E1606" t="s">
        <v>7857</v>
      </c>
      <c r="F1606" t="s">
        <v>5</v>
      </c>
      <c r="G1606" t="s">
        <v>6</v>
      </c>
      <c r="L1606" t="s">
        <v>7</v>
      </c>
      <c r="M1606">
        <v>2021</v>
      </c>
      <c r="N1606" s="1">
        <v>44644</v>
      </c>
      <c r="O1606" t="s">
        <v>1205</v>
      </c>
      <c r="P1606">
        <v>1</v>
      </c>
      <c r="S1606">
        <v>243.95</v>
      </c>
      <c r="T1606">
        <v>280</v>
      </c>
      <c r="U1606">
        <v>210</v>
      </c>
      <c r="V1606" t="s">
        <v>79</v>
      </c>
      <c r="W1606" t="s">
        <v>734</v>
      </c>
      <c r="X1606" t="s">
        <v>734</v>
      </c>
      <c r="Y1606" t="s">
        <v>735</v>
      </c>
      <c r="AF1606" t="s">
        <v>13</v>
      </c>
      <c r="AG1606" t="str">
        <f>HYPERLINK("https://doi.org/10.1515/9781474487955")</f>
        <v>https://doi.org/10.1515/9781474487955</v>
      </c>
      <c r="AH1606" t="str">
        <f>HYPERLINK("http://www.degruyter.com/isbn/9781474487955")</f>
        <v>http://www.degruyter.com/isbn/9781474487955</v>
      </c>
      <c r="AI1606" t="s">
        <v>82</v>
      </c>
      <c r="AL1606" t="s">
        <v>83</v>
      </c>
      <c r="AM1606">
        <v>1</v>
      </c>
      <c r="AN1606" s="2">
        <v>9781474487924</v>
      </c>
    </row>
    <row r="1607" spans="1:40" x14ac:dyDescent="0.3">
      <c r="A1607" t="s">
        <v>7858</v>
      </c>
      <c r="B1607" t="s">
        <v>1</v>
      </c>
      <c r="C1607" t="s">
        <v>7859</v>
      </c>
      <c r="D1607" t="s">
        <v>7860</v>
      </c>
      <c r="E1607" t="s">
        <v>7861</v>
      </c>
      <c r="F1607" t="s">
        <v>5</v>
      </c>
      <c r="G1607" t="s">
        <v>6</v>
      </c>
      <c r="L1607" t="s">
        <v>7</v>
      </c>
      <c r="M1607">
        <v>2021</v>
      </c>
      <c r="N1607" s="1">
        <v>44644</v>
      </c>
      <c r="O1607" t="s">
        <v>7862</v>
      </c>
      <c r="P1607">
        <v>1</v>
      </c>
      <c r="Q1607" t="s">
        <v>7863</v>
      </c>
      <c r="S1607">
        <v>209.95</v>
      </c>
      <c r="T1607">
        <v>240</v>
      </c>
      <c r="U1607">
        <v>180</v>
      </c>
      <c r="V1607" t="s">
        <v>42</v>
      </c>
      <c r="W1607" t="s">
        <v>107</v>
      </c>
      <c r="X1607" t="s">
        <v>108</v>
      </c>
      <c r="Y1607" t="s">
        <v>109</v>
      </c>
      <c r="AF1607" t="s">
        <v>13</v>
      </c>
      <c r="AG1607" t="str">
        <f>HYPERLINK("https://doi.org/10.1515/9781474463010")</f>
        <v>https://doi.org/10.1515/9781474463010</v>
      </c>
      <c r="AH1607" t="str">
        <f>HYPERLINK("http://www.degruyter.com/isbn/9781474463010")</f>
        <v>http://www.degruyter.com/isbn/9781474463010</v>
      </c>
      <c r="AI1607" t="s">
        <v>1561</v>
      </c>
      <c r="AL1607" t="s">
        <v>47</v>
      </c>
      <c r="AM1607">
        <v>1</v>
      </c>
      <c r="AN1607" s="2">
        <v>9781474462990</v>
      </c>
    </row>
    <row r="1608" spans="1:40" x14ac:dyDescent="0.3">
      <c r="A1608" t="s">
        <v>7864</v>
      </c>
      <c r="B1608" t="s">
        <v>1</v>
      </c>
      <c r="C1608" t="s">
        <v>7865</v>
      </c>
      <c r="D1608" t="s">
        <v>7866</v>
      </c>
      <c r="E1608" t="s">
        <v>7867</v>
      </c>
      <c r="F1608" t="s">
        <v>5</v>
      </c>
      <c r="G1608" t="s">
        <v>6</v>
      </c>
      <c r="L1608" t="s">
        <v>7</v>
      </c>
      <c r="M1608">
        <v>2018</v>
      </c>
      <c r="N1608" s="1">
        <v>44644</v>
      </c>
      <c r="O1608" t="s">
        <v>150</v>
      </c>
      <c r="P1608">
        <v>1</v>
      </c>
      <c r="S1608">
        <v>209.95</v>
      </c>
      <c r="T1608">
        <v>240</v>
      </c>
      <c r="U1608">
        <v>180</v>
      </c>
      <c r="V1608" t="s">
        <v>20</v>
      </c>
      <c r="W1608" t="s">
        <v>21</v>
      </c>
      <c r="X1608" t="s">
        <v>22</v>
      </c>
      <c r="Y1608" t="s">
        <v>489</v>
      </c>
      <c r="AF1608" t="s">
        <v>13</v>
      </c>
      <c r="AG1608" t="str">
        <f>HYPERLINK("https://doi.org/10.1515/9781474435598")</f>
        <v>https://doi.org/10.1515/9781474435598</v>
      </c>
      <c r="AH1608" t="str">
        <f>HYPERLINK("http://www.degruyter.com/isbn/9781474435598")</f>
        <v>http://www.degruyter.com/isbn/9781474435598</v>
      </c>
      <c r="AI1608" t="s">
        <v>46</v>
      </c>
      <c r="AL1608" t="s">
        <v>15</v>
      </c>
      <c r="AM1608">
        <v>1</v>
      </c>
      <c r="AN1608" s="2">
        <v>9781474435574</v>
      </c>
    </row>
    <row r="1609" spans="1:40" x14ac:dyDescent="0.3">
      <c r="A1609" t="s">
        <v>7868</v>
      </c>
      <c r="B1609" t="s">
        <v>1</v>
      </c>
      <c r="C1609" t="s">
        <v>7869</v>
      </c>
      <c r="D1609" t="s">
        <v>7870</v>
      </c>
      <c r="E1609" t="s">
        <v>7871</v>
      </c>
      <c r="F1609" t="s">
        <v>5</v>
      </c>
      <c r="G1609" t="s">
        <v>6</v>
      </c>
      <c r="L1609" t="s">
        <v>7</v>
      </c>
      <c r="M1609">
        <v>2010</v>
      </c>
      <c r="N1609" s="1">
        <v>44592</v>
      </c>
      <c r="O1609" t="s">
        <v>7872</v>
      </c>
      <c r="P1609">
        <v>1</v>
      </c>
      <c r="S1609">
        <v>217.95</v>
      </c>
      <c r="T1609">
        <v>250</v>
      </c>
      <c r="U1609">
        <v>190</v>
      </c>
      <c r="V1609" t="s">
        <v>20</v>
      </c>
      <c r="W1609" t="s">
        <v>21</v>
      </c>
      <c r="X1609" t="s">
        <v>575</v>
      </c>
      <c r="Y1609" t="s">
        <v>576</v>
      </c>
      <c r="AF1609" t="s">
        <v>13</v>
      </c>
      <c r="AG1609" t="str">
        <f>HYPERLINK("https://doi.org/10.1515/9781474470735")</f>
        <v>https://doi.org/10.1515/9781474470735</v>
      </c>
      <c r="AH1609" t="str">
        <f>HYPERLINK("http://www.degruyter.com/isbn/9781474470735")</f>
        <v>http://www.degruyter.com/isbn/9781474470735</v>
      </c>
      <c r="AI1609" t="s">
        <v>68</v>
      </c>
      <c r="AL1609" t="s">
        <v>15</v>
      </c>
      <c r="AM1609">
        <v>1</v>
      </c>
      <c r="AN1609" s="2">
        <v>9781845861155</v>
      </c>
    </row>
    <row r="1610" spans="1:40" x14ac:dyDescent="0.3">
      <c r="A1610" t="s">
        <v>7873</v>
      </c>
      <c r="B1610" t="s">
        <v>1</v>
      </c>
      <c r="C1610" t="s">
        <v>7874</v>
      </c>
      <c r="E1610" t="s">
        <v>7875</v>
      </c>
      <c r="F1610" t="s">
        <v>5</v>
      </c>
      <c r="G1610" t="s">
        <v>6</v>
      </c>
      <c r="L1610" t="s">
        <v>7</v>
      </c>
      <c r="M1610">
        <v>1998</v>
      </c>
      <c r="N1610" s="1">
        <v>44607</v>
      </c>
      <c r="O1610" t="s">
        <v>7876</v>
      </c>
      <c r="P1610">
        <v>1</v>
      </c>
      <c r="Q1610" t="s">
        <v>6815</v>
      </c>
      <c r="S1610">
        <v>217.95</v>
      </c>
      <c r="T1610">
        <v>250</v>
      </c>
      <c r="U1610">
        <v>190</v>
      </c>
      <c r="V1610" t="s">
        <v>9</v>
      </c>
      <c r="W1610" t="s">
        <v>10</v>
      </c>
      <c r="X1610" t="s">
        <v>11</v>
      </c>
      <c r="Y1610" t="s">
        <v>12</v>
      </c>
      <c r="AF1610" t="s">
        <v>13</v>
      </c>
      <c r="AG1610" t="str">
        <f>HYPERLINK("https://doi.org/10.1515/9780748674428")</f>
        <v>https://doi.org/10.1515/9780748674428</v>
      </c>
      <c r="AH1610" t="str">
        <f>HYPERLINK("http://www.degruyter.com/isbn/9780748674428")</f>
        <v>http://www.degruyter.com/isbn/9780748674428</v>
      </c>
      <c r="AI1610" t="s">
        <v>24</v>
      </c>
      <c r="AL1610" t="s">
        <v>15</v>
      </c>
      <c r="AM1610">
        <v>1</v>
      </c>
      <c r="AN1610" s="2">
        <v>9781853311741</v>
      </c>
    </row>
    <row r="1611" spans="1:40" x14ac:dyDescent="0.3">
      <c r="A1611" t="s">
        <v>7877</v>
      </c>
      <c r="B1611" t="s">
        <v>1</v>
      </c>
      <c r="C1611" t="s">
        <v>6840</v>
      </c>
      <c r="D1611" t="s">
        <v>7878</v>
      </c>
      <c r="E1611" t="s">
        <v>6842</v>
      </c>
      <c r="F1611" t="s">
        <v>5</v>
      </c>
      <c r="G1611" t="s">
        <v>6</v>
      </c>
      <c r="L1611" t="s">
        <v>7</v>
      </c>
      <c r="M1611">
        <v>2020</v>
      </c>
      <c r="N1611" s="1">
        <v>44644</v>
      </c>
      <c r="O1611" t="s">
        <v>6947</v>
      </c>
      <c r="P1611">
        <v>1</v>
      </c>
      <c r="Q1611" t="s">
        <v>6840</v>
      </c>
      <c r="S1611">
        <v>253.95</v>
      </c>
      <c r="T1611">
        <v>290</v>
      </c>
      <c r="U1611">
        <v>220</v>
      </c>
      <c r="V1611" t="s">
        <v>42</v>
      </c>
      <c r="W1611" t="s">
        <v>116</v>
      </c>
      <c r="X1611" t="s">
        <v>116</v>
      </c>
      <c r="Y1611" t="s">
        <v>117</v>
      </c>
      <c r="AF1611" t="s">
        <v>13</v>
      </c>
      <c r="AG1611" t="str">
        <f>HYPERLINK("https://doi.org/10.1515/9781474446129")</f>
        <v>https://doi.org/10.1515/9781474446129</v>
      </c>
      <c r="AH1611" t="str">
        <f>HYPERLINK("http://www.degruyter.com/isbn/9781474446129")</f>
        <v>http://www.degruyter.com/isbn/9781474446129</v>
      </c>
      <c r="AI1611" t="s">
        <v>14</v>
      </c>
      <c r="AL1611" t="s">
        <v>47</v>
      </c>
      <c r="AM1611">
        <v>1</v>
      </c>
      <c r="AN1611" s="2">
        <v>9781474446112</v>
      </c>
    </row>
    <row r="1612" spans="1:40" x14ac:dyDescent="0.3">
      <c r="A1612" t="s">
        <v>7879</v>
      </c>
      <c r="B1612" t="s">
        <v>1</v>
      </c>
      <c r="C1612" t="s">
        <v>7880</v>
      </c>
      <c r="D1612" t="s">
        <v>7881</v>
      </c>
      <c r="E1612" t="s">
        <v>7882</v>
      </c>
      <c r="F1612" t="s">
        <v>5</v>
      </c>
      <c r="G1612" t="s">
        <v>6</v>
      </c>
      <c r="L1612" t="s">
        <v>7</v>
      </c>
      <c r="M1612">
        <v>2020</v>
      </c>
      <c r="N1612" s="1">
        <v>44656</v>
      </c>
      <c r="O1612" t="s">
        <v>1205</v>
      </c>
      <c r="P1612">
        <v>1</v>
      </c>
      <c r="S1612">
        <v>253.95</v>
      </c>
      <c r="T1612">
        <v>290</v>
      </c>
      <c r="U1612">
        <v>220</v>
      </c>
      <c r="V1612" t="s">
        <v>329</v>
      </c>
      <c r="W1612" t="s">
        <v>4080</v>
      </c>
      <c r="X1612" t="s">
        <v>4080</v>
      </c>
      <c r="Y1612" t="s">
        <v>4081</v>
      </c>
      <c r="AF1612" t="s">
        <v>13</v>
      </c>
      <c r="AG1612" t="str">
        <f>HYPERLINK("https://doi.org/10.1515/9781474466653")</f>
        <v>https://doi.org/10.1515/9781474466653</v>
      </c>
      <c r="AH1612" t="str">
        <f>HYPERLINK("http://www.degruyter.com/isbn/9781474466653")</f>
        <v>http://www.degruyter.com/isbn/9781474466653</v>
      </c>
      <c r="AI1612" t="s">
        <v>14</v>
      </c>
      <c r="AL1612" t="s">
        <v>333</v>
      </c>
      <c r="AM1612">
        <v>1</v>
      </c>
      <c r="AN1612" s="2">
        <v>9781474466639</v>
      </c>
    </row>
    <row r="1613" spans="1:40" x14ac:dyDescent="0.3">
      <c r="A1613" t="s">
        <v>7883</v>
      </c>
      <c r="B1613" t="s">
        <v>1</v>
      </c>
      <c r="C1613" t="s">
        <v>7884</v>
      </c>
      <c r="E1613" t="s">
        <v>7885</v>
      </c>
      <c r="F1613" t="s">
        <v>5</v>
      </c>
      <c r="G1613" t="s">
        <v>6</v>
      </c>
      <c r="L1613" t="s">
        <v>7</v>
      </c>
      <c r="M1613">
        <v>2016</v>
      </c>
      <c r="N1613" s="1">
        <v>42544</v>
      </c>
      <c r="O1613" t="s">
        <v>7886</v>
      </c>
      <c r="P1613">
        <v>1</v>
      </c>
      <c r="Q1613" t="s">
        <v>7887</v>
      </c>
      <c r="S1613">
        <v>243.95</v>
      </c>
      <c r="T1613">
        <v>280</v>
      </c>
      <c r="U1613">
        <v>210</v>
      </c>
      <c r="V1613" t="s">
        <v>20</v>
      </c>
      <c r="W1613" t="s">
        <v>556</v>
      </c>
      <c r="X1613" t="s">
        <v>1731</v>
      </c>
      <c r="Y1613" t="s">
        <v>7888</v>
      </c>
      <c r="AF1613" t="s">
        <v>13</v>
      </c>
      <c r="AG1613" t="str">
        <f>HYPERLINK("https://doi.org/10.1515/9781474409582")</f>
        <v>https://doi.org/10.1515/9781474409582</v>
      </c>
      <c r="AH1613" t="str">
        <f>HYPERLINK("http://www.degruyter.com/isbn/9781474409582")</f>
        <v>http://www.degruyter.com/isbn/9781474409582</v>
      </c>
      <c r="AI1613" t="s">
        <v>7889</v>
      </c>
      <c r="AL1613" t="s">
        <v>15</v>
      </c>
      <c r="AM1613">
        <v>1</v>
      </c>
      <c r="AN1613" s="2">
        <v>9781474409681</v>
      </c>
    </row>
    <row r="1614" spans="1:40" x14ac:dyDescent="0.3">
      <c r="A1614" t="s">
        <v>7890</v>
      </c>
      <c r="B1614" t="s">
        <v>1</v>
      </c>
      <c r="C1614" t="s">
        <v>7891</v>
      </c>
      <c r="D1614" t="s">
        <v>7892</v>
      </c>
      <c r="E1614" t="s">
        <v>7893</v>
      </c>
      <c r="F1614" t="s">
        <v>5</v>
      </c>
      <c r="G1614" t="s">
        <v>6</v>
      </c>
      <c r="L1614" t="s">
        <v>7</v>
      </c>
      <c r="M1614">
        <v>2019</v>
      </c>
      <c r="N1614" s="1">
        <v>44656</v>
      </c>
      <c r="O1614" t="s">
        <v>7894</v>
      </c>
      <c r="P1614">
        <v>1</v>
      </c>
      <c r="S1614">
        <v>227.95</v>
      </c>
      <c r="T1614">
        <v>260</v>
      </c>
      <c r="U1614">
        <v>200</v>
      </c>
      <c r="V1614" t="s">
        <v>268</v>
      </c>
      <c r="W1614" t="s">
        <v>269</v>
      </c>
      <c r="X1614" t="s">
        <v>269</v>
      </c>
      <c r="Y1614" t="s">
        <v>360</v>
      </c>
      <c r="AF1614" t="s">
        <v>13</v>
      </c>
      <c r="AG1614" t="str">
        <f>HYPERLINK("https://doi.org/10.1515/9781474449243")</f>
        <v>https://doi.org/10.1515/9781474449243</v>
      </c>
      <c r="AH1614" t="str">
        <f>HYPERLINK("http://www.degruyter.com/isbn/9781474449243")</f>
        <v>http://www.degruyter.com/isbn/9781474449243</v>
      </c>
      <c r="AI1614" t="s">
        <v>7895</v>
      </c>
      <c r="AL1614" t="s">
        <v>272</v>
      </c>
      <c r="AM1614">
        <v>1</v>
      </c>
      <c r="AN1614" s="2">
        <v>9781474449229</v>
      </c>
    </row>
    <row r="1615" spans="1:40" x14ac:dyDescent="0.3">
      <c r="A1615" t="s">
        <v>7896</v>
      </c>
      <c r="B1615" t="s">
        <v>1</v>
      </c>
      <c r="C1615" t="s">
        <v>7897</v>
      </c>
      <c r="E1615" t="s">
        <v>7898</v>
      </c>
      <c r="F1615" t="s">
        <v>5</v>
      </c>
      <c r="G1615" t="s">
        <v>6</v>
      </c>
      <c r="L1615" t="s">
        <v>7</v>
      </c>
      <c r="M1615">
        <v>2021</v>
      </c>
      <c r="N1615" s="1">
        <v>44644</v>
      </c>
      <c r="O1615" t="s">
        <v>7899</v>
      </c>
      <c r="P1615">
        <v>1</v>
      </c>
      <c r="S1615">
        <v>217.95</v>
      </c>
      <c r="T1615">
        <v>250</v>
      </c>
      <c r="U1615">
        <v>190</v>
      </c>
      <c r="V1615" t="s">
        <v>79</v>
      </c>
      <c r="W1615" t="s">
        <v>227</v>
      </c>
      <c r="X1615" t="s">
        <v>234</v>
      </c>
      <c r="Y1615" t="s">
        <v>5159</v>
      </c>
      <c r="AF1615" t="s">
        <v>13</v>
      </c>
      <c r="AG1615" t="str">
        <f>HYPERLINK("https://doi.org/10.1515/9781474478793")</f>
        <v>https://doi.org/10.1515/9781474478793</v>
      </c>
      <c r="AH1615" t="str">
        <f>HYPERLINK("http://www.degruyter.com/isbn/9781474478793")</f>
        <v>http://www.degruyter.com/isbn/9781474478793</v>
      </c>
      <c r="AI1615" t="s">
        <v>82</v>
      </c>
      <c r="AL1615" t="s">
        <v>83</v>
      </c>
      <c r="AM1615">
        <v>1</v>
      </c>
      <c r="AN1615" s="2">
        <v>9781474478779</v>
      </c>
    </row>
    <row r="1616" spans="1:40" x14ac:dyDescent="0.3">
      <c r="A1616" t="s">
        <v>7900</v>
      </c>
      <c r="B1616" t="s">
        <v>1</v>
      </c>
      <c r="C1616" t="s">
        <v>7901</v>
      </c>
      <c r="D1616" t="s">
        <v>7902</v>
      </c>
      <c r="E1616" t="s">
        <v>7903</v>
      </c>
      <c r="F1616" t="s">
        <v>5</v>
      </c>
      <c r="G1616" t="s">
        <v>6</v>
      </c>
      <c r="L1616" t="s">
        <v>7</v>
      </c>
      <c r="M1616">
        <v>2013</v>
      </c>
      <c r="N1616" s="1">
        <v>41443</v>
      </c>
      <c r="O1616" t="s">
        <v>7904</v>
      </c>
      <c r="P1616">
        <v>1</v>
      </c>
      <c r="Q1616" t="s">
        <v>6876</v>
      </c>
      <c r="S1616">
        <v>217.95</v>
      </c>
      <c r="T1616">
        <v>250</v>
      </c>
      <c r="U1616">
        <v>190</v>
      </c>
      <c r="V1616" t="s">
        <v>20</v>
      </c>
      <c r="W1616" t="s">
        <v>21</v>
      </c>
      <c r="X1616" t="s">
        <v>458</v>
      </c>
      <c r="Y1616" t="s">
        <v>459</v>
      </c>
      <c r="AF1616" t="s">
        <v>13</v>
      </c>
      <c r="AG1616" t="str">
        <f>HYPERLINK("https://doi.org/10.1515/9780748677900")</f>
        <v>https://doi.org/10.1515/9780748677900</v>
      </c>
      <c r="AH1616" t="str">
        <f>HYPERLINK("http://www.degruyter.com/isbn/9780748677900")</f>
        <v>http://www.degruyter.com/isbn/9780748677900</v>
      </c>
      <c r="AI1616" t="s">
        <v>1149</v>
      </c>
      <c r="AL1616" t="s">
        <v>15</v>
      </c>
      <c r="AM1616">
        <v>1</v>
      </c>
      <c r="AN1616" s="2">
        <v>9780748640690</v>
      </c>
    </row>
    <row r="1617" spans="1:40" x14ac:dyDescent="0.3">
      <c r="A1617" t="s">
        <v>7905</v>
      </c>
      <c r="B1617" t="s">
        <v>1</v>
      </c>
      <c r="C1617" t="s">
        <v>7906</v>
      </c>
      <c r="D1617" t="s">
        <v>7907</v>
      </c>
      <c r="E1617" t="s">
        <v>7908</v>
      </c>
      <c r="F1617" t="s">
        <v>5</v>
      </c>
      <c r="G1617" t="s">
        <v>6</v>
      </c>
      <c r="L1617" t="s">
        <v>7</v>
      </c>
      <c r="M1617">
        <v>1999</v>
      </c>
      <c r="N1617" s="1">
        <v>44713</v>
      </c>
      <c r="O1617" t="s">
        <v>7909</v>
      </c>
      <c r="P1617">
        <v>1</v>
      </c>
      <c r="S1617">
        <v>217.95</v>
      </c>
      <c r="T1617">
        <v>250</v>
      </c>
      <c r="U1617">
        <v>190</v>
      </c>
      <c r="V1617" t="s">
        <v>58</v>
      </c>
      <c r="W1617" t="s">
        <v>129</v>
      </c>
      <c r="X1617" t="s">
        <v>5642</v>
      </c>
      <c r="Y1617" t="s">
        <v>5643</v>
      </c>
      <c r="AF1617" t="s">
        <v>13</v>
      </c>
      <c r="AG1617" t="str">
        <f>HYPERLINK("https://doi.org/10.1515/9781474473668")</f>
        <v>https://doi.org/10.1515/9781474473668</v>
      </c>
      <c r="AH1617" t="str">
        <f>HYPERLINK("http://www.degruyter.com/isbn/9781474473668")</f>
        <v>http://www.degruyter.com/isbn/9781474473668</v>
      </c>
      <c r="AI1617" t="s">
        <v>24</v>
      </c>
      <c r="AL1617" t="s">
        <v>62</v>
      </c>
      <c r="AM1617">
        <v>1</v>
      </c>
      <c r="AN1617" s="2">
        <v>9780748611171</v>
      </c>
    </row>
    <row r="1618" spans="1:40" x14ac:dyDescent="0.3">
      <c r="A1618" t="s">
        <v>7910</v>
      </c>
      <c r="B1618" t="s">
        <v>1</v>
      </c>
      <c r="C1618" t="s">
        <v>7911</v>
      </c>
      <c r="E1618" t="s">
        <v>7912</v>
      </c>
      <c r="F1618" t="s">
        <v>5</v>
      </c>
      <c r="G1618" t="s">
        <v>6</v>
      </c>
      <c r="L1618" t="s">
        <v>7</v>
      </c>
      <c r="M1618">
        <v>2008</v>
      </c>
      <c r="N1618" s="1">
        <v>39484</v>
      </c>
      <c r="O1618" t="s">
        <v>7913</v>
      </c>
      <c r="P1618">
        <v>1</v>
      </c>
      <c r="S1618">
        <v>279.95</v>
      </c>
      <c r="T1618">
        <v>320</v>
      </c>
      <c r="U1618">
        <v>240</v>
      </c>
      <c r="V1618" t="s">
        <v>98</v>
      </c>
      <c r="W1618" t="s">
        <v>99</v>
      </c>
      <c r="X1618" t="s">
        <v>386</v>
      </c>
      <c r="Y1618" t="s">
        <v>387</v>
      </c>
      <c r="AF1618" t="s">
        <v>13</v>
      </c>
      <c r="AG1618" t="str">
        <f>HYPERLINK("https://doi.org/10.1515/9780748629251")</f>
        <v>https://doi.org/10.1515/9780748629251</v>
      </c>
      <c r="AH1618" t="str">
        <f>HYPERLINK("http://www.degruyter.com/isbn/9780748629251")</f>
        <v>http://www.degruyter.com/isbn/9780748629251</v>
      </c>
      <c r="AI1618" t="s">
        <v>68</v>
      </c>
      <c r="AL1618" t="s">
        <v>102</v>
      </c>
      <c r="AM1618">
        <v>1</v>
      </c>
      <c r="AN1618" s="2">
        <v>9780748620760</v>
      </c>
    </row>
    <row r="1619" spans="1:40" x14ac:dyDescent="0.3">
      <c r="A1619" t="s">
        <v>7914</v>
      </c>
      <c r="B1619" t="s">
        <v>1</v>
      </c>
      <c r="C1619" t="s">
        <v>7915</v>
      </c>
      <c r="D1619" t="s">
        <v>7916</v>
      </c>
      <c r="E1619" t="s">
        <v>7917</v>
      </c>
      <c r="F1619" t="s">
        <v>5</v>
      </c>
      <c r="G1619" t="s">
        <v>6</v>
      </c>
      <c r="L1619" t="s">
        <v>7</v>
      </c>
      <c r="M1619">
        <v>2019</v>
      </c>
      <c r="N1619" s="1">
        <v>44644</v>
      </c>
      <c r="O1619" t="s">
        <v>7918</v>
      </c>
      <c r="P1619">
        <v>1</v>
      </c>
      <c r="Q1619" t="s">
        <v>7919</v>
      </c>
      <c r="S1619">
        <v>253.95</v>
      </c>
      <c r="T1619">
        <v>290</v>
      </c>
      <c r="U1619">
        <v>220</v>
      </c>
      <c r="V1619" t="s">
        <v>329</v>
      </c>
      <c r="W1619" t="s">
        <v>330</v>
      </c>
      <c r="X1619" t="s">
        <v>331</v>
      </c>
      <c r="Y1619" t="s">
        <v>332</v>
      </c>
      <c r="AF1619" t="s">
        <v>13</v>
      </c>
      <c r="AG1619" t="str">
        <f>HYPERLINK("https://doi.org/10.1515/9781474455251?locatt=mode:legacy")</f>
        <v>https://doi.org/10.1515/9781474455251?locatt=mode:legacy</v>
      </c>
      <c r="AH1619" t="str">
        <f>HYPERLINK("http://www.degruyter.com/isbn/9781474455251")</f>
        <v>http://www.degruyter.com/isbn/9781474455251</v>
      </c>
      <c r="AI1619" t="s">
        <v>280</v>
      </c>
      <c r="AL1619" t="s">
        <v>333</v>
      </c>
      <c r="AM1619">
        <v>1</v>
      </c>
      <c r="AN1619" s="2">
        <v>9781474455220</v>
      </c>
    </row>
    <row r="1620" spans="1:40" x14ac:dyDescent="0.3">
      <c r="A1620" t="s">
        <v>7920</v>
      </c>
      <c r="B1620" t="s">
        <v>1</v>
      </c>
      <c r="C1620" t="s">
        <v>7921</v>
      </c>
      <c r="E1620" t="s">
        <v>7922</v>
      </c>
      <c r="F1620" t="s">
        <v>5</v>
      </c>
      <c r="G1620" t="s">
        <v>6</v>
      </c>
      <c r="L1620" t="s">
        <v>7</v>
      </c>
      <c r="M1620">
        <v>2014</v>
      </c>
      <c r="N1620" s="1">
        <v>41743</v>
      </c>
      <c r="O1620" t="s">
        <v>7923</v>
      </c>
      <c r="P1620">
        <v>1</v>
      </c>
      <c r="S1620">
        <v>217.95</v>
      </c>
      <c r="T1620">
        <v>250</v>
      </c>
      <c r="U1620">
        <v>190</v>
      </c>
      <c r="V1620" t="s">
        <v>42</v>
      </c>
      <c r="W1620" t="s">
        <v>116</v>
      </c>
      <c r="X1620" t="s">
        <v>116</v>
      </c>
      <c r="Y1620" t="s">
        <v>3967</v>
      </c>
      <c r="AF1620" t="s">
        <v>13</v>
      </c>
      <c r="AG1620" t="str">
        <f>HYPERLINK("https://doi.org/10.1515/9780748689774")</f>
        <v>https://doi.org/10.1515/9780748689774</v>
      </c>
      <c r="AH1620" t="str">
        <f>HYPERLINK("http://www.degruyter.com/isbn/9780748689774")</f>
        <v>http://www.degruyter.com/isbn/9780748689774</v>
      </c>
      <c r="AI1620" t="s">
        <v>34</v>
      </c>
      <c r="AL1620" t="s">
        <v>47</v>
      </c>
      <c r="AM1620">
        <v>1</v>
      </c>
      <c r="AN1620" s="2">
        <v>9780748689392</v>
      </c>
    </row>
    <row r="1621" spans="1:40" x14ac:dyDescent="0.3">
      <c r="A1621" t="s">
        <v>7924</v>
      </c>
      <c r="B1621" t="s">
        <v>1</v>
      </c>
      <c r="C1621" t="s">
        <v>7925</v>
      </c>
      <c r="D1621" t="s">
        <v>7926</v>
      </c>
      <c r="E1621" t="s">
        <v>7927</v>
      </c>
      <c r="F1621" t="s">
        <v>5</v>
      </c>
      <c r="G1621" t="s">
        <v>6</v>
      </c>
      <c r="L1621" t="s">
        <v>7</v>
      </c>
      <c r="M1621">
        <v>2020</v>
      </c>
      <c r="N1621" s="1">
        <v>44644</v>
      </c>
      <c r="O1621" t="s">
        <v>7928</v>
      </c>
      <c r="P1621">
        <v>1</v>
      </c>
      <c r="S1621">
        <v>227.95</v>
      </c>
      <c r="T1621">
        <v>260</v>
      </c>
      <c r="U1621">
        <v>200</v>
      </c>
      <c r="V1621" t="s">
        <v>9</v>
      </c>
      <c r="W1621" t="s">
        <v>10</v>
      </c>
      <c r="X1621" t="s">
        <v>11</v>
      </c>
      <c r="Y1621" t="s">
        <v>52</v>
      </c>
      <c r="AF1621" t="s">
        <v>13</v>
      </c>
      <c r="AG1621" t="str">
        <f>HYPERLINK("https://doi.org/10.1515/9781474448529?locatt=mode:legacy")</f>
        <v>https://doi.org/10.1515/9781474448529?locatt=mode:legacy</v>
      </c>
      <c r="AH1621" t="str">
        <f>HYPERLINK("http://www.degruyter.com/isbn/9781474448529")</f>
        <v>http://www.degruyter.com/isbn/9781474448529</v>
      </c>
      <c r="AI1621" t="s">
        <v>14</v>
      </c>
      <c r="AL1621" t="s">
        <v>15</v>
      </c>
      <c r="AM1621">
        <v>1</v>
      </c>
      <c r="AN1621" s="2">
        <v>9781474448505</v>
      </c>
    </row>
    <row r="1622" spans="1:40" x14ac:dyDescent="0.3">
      <c r="A1622" t="s">
        <v>7929</v>
      </c>
      <c r="B1622" t="s">
        <v>1</v>
      </c>
      <c r="C1622" t="s">
        <v>7930</v>
      </c>
      <c r="E1622" t="s">
        <v>7931</v>
      </c>
      <c r="F1622" t="s">
        <v>5</v>
      </c>
      <c r="G1622" t="s">
        <v>6</v>
      </c>
      <c r="L1622" t="s">
        <v>7</v>
      </c>
      <c r="M1622">
        <v>2001</v>
      </c>
      <c r="N1622" s="1">
        <v>36951</v>
      </c>
      <c r="O1622" t="s">
        <v>7932</v>
      </c>
      <c r="P1622">
        <v>1</v>
      </c>
      <c r="S1622">
        <v>217.95</v>
      </c>
      <c r="T1622">
        <v>250</v>
      </c>
      <c r="U1622">
        <v>190</v>
      </c>
      <c r="V1622" t="s">
        <v>42</v>
      </c>
      <c r="W1622" t="s">
        <v>116</v>
      </c>
      <c r="X1622" t="s">
        <v>116</v>
      </c>
      <c r="Y1622" t="s">
        <v>117</v>
      </c>
      <c r="AF1622" t="s">
        <v>13</v>
      </c>
      <c r="AG1622" t="str">
        <f>HYPERLINK("https://doi.org/10.1515/9780585441955")</f>
        <v>https://doi.org/10.1515/9780585441955</v>
      </c>
      <c r="AH1622" t="str">
        <f>HYPERLINK("http://www.degruyter.com/isbn/9780585441955")</f>
        <v>http://www.degruyter.com/isbn/9780585441955</v>
      </c>
      <c r="AI1622" t="s">
        <v>68</v>
      </c>
      <c r="AL1622" t="s">
        <v>47</v>
      </c>
      <c r="AM1622">
        <v>1</v>
      </c>
      <c r="AN1622" s="2">
        <v>9780748612154</v>
      </c>
    </row>
    <row r="1623" spans="1:40" x14ac:dyDescent="0.3">
      <c r="A1623" t="s">
        <v>7933</v>
      </c>
      <c r="B1623" t="s">
        <v>1</v>
      </c>
      <c r="C1623" t="s">
        <v>7934</v>
      </c>
      <c r="D1623" t="s">
        <v>7935</v>
      </c>
      <c r="E1623" t="s">
        <v>7936</v>
      </c>
      <c r="F1623" t="s">
        <v>5</v>
      </c>
      <c r="G1623" t="s">
        <v>6</v>
      </c>
      <c r="L1623" t="s">
        <v>7</v>
      </c>
      <c r="M1623">
        <v>2021</v>
      </c>
      <c r="N1623" s="1">
        <v>44644</v>
      </c>
      <c r="O1623" t="s">
        <v>7937</v>
      </c>
      <c r="P1623">
        <v>1</v>
      </c>
      <c r="Q1623" t="s">
        <v>7863</v>
      </c>
      <c r="S1623">
        <v>217.95</v>
      </c>
      <c r="T1623">
        <v>250</v>
      </c>
      <c r="U1623">
        <v>190</v>
      </c>
      <c r="V1623" t="s">
        <v>42</v>
      </c>
      <c r="W1623" t="s">
        <v>107</v>
      </c>
      <c r="X1623" t="s">
        <v>108</v>
      </c>
      <c r="Y1623" t="s">
        <v>109</v>
      </c>
      <c r="AF1623" t="s">
        <v>13</v>
      </c>
      <c r="AG1623" t="str">
        <f>HYPERLINK("https://doi.org/10.1515/9781474479059")</f>
        <v>https://doi.org/10.1515/9781474479059</v>
      </c>
      <c r="AH1623" t="str">
        <f>HYPERLINK("http://www.degruyter.com/isbn/9781474479059")</f>
        <v>http://www.degruyter.com/isbn/9781474479059</v>
      </c>
      <c r="AI1623" t="s">
        <v>1561</v>
      </c>
      <c r="AL1623" t="s">
        <v>47</v>
      </c>
      <c r="AM1623">
        <v>1</v>
      </c>
      <c r="AN1623" s="2">
        <v>9781474479035</v>
      </c>
    </row>
    <row r="1624" spans="1:40" x14ac:dyDescent="0.3">
      <c r="A1624" t="s">
        <v>7938</v>
      </c>
      <c r="B1624" t="s">
        <v>1</v>
      </c>
      <c r="C1624" t="s">
        <v>7939</v>
      </c>
      <c r="E1624" t="s">
        <v>7940</v>
      </c>
      <c r="F1624" t="s">
        <v>5</v>
      </c>
      <c r="G1624" t="s">
        <v>6</v>
      </c>
      <c r="L1624" t="s">
        <v>7</v>
      </c>
      <c r="M1624">
        <v>2005</v>
      </c>
      <c r="N1624" s="1">
        <v>44622</v>
      </c>
      <c r="O1624" t="s">
        <v>3639</v>
      </c>
      <c r="P1624">
        <v>1</v>
      </c>
      <c r="S1624">
        <v>217.95</v>
      </c>
      <c r="T1624">
        <v>250</v>
      </c>
      <c r="U1624">
        <v>190</v>
      </c>
      <c r="V1624" t="s">
        <v>305</v>
      </c>
      <c r="W1624" t="s">
        <v>2566</v>
      </c>
      <c r="X1624" t="s">
        <v>2567</v>
      </c>
      <c r="Y1624" t="s">
        <v>2833</v>
      </c>
      <c r="AF1624" t="s">
        <v>13</v>
      </c>
      <c r="AG1624" t="str">
        <f>HYPERLINK("https://doi.org/10.1515/9781474468329")</f>
        <v>https://doi.org/10.1515/9781474468329</v>
      </c>
      <c r="AH1624" t="str">
        <f>HYPERLINK("http://www.degruyter.com/isbn/9781474468329")</f>
        <v>http://www.degruyter.com/isbn/9781474468329</v>
      </c>
      <c r="AI1624" t="s">
        <v>68</v>
      </c>
      <c r="AL1624" t="s">
        <v>308</v>
      </c>
      <c r="AM1624">
        <v>1</v>
      </c>
      <c r="AN1624" s="2">
        <v>9780748620272</v>
      </c>
    </row>
    <row r="1625" spans="1:40" x14ac:dyDescent="0.3">
      <c r="A1625" t="s">
        <v>7941</v>
      </c>
      <c r="B1625" t="s">
        <v>1</v>
      </c>
      <c r="C1625" t="s">
        <v>7942</v>
      </c>
      <c r="E1625" t="s">
        <v>7943</v>
      </c>
      <c r="F1625" t="s">
        <v>5</v>
      </c>
      <c r="G1625" t="s">
        <v>6</v>
      </c>
      <c r="L1625" t="s">
        <v>7</v>
      </c>
      <c r="M1625">
        <v>2007</v>
      </c>
      <c r="N1625" s="1">
        <v>39129</v>
      </c>
      <c r="O1625" t="s">
        <v>7944</v>
      </c>
      <c r="P1625">
        <v>1</v>
      </c>
      <c r="S1625">
        <v>295.95</v>
      </c>
      <c r="T1625">
        <v>340</v>
      </c>
      <c r="U1625">
        <v>260</v>
      </c>
      <c r="V1625" t="s">
        <v>89</v>
      </c>
      <c r="W1625" t="s">
        <v>137</v>
      </c>
      <c r="X1625" t="s">
        <v>783</v>
      </c>
      <c r="Y1625" t="s">
        <v>7945</v>
      </c>
      <c r="AF1625" t="s">
        <v>13</v>
      </c>
      <c r="AG1625" t="str">
        <f>HYPERLINK("https://doi.org/10.1515/9780748630028")</f>
        <v>https://doi.org/10.1515/9780748630028</v>
      </c>
      <c r="AH1625" t="str">
        <f>HYPERLINK("http://www.degruyter.com/isbn/9780748630028")</f>
        <v>http://www.degruyter.com/isbn/9780748630028</v>
      </c>
      <c r="AI1625" t="s">
        <v>68</v>
      </c>
      <c r="AL1625" t="s">
        <v>83</v>
      </c>
      <c r="AM1625">
        <v>1</v>
      </c>
      <c r="AN1625" s="2">
        <v>9780748623297</v>
      </c>
    </row>
    <row r="1626" spans="1:40" x14ac:dyDescent="0.3">
      <c r="A1626" t="s">
        <v>7946</v>
      </c>
      <c r="B1626" t="s">
        <v>1</v>
      </c>
      <c r="C1626" t="s">
        <v>7947</v>
      </c>
      <c r="E1626" t="s">
        <v>7948</v>
      </c>
      <c r="F1626" t="s">
        <v>5</v>
      </c>
      <c r="G1626" t="s">
        <v>6</v>
      </c>
      <c r="L1626" t="s">
        <v>7</v>
      </c>
      <c r="M1626">
        <v>2001</v>
      </c>
      <c r="N1626" s="1">
        <v>44592</v>
      </c>
      <c r="O1626" t="s">
        <v>7949</v>
      </c>
      <c r="P1626">
        <v>1</v>
      </c>
      <c r="Q1626" t="s">
        <v>7950</v>
      </c>
      <c r="S1626">
        <v>217.95</v>
      </c>
      <c r="T1626">
        <v>250</v>
      </c>
      <c r="U1626">
        <v>190</v>
      </c>
      <c r="V1626" t="s">
        <v>98</v>
      </c>
      <c r="W1626" t="s">
        <v>99</v>
      </c>
      <c r="X1626" t="s">
        <v>386</v>
      </c>
      <c r="Y1626" t="s">
        <v>387</v>
      </c>
      <c r="AF1626" t="s">
        <v>13</v>
      </c>
      <c r="AG1626" t="str">
        <f>HYPERLINK("https://doi.org/10.1515/9781474470865")</f>
        <v>https://doi.org/10.1515/9781474470865</v>
      </c>
      <c r="AH1626" t="str">
        <f>HYPERLINK("http://www.degruyter.com/isbn/9781474470865")</f>
        <v>http://www.degruyter.com/isbn/9781474470865</v>
      </c>
      <c r="AI1626" t="s">
        <v>68</v>
      </c>
      <c r="AL1626" t="s">
        <v>102</v>
      </c>
      <c r="AM1626">
        <v>1</v>
      </c>
      <c r="AN1626" s="2">
        <v>9780748611652</v>
      </c>
    </row>
    <row r="1627" spans="1:40" x14ac:dyDescent="0.3">
      <c r="A1627" t="s">
        <v>7951</v>
      </c>
      <c r="B1627" t="s">
        <v>1</v>
      </c>
      <c r="C1627" t="s">
        <v>7952</v>
      </c>
      <c r="E1627" t="s">
        <v>7953</v>
      </c>
      <c r="F1627" t="s">
        <v>5</v>
      </c>
      <c r="G1627" t="s">
        <v>6</v>
      </c>
      <c r="L1627" t="s">
        <v>7</v>
      </c>
      <c r="M1627">
        <v>1993</v>
      </c>
      <c r="N1627" s="1">
        <v>44599</v>
      </c>
      <c r="O1627" t="s">
        <v>7954</v>
      </c>
      <c r="P1627">
        <v>1</v>
      </c>
      <c r="S1627">
        <v>243.95</v>
      </c>
      <c r="T1627">
        <v>280</v>
      </c>
      <c r="U1627">
        <v>210</v>
      </c>
      <c r="V1627" t="s">
        <v>79</v>
      </c>
      <c r="W1627" t="s">
        <v>80</v>
      </c>
      <c r="X1627" t="s">
        <v>80</v>
      </c>
      <c r="Y1627" t="s">
        <v>81</v>
      </c>
      <c r="AF1627" t="s">
        <v>13</v>
      </c>
      <c r="AG1627" t="str">
        <f>HYPERLINK("https://doi.org/10.1515/9781474472289")</f>
        <v>https://doi.org/10.1515/9781474472289</v>
      </c>
      <c r="AH1627" t="str">
        <f>HYPERLINK("http://www.degruyter.com/isbn/9781474472289")</f>
        <v>http://www.degruyter.com/isbn/9781474472289</v>
      </c>
      <c r="AI1627" t="s">
        <v>24</v>
      </c>
      <c r="AL1627" t="s">
        <v>83</v>
      </c>
      <c r="AM1627">
        <v>1</v>
      </c>
      <c r="AN1627" s="2">
        <v>9780748604395</v>
      </c>
    </row>
    <row r="1628" spans="1:40" x14ac:dyDescent="0.3">
      <c r="A1628" t="s">
        <v>7955</v>
      </c>
      <c r="B1628" t="s">
        <v>1</v>
      </c>
      <c r="C1628" t="s">
        <v>7956</v>
      </c>
      <c r="D1628" t="s">
        <v>7957</v>
      </c>
      <c r="E1628" t="s">
        <v>7958</v>
      </c>
      <c r="F1628" t="s">
        <v>5</v>
      </c>
      <c r="G1628" t="s">
        <v>6</v>
      </c>
      <c r="L1628" t="s">
        <v>7</v>
      </c>
      <c r="M1628">
        <v>2020</v>
      </c>
      <c r="N1628" s="1">
        <v>44644</v>
      </c>
      <c r="O1628" t="s">
        <v>7959</v>
      </c>
      <c r="P1628">
        <v>1</v>
      </c>
      <c r="S1628">
        <v>209.95</v>
      </c>
      <c r="T1628">
        <v>240</v>
      </c>
      <c r="U1628">
        <v>180</v>
      </c>
      <c r="V1628" t="s">
        <v>9</v>
      </c>
      <c r="W1628" t="s">
        <v>10</v>
      </c>
      <c r="X1628" t="s">
        <v>11</v>
      </c>
      <c r="Y1628" t="s">
        <v>52</v>
      </c>
      <c r="AF1628" t="s">
        <v>13</v>
      </c>
      <c r="AG1628" t="str">
        <f>HYPERLINK("https://doi.org/10.1515/9781474452052")</f>
        <v>https://doi.org/10.1515/9781474452052</v>
      </c>
      <c r="AH1628" t="str">
        <f>HYPERLINK("http://www.degruyter.com/isbn/9781474452052")</f>
        <v>http://www.degruyter.com/isbn/9781474452052</v>
      </c>
      <c r="AI1628" t="s">
        <v>14</v>
      </c>
      <c r="AL1628" t="s">
        <v>15</v>
      </c>
      <c r="AM1628">
        <v>1</v>
      </c>
      <c r="AN1628" s="2">
        <v>9781474452038</v>
      </c>
    </row>
    <row r="1629" spans="1:40" x14ac:dyDescent="0.3">
      <c r="A1629" t="s">
        <v>7960</v>
      </c>
      <c r="B1629" t="s">
        <v>1</v>
      </c>
      <c r="C1629" t="s">
        <v>7961</v>
      </c>
      <c r="D1629" t="s">
        <v>7962</v>
      </c>
      <c r="E1629" t="s">
        <v>7963</v>
      </c>
      <c r="F1629" t="s">
        <v>5</v>
      </c>
      <c r="G1629" t="s">
        <v>6</v>
      </c>
      <c r="L1629" t="s">
        <v>7</v>
      </c>
      <c r="M1629">
        <v>2008</v>
      </c>
      <c r="N1629" s="1">
        <v>39745</v>
      </c>
      <c r="O1629" t="s">
        <v>7964</v>
      </c>
      <c r="P1629">
        <v>1</v>
      </c>
      <c r="S1629">
        <v>243.95</v>
      </c>
      <c r="T1629">
        <v>280</v>
      </c>
      <c r="U1629">
        <v>210</v>
      </c>
      <c r="V1629" t="s">
        <v>79</v>
      </c>
      <c r="W1629" t="s">
        <v>227</v>
      </c>
      <c r="X1629" t="s">
        <v>234</v>
      </c>
      <c r="Y1629" t="s">
        <v>355</v>
      </c>
      <c r="AF1629" t="s">
        <v>13</v>
      </c>
      <c r="AG1629" t="str">
        <f>HYPERLINK("https://doi.org/10.1515/9780748634637")</f>
        <v>https://doi.org/10.1515/9780748634637</v>
      </c>
      <c r="AH1629" t="str">
        <f>HYPERLINK("http://www.degruyter.com/isbn/9780748634637")</f>
        <v>http://www.degruyter.com/isbn/9780748634637</v>
      </c>
      <c r="AI1629" t="s">
        <v>68</v>
      </c>
      <c r="AL1629" t="s">
        <v>83</v>
      </c>
      <c r="AM1629">
        <v>1</v>
      </c>
      <c r="AN1629" s="2">
        <v>9780748634620</v>
      </c>
    </row>
    <row r="1630" spans="1:40" x14ac:dyDescent="0.3">
      <c r="A1630" t="s">
        <v>7965</v>
      </c>
      <c r="B1630" t="s">
        <v>1</v>
      </c>
      <c r="C1630" t="s">
        <v>774</v>
      </c>
      <c r="D1630" t="s">
        <v>7966</v>
      </c>
      <c r="E1630" t="s">
        <v>776</v>
      </c>
      <c r="F1630" t="s">
        <v>5</v>
      </c>
      <c r="G1630" t="s">
        <v>6</v>
      </c>
      <c r="L1630" t="s">
        <v>7</v>
      </c>
      <c r="M1630">
        <v>1995</v>
      </c>
      <c r="N1630" s="1">
        <v>44719</v>
      </c>
      <c r="O1630" t="s">
        <v>7967</v>
      </c>
      <c r="P1630">
        <v>1</v>
      </c>
      <c r="S1630">
        <v>217.95</v>
      </c>
      <c r="T1630">
        <v>250</v>
      </c>
      <c r="U1630">
        <v>190</v>
      </c>
      <c r="V1630" t="s">
        <v>42</v>
      </c>
      <c r="W1630" t="s">
        <v>107</v>
      </c>
      <c r="X1630" t="s">
        <v>108</v>
      </c>
      <c r="Y1630" t="s">
        <v>952</v>
      </c>
      <c r="AF1630" t="s">
        <v>13</v>
      </c>
      <c r="AG1630" t="str">
        <f>HYPERLINK("https://doi.org/10.1515/9781474465755")</f>
        <v>https://doi.org/10.1515/9781474465755</v>
      </c>
      <c r="AH1630" t="str">
        <f>HYPERLINK("http://www.degruyter.com/isbn/9781474465755")</f>
        <v>http://www.degruyter.com/isbn/9781474465755</v>
      </c>
      <c r="AI1630" t="s">
        <v>24</v>
      </c>
      <c r="AL1630" t="s">
        <v>47</v>
      </c>
      <c r="AM1630">
        <v>1</v>
      </c>
      <c r="AN1630" s="2">
        <v>9780748605316</v>
      </c>
    </row>
    <row r="1631" spans="1:40" x14ac:dyDescent="0.3">
      <c r="A1631" t="s">
        <v>7968</v>
      </c>
      <c r="B1631" t="s">
        <v>1</v>
      </c>
      <c r="C1631" t="s">
        <v>7969</v>
      </c>
      <c r="D1631" t="s">
        <v>7970</v>
      </c>
      <c r="E1631" t="s">
        <v>7971</v>
      </c>
      <c r="F1631" t="s">
        <v>5</v>
      </c>
      <c r="G1631" t="s">
        <v>6</v>
      </c>
      <c r="L1631" t="s">
        <v>7</v>
      </c>
      <c r="M1631">
        <v>2006</v>
      </c>
      <c r="N1631" s="1">
        <v>38925</v>
      </c>
      <c r="O1631" t="s">
        <v>7972</v>
      </c>
      <c r="P1631">
        <v>1</v>
      </c>
      <c r="Q1631" t="s">
        <v>7973</v>
      </c>
      <c r="S1631">
        <v>565.95000000000005</v>
      </c>
      <c r="T1631">
        <v>650</v>
      </c>
      <c r="U1631">
        <v>500</v>
      </c>
      <c r="V1631" t="s">
        <v>329</v>
      </c>
      <c r="W1631" t="s">
        <v>330</v>
      </c>
      <c r="X1631" t="s">
        <v>331</v>
      </c>
      <c r="Y1631" t="s">
        <v>332</v>
      </c>
      <c r="AF1631" t="s">
        <v>13</v>
      </c>
      <c r="AG1631" t="str">
        <f>HYPERLINK("https://doi.org/10.1515/9780748627295")</f>
        <v>https://doi.org/10.1515/9780748627295</v>
      </c>
      <c r="AH1631" t="str">
        <f>HYPERLINK("http://www.degruyter.com/isbn/9780748627295")</f>
        <v>http://www.degruyter.com/isbn/9780748627295</v>
      </c>
      <c r="AI1631" t="s">
        <v>68</v>
      </c>
      <c r="AL1631" t="s">
        <v>333</v>
      </c>
      <c r="AM1631">
        <v>1</v>
      </c>
      <c r="AN1631" s="2">
        <v>9780748618897</v>
      </c>
    </row>
    <row r="1632" spans="1:40" x14ac:dyDescent="0.3">
      <c r="A1632" t="s">
        <v>7974</v>
      </c>
      <c r="B1632" t="s">
        <v>1</v>
      </c>
      <c r="C1632" t="s">
        <v>7975</v>
      </c>
      <c r="D1632" t="s">
        <v>27</v>
      </c>
      <c r="E1632" t="s">
        <v>7976</v>
      </c>
      <c r="F1632" t="s">
        <v>5</v>
      </c>
      <c r="G1632" t="s">
        <v>6</v>
      </c>
      <c r="L1632" t="s">
        <v>7</v>
      </c>
      <c r="M1632">
        <v>2002</v>
      </c>
      <c r="N1632" s="1">
        <v>44634</v>
      </c>
      <c r="O1632" t="s">
        <v>4621</v>
      </c>
      <c r="P1632">
        <v>1</v>
      </c>
      <c r="S1632">
        <v>217.95</v>
      </c>
      <c r="T1632">
        <v>250</v>
      </c>
      <c r="U1632">
        <v>190</v>
      </c>
      <c r="V1632" t="s">
        <v>42</v>
      </c>
      <c r="W1632" t="s">
        <v>43</v>
      </c>
      <c r="X1632" t="s">
        <v>44</v>
      </c>
      <c r="Y1632" t="s">
        <v>45</v>
      </c>
      <c r="AF1632" t="s">
        <v>13</v>
      </c>
      <c r="AG1632" t="str">
        <f>HYPERLINK("https://doi.org/10.1515/9781474469418")</f>
        <v>https://doi.org/10.1515/9781474469418</v>
      </c>
      <c r="AH1632" t="str">
        <f>HYPERLINK("http://www.degruyter.com/isbn/9781474469418")</f>
        <v>http://www.degruyter.com/isbn/9781474469418</v>
      </c>
      <c r="AI1632" t="s">
        <v>68</v>
      </c>
      <c r="AL1632" t="s">
        <v>47</v>
      </c>
      <c r="AM1632">
        <v>1</v>
      </c>
      <c r="AN1632" s="2">
        <v>9780748614165</v>
      </c>
    </row>
    <row r="1633" spans="1:40" x14ac:dyDescent="0.3">
      <c r="A1633" t="s">
        <v>7977</v>
      </c>
      <c r="B1633" t="s">
        <v>1</v>
      </c>
      <c r="C1633" t="s">
        <v>7978</v>
      </c>
      <c r="E1633" t="s">
        <v>7979</v>
      </c>
      <c r="F1633" t="s">
        <v>5</v>
      </c>
      <c r="G1633" t="s">
        <v>6</v>
      </c>
      <c r="L1633" t="s">
        <v>7</v>
      </c>
      <c r="M1633">
        <v>2012</v>
      </c>
      <c r="N1633" s="1">
        <v>40994</v>
      </c>
      <c r="O1633" t="s">
        <v>7980</v>
      </c>
      <c r="P1633">
        <v>1</v>
      </c>
      <c r="Q1633" t="s">
        <v>6659</v>
      </c>
      <c r="S1633">
        <v>243.95</v>
      </c>
      <c r="T1633">
        <v>280</v>
      </c>
      <c r="U1633">
        <v>210</v>
      </c>
      <c r="V1633" t="s">
        <v>268</v>
      </c>
      <c r="W1633" t="s">
        <v>269</v>
      </c>
      <c r="X1633" t="s">
        <v>269</v>
      </c>
      <c r="Y1633" t="s">
        <v>5838</v>
      </c>
      <c r="AF1633" t="s">
        <v>13</v>
      </c>
      <c r="AG1633" t="str">
        <f>HYPERLINK("https://doi.org/10.1515/9780748643813")</f>
        <v>https://doi.org/10.1515/9780748643813</v>
      </c>
      <c r="AH1633" t="str">
        <f>HYPERLINK("http://www.degruyter.com/isbn/9780748643813")</f>
        <v>http://www.degruyter.com/isbn/9780748643813</v>
      </c>
      <c r="AI1633" t="s">
        <v>444</v>
      </c>
      <c r="AL1633" t="s">
        <v>272</v>
      </c>
      <c r="AM1633">
        <v>1</v>
      </c>
      <c r="AN1633" s="2">
        <v>9780748643806</v>
      </c>
    </row>
    <row r="1634" spans="1:40" x14ac:dyDescent="0.3">
      <c r="A1634" t="s">
        <v>7981</v>
      </c>
      <c r="B1634" t="s">
        <v>1</v>
      </c>
      <c r="C1634" t="s">
        <v>7982</v>
      </c>
      <c r="D1634" t="s">
        <v>7731</v>
      </c>
      <c r="E1634" t="s">
        <v>7983</v>
      </c>
      <c r="F1634" t="s">
        <v>5</v>
      </c>
      <c r="G1634" t="s">
        <v>6</v>
      </c>
      <c r="L1634" t="s">
        <v>7</v>
      </c>
      <c r="M1634">
        <v>2011</v>
      </c>
      <c r="N1634" s="1">
        <v>40597</v>
      </c>
      <c r="O1634" t="s">
        <v>2986</v>
      </c>
      <c r="P1634">
        <v>1</v>
      </c>
      <c r="Q1634" t="s">
        <v>7733</v>
      </c>
      <c r="S1634">
        <v>253.95</v>
      </c>
      <c r="T1634">
        <v>290</v>
      </c>
      <c r="U1634">
        <v>220</v>
      </c>
      <c r="V1634" t="s">
        <v>79</v>
      </c>
      <c r="W1634" t="s">
        <v>209</v>
      </c>
      <c r="X1634" t="s">
        <v>209</v>
      </c>
      <c r="Y1634" t="s">
        <v>510</v>
      </c>
      <c r="AF1634" t="s">
        <v>13</v>
      </c>
      <c r="AG1634" t="str">
        <f>HYPERLINK("https://doi.org/10.1515/9780748645428")</f>
        <v>https://doi.org/10.1515/9780748645428</v>
      </c>
      <c r="AH1634" t="str">
        <f>HYPERLINK("http://www.degruyter.com/isbn/9780748645428")</f>
        <v>http://www.degruyter.com/isbn/9780748645428</v>
      </c>
      <c r="AI1634" t="s">
        <v>68</v>
      </c>
      <c r="AL1634" t="s">
        <v>83</v>
      </c>
      <c r="AM1634">
        <v>1</v>
      </c>
      <c r="AN1634" s="2">
        <v>9780748638536</v>
      </c>
    </row>
    <row r="1635" spans="1:40" x14ac:dyDescent="0.3">
      <c r="A1635" t="s">
        <v>7984</v>
      </c>
      <c r="B1635" t="s">
        <v>1</v>
      </c>
      <c r="C1635" t="s">
        <v>7985</v>
      </c>
      <c r="E1635" t="s">
        <v>7986</v>
      </c>
      <c r="F1635" t="s">
        <v>5</v>
      </c>
      <c r="G1635" t="s">
        <v>6</v>
      </c>
      <c r="L1635" t="s">
        <v>7</v>
      </c>
      <c r="M1635">
        <v>2016</v>
      </c>
      <c r="N1635" s="1">
        <v>42550</v>
      </c>
      <c r="O1635" t="s">
        <v>7987</v>
      </c>
      <c r="P1635">
        <v>1</v>
      </c>
      <c r="S1635">
        <v>217.95</v>
      </c>
      <c r="T1635">
        <v>250</v>
      </c>
      <c r="U1635">
        <v>190</v>
      </c>
      <c r="V1635" t="s">
        <v>42</v>
      </c>
      <c r="W1635" t="s">
        <v>116</v>
      </c>
      <c r="X1635" t="s">
        <v>116</v>
      </c>
      <c r="Y1635" t="s">
        <v>117</v>
      </c>
      <c r="AF1635" t="s">
        <v>13</v>
      </c>
      <c r="AG1635" t="str">
        <f>HYPERLINK("https://doi.org/10.1515/9781474403771")</f>
        <v>https://doi.org/10.1515/9781474403771</v>
      </c>
      <c r="AH1635" t="str">
        <f>HYPERLINK("http://www.degruyter.com/isbn/9781474403771")</f>
        <v>http://www.degruyter.com/isbn/9781474403771</v>
      </c>
      <c r="AI1635" t="s">
        <v>180</v>
      </c>
      <c r="AL1635" t="s">
        <v>47</v>
      </c>
      <c r="AM1635">
        <v>1</v>
      </c>
      <c r="AN1635" s="2">
        <v>9781474403764</v>
      </c>
    </row>
    <row r="1636" spans="1:40" x14ac:dyDescent="0.3">
      <c r="A1636" t="s">
        <v>7988</v>
      </c>
      <c r="B1636" t="s">
        <v>1</v>
      </c>
      <c r="C1636" t="s">
        <v>7989</v>
      </c>
      <c r="D1636" t="s">
        <v>7990</v>
      </c>
      <c r="E1636" t="s">
        <v>7991</v>
      </c>
      <c r="F1636" t="s">
        <v>5</v>
      </c>
      <c r="G1636" t="s">
        <v>6</v>
      </c>
      <c r="L1636" t="s">
        <v>7</v>
      </c>
      <c r="M1636">
        <v>2016</v>
      </c>
      <c r="N1636" s="1">
        <v>42415</v>
      </c>
      <c r="O1636" t="s">
        <v>4224</v>
      </c>
      <c r="P1636">
        <v>1</v>
      </c>
      <c r="S1636">
        <v>227.95</v>
      </c>
      <c r="T1636">
        <v>260</v>
      </c>
      <c r="U1636">
        <v>200</v>
      </c>
      <c r="V1636" t="s">
        <v>20</v>
      </c>
      <c r="W1636" t="s">
        <v>556</v>
      </c>
      <c r="X1636" t="s">
        <v>1731</v>
      </c>
      <c r="Y1636" t="s">
        <v>7992</v>
      </c>
      <c r="AF1636" t="s">
        <v>13</v>
      </c>
      <c r="AG1636" t="str">
        <f>HYPERLINK("https://doi.org/10.1515/9780748696291")</f>
        <v>https://doi.org/10.1515/9780748696291</v>
      </c>
      <c r="AH1636" t="str">
        <f>HYPERLINK("http://www.degruyter.com/isbn/9780748696291")</f>
        <v>http://www.degruyter.com/isbn/9780748696291</v>
      </c>
      <c r="AI1636" t="s">
        <v>180</v>
      </c>
      <c r="AL1636" t="s">
        <v>15</v>
      </c>
      <c r="AM1636">
        <v>1</v>
      </c>
      <c r="AN1636" s="2">
        <v>9780748696284</v>
      </c>
    </row>
    <row r="1637" spans="1:40" x14ac:dyDescent="0.3">
      <c r="A1637" t="s">
        <v>7993</v>
      </c>
      <c r="B1637" t="s">
        <v>1</v>
      </c>
      <c r="C1637" t="s">
        <v>7994</v>
      </c>
      <c r="E1637" t="s">
        <v>7995</v>
      </c>
      <c r="F1637" t="s">
        <v>5</v>
      </c>
      <c r="G1637" t="s">
        <v>6</v>
      </c>
      <c r="L1637" t="s">
        <v>7</v>
      </c>
      <c r="M1637">
        <v>2003</v>
      </c>
      <c r="N1637" s="1">
        <v>37826</v>
      </c>
      <c r="O1637" t="s">
        <v>7996</v>
      </c>
      <c r="P1637">
        <v>1</v>
      </c>
      <c r="S1637">
        <v>347.95</v>
      </c>
      <c r="T1637">
        <v>400</v>
      </c>
      <c r="U1637">
        <v>310</v>
      </c>
      <c r="V1637" t="s">
        <v>329</v>
      </c>
      <c r="W1637" t="s">
        <v>330</v>
      </c>
      <c r="X1637" t="s">
        <v>331</v>
      </c>
      <c r="Y1637" t="s">
        <v>332</v>
      </c>
      <c r="AF1637" t="s">
        <v>13</v>
      </c>
      <c r="AG1637" t="str">
        <f>HYPERLINK("https://doi.org/10.1515/9780748679843?locatt=mode:legacy")</f>
        <v>https://doi.org/10.1515/9780748679843?locatt=mode:legacy</v>
      </c>
      <c r="AH1637" t="str">
        <f>HYPERLINK("http://www.degruyter.com/isbn/9780748679843")</f>
        <v>http://www.degruyter.com/isbn/9780748679843</v>
      </c>
      <c r="AI1637" t="s">
        <v>1661</v>
      </c>
      <c r="AL1637" t="s">
        <v>333</v>
      </c>
      <c r="AM1637">
        <v>1</v>
      </c>
      <c r="AN1637" s="2">
        <v>9780748616435</v>
      </c>
    </row>
    <row r="1638" spans="1:40" x14ac:dyDescent="0.3">
      <c r="A1638" t="s">
        <v>7997</v>
      </c>
      <c r="B1638" t="s">
        <v>1</v>
      </c>
      <c r="C1638" t="s">
        <v>7998</v>
      </c>
      <c r="D1638" t="s">
        <v>7999</v>
      </c>
      <c r="E1638" t="s">
        <v>8000</v>
      </c>
      <c r="F1638" t="s">
        <v>5</v>
      </c>
      <c r="G1638" t="s">
        <v>6</v>
      </c>
      <c r="L1638" t="s">
        <v>7</v>
      </c>
      <c r="M1638">
        <v>1996</v>
      </c>
      <c r="N1638" s="1">
        <v>44599</v>
      </c>
      <c r="O1638" t="s">
        <v>8001</v>
      </c>
      <c r="P1638">
        <v>1</v>
      </c>
      <c r="Q1638" t="s">
        <v>8002</v>
      </c>
      <c r="S1638">
        <v>217.95</v>
      </c>
      <c r="T1638">
        <v>250</v>
      </c>
      <c r="U1638">
        <v>190</v>
      </c>
      <c r="V1638" t="s">
        <v>42</v>
      </c>
      <c r="W1638" t="s">
        <v>116</v>
      </c>
      <c r="X1638" t="s">
        <v>116</v>
      </c>
      <c r="Y1638" t="s">
        <v>117</v>
      </c>
      <c r="AF1638" t="s">
        <v>13</v>
      </c>
      <c r="AG1638" t="str">
        <f>HYPERLINK("https://www.degruyter.com/isbn/9781474469180")</f>
        <v>https://www.degruyter.com/isbn/9781474469180</v>
      </c>
      <c r="AH1638" t="str">
        <f>HYPERLINK("http://www.degruyter.com/isbn/9781474469180")</f>
        <v>http://www.degruyter.com/isbn/9781474469180</v>
      </c>
      <c r="AI1638" t="s">
        <v>24</v>
      </c>
      <c r="AL1638" t="s">
        <v>47</v>
      </c>
      <c r="AM1638">
        <v>1</v>
      </c>
      <c r="AN1638" s="2">
        <v>9781853311819</v>
      </c>
    </row>
    <row r="1639" spans="1:40" x14ac:dyDescent="0.3">
      <c r="A1639" t="s">
        <v>8003</v>
      </c>
      <c r="B1639" t="s">
        <v>1</v>
      </c>
      <c r="C1639" t="s">
        <v>8004</v>
      </c>
      <c r="D1639" t="s">
        <v>8005</v>
      </c>
      <c r="E1639" t="s">
        <v>8006</v>
      </c>
      <c r="F1639" t="s">
        <v>5</v>
      </c>
      <c r="G1639" t="s">
        <v>6</v>
      </c>
      <c r="L1639" t="s">
        <v>7</v>
      </c>
      <c r="M1639">
        <v>2019</v>
      </c>
      <c r="N1639" s="1">
        <v>44656</v>
      </c>
      <c r="O1639" t="s">
        <v>8007</v>
      </c>
      <c r="P1639">
        <v>1</v>
      </c>
      <c r="S1639">
        <v>217.95</v>
      </c>
      <c r="T1639">
        <v>250</v>
      </c>
      <c r="U1639">
        <v>190</v>
      </c>
      <c r="V1639" t="s">
        <v>79</v>
      </c>
      <c r="W1639" t="s">
        <v>734</v>
      </c>
      <c r="X1639" t="s">
        <v>734</v>
      </c>
      <c r="Y1639" t="s">
        <v>735</v>
      </c>
      <c r="AF1639" t="s">
        <v>13</v>
      </c>
      <c r="AG1639" t="str">
        <f>HYPERLINK("https://doi.org/10.1515/9781474419703")</f>
        <v>https://doi.org/10.1515/9781474419703</v>
      </c>
      <c r="AH1639" t="str">
        <f>HYPERLINK("http://www.degruyter.com/isbn/9781474419703")</f>
        <v>http://www.degruyter.com/isbn/9781474419703</v>
      </c>
      <c r="AI1639" t="s">
        <v>280</v>
      </c>
      <c r="AL1639" t="s">
        <v>83</v>
      </c>
      <c r="AM1639">
        <v>1</v>
      </c>
      <c r="AN1639" s="2">
        <v>9781474419697</v>
      </c>
    </row>
    <row r="1640" spans="1:40" x14ac:dyDescent="0.3">
      <c r="A1640" t="s">
        <v>8008</v>
      </c>
      <c r="B1640" t="s">
        <v>1</v>
      </c>
      <c r="C1640" t="s">
        <v>8009</v>
      </c>
      <c r="E1640" t="s">
        <v>8010</v>
      </c>
      <c r="F1640" t="s">
        <v>5</v>
      </c>
      <c r="G1640" t="s">
        <v>6</v>
      </c>
      <c r="L1640" t="s">
        <v>7</v>
      </c>
      <c r="M1640">
        <v>1997</v>
      </c>
      <c r="N1640" s="1">
        <v>44656</v>
      </c>
      <c r="O1640" t="s">
        <v>8011</v>
      </c>
      <c r="P1640">
        <v>1</v>
      </c>
      <c r="Q1640" t="s">
        <v>7257</v>
      </c>
      <c r="S1640">
        <v>217.95</v>
      </c>
      <c r="T1640">
        <v>250</v>
      </c>
      <c r="U1640">
        <v>190</v>
      </c>
      <c r="V1640" t="s">
        <v>79</v>
      </c>
      <c r="W1640" t="s">
        <v>209</v>
      </c>
      <c r="X1640" t="s">
        <v>209</v>
      </c>
      <c r="Y1640" t="s">
        <v>1951</v>
      </c>
      <c r="AF1640" t="s">
        <v>13</v>
      </c>
      <c r="AG1640" t="str">
        <f>HYPERLINK("https://doi.org/10.1515/9780585101347")</f>
        <v>https://doi.org/10.1515/9780585101347</v>
      </c>
      <c r="AH1640" t="str">
        <f>HYPERLINK("http://www.degruyter.com/isbn/9780585101347")</f>
        <v>http://www.degruyter.com/isbn/9780585101347</v>
      </c>
      <c r="AI1640" t="s">
        <v>24</v>
      </c>
      <c r="AL1640" t="s">
        <v>83</v>
      </c>
      <c r="AM1640">
        <v>1</v>
      </c>
      <c r="AN1640" s="2">
        <v>9780748608409</v>
      </c>
    </row>
    <row r="1641" spans="1:40" x14ac:dyDescent="0.3">
      <c r="A1641" t="s">
        <v>8012</v>
      </c>
      <c r="B1641" t="s">
        <v>1</v>
      </c>
      <c r="C1641" t="s">
        <v>8013</v>
      </c>
      <c r="E1641" t="s">
        <v>8014</v>
      </c>
      <c r="F1641" t="s">
        <v>5</v>
      </c>
      <c r="G1641" t="s">
        <v>6</v>
      </c>
      <c r="L1641" t="s">
        <v>7</v>
      </c>
      <c r="M1641">
        <v>2020</v>
      </c>
      <c r="N1641" s="1">
        <v>44656</v>
      </c>
      <c r="O1641" t="s">
        <v>8015</v>
      </c>
      <c r="P1641">
        <v>1</v>
      </c>
      <c r="Q1641" t="s">
        <v>7515</v>
      </c>
      <c r="S1641">
        <v>227.95</v>
      </c>
      <c r="T1641">
        <v>260</v>
      </c>
      <c r="U1641">
        <v>200</v>
      </c>
      <c r="V1641" t="s">
        <v>20</v>
      </c>
      <c r="W1641" t="s">
        <v>21</v>
      </c>
      <c r="X1641" t="s">
        <v>575</v>
      </c>
      <c r="Y1641" t="s">
        <v>576</v>
      </c>
      <c r="AF1641" t="s">
        <v>13</v>
      </c>
      <c r="AG1641" t="str">
        <f>HYPERLINK("https://doi.org/10.1515/9781474461429")</f>
        <v>https://doi.org/10.1515/9781474461429</v>
      </c>
      <c r="AH1641" t="str">
        <f>HYPERLINK("http://www.degruyter.com/isbn/9781474461429")</f>
        <v>http://www.degruyter.com/isbn/9781474461429</v>
      </c>
      <c r="AI1641" t="s">
        <v>14</v>
      </c>
      <c r="AL1641" t="s">
        <v>15</v>
      </c>
      <c r="AM1641">
        <v>1</v>
      </c>
      <c r="AN1641" s="2">
        <v>9781474461405</v>
      </c>
    </row>
    <row r="1642" spans="1:40" x14ac:dyDescent="0.3">
      <c r="A1642" t="s">
        <v>8016</v>
      </c>
      <c r="B1642" t="s">
        <v>1</v>
      </c>
      <c r="C1642" t="s">
        <v>8017</v>
      </c>
      <c r="D1642" t="s">
        <v>8018</v>
      </c>
      <c r="E1642" t="s">
        <v>8019</v>
      </c>
      <c r="F1642" t="s">
        <v>5</v>
      </c>
      <c r="G1642" t="s">
        <v>6</v>
      </c>
      <c r="L1642" t="s">
        <v>7</v>
      </c>
      <c r="M1642">
        <v>2004</v>
      </c>
      <c r="N1642" s="1">
        <v>38286</v>
      </c>
      <c r="O1642" t="s">
        <v>4961</v>
      </c>
      <c r="P1642">
        <v>1</v>
      </c>
      <c r="S1642">
        <v>253.95</v>
      </c>
      <c r="T1642">
        <v>290</v>
      </c>
      <c r="U1642">
        <v>220</v>
      </c>
      <c r="V1642" t="s">
        <v>42</v>
      </c>
      <c r="W1642" t="s">
        <v>161</v>
      </c>
      <c r="X1642" t="s">
        <v>162</v>
      </c>
      <c r="Y1642" t="s">
        <v>896</v>
      </c>
      <c r="AF1642" t="s">
        <v>13</v>
      </c>
      <c r="AG1642" t="str">
        <f>HYPERLINK("https://doi.org/10.1515/9781474468138")</f>
        <v>https://doi.org/10.1515/9781474468138</v>
      </c>
      <c r="AH1642" t="str">
        <f>HYPERLINK("http://www.degruyter.com/isbn/9781474468138")</f>
        <v>http://www.degruyter.com/isbn/9781474468138</v>
      </c>
      <c r="AI1642" t="s">
        <v>68</v>
      </c>
      <c r="AL1642" t="s">
        <v>47</v>
      </c>
      <c r="AM1642">
        <v>1</v>
      </c>
      <c r="AN1642" s="2">
        <v>9780748617630</v>
      </c>
    </row>
    <row r="1643" spans="1:40" x14ac:dyDescent="0.3">
      <c r="A1643" t="s">
        <v>8020</v>
      </c>
      <c r="B1643" t="s">
        <v>1</v>
      </c>
      <c r="C1643" t="s">
        <v>8021</v>
      </c>
      <c r="D1643" t="s">
        <v>8022</v>
      </c>
      <c r="E1643" t="s">
        <v>8023</v>
      </c>
      <c r="F1643" t="s">
        <v>5</v>
      </c>
      <c r="G1643" t="s">
        <v>6</v>
      </c>
      <c r="L1643" t="s">
        <v>7</v>
      </c>
      <c r="M1643">
        <v>1999</v>
      </c>
      <c r="N1643" s="1">
        <v>44599</v>
      </c>
      <c r="O1643" t="s">
        <v>3557</v>
      </c>
      <c r="P1643">
        <v>1</v>
      </c>
      <c r="S1643">
        <v>217.95</v>
      </c>
      <c r="T1643">
        <v>250</v>
      </c>
      <c r="U1643">
        <v>190</v>
      </c>
      <c r="V1643" t="s">
        <v>9</v>
      </c>
      <c r="W1643" t="s">
        <v>10</v>
      </c>
      <c r="X1643" t="s">
        <v>11</v>
      </c>
      <c r="Y1643" t="s">
        <v>12</v>
      </c>
      <c r="AF1643" t="s">
        <v>13</v>
      </c>
      <c r="AG1643" t="str">
        <f>HYPERLINK("https://doi.org/10.1515/9780585159225")</f>
        <v>https://doi.org/10.1515/9780585159225</v>
      </c>
      <c r="AH1643" t="str">
        <f>HYPERLINK("http://www.degruyter.com/isbn/9780585159225")</f>
        <v>http://www.degruyter.com/isbn/9780585159225</v>
      </c>
      <c r="AI1643" t="s">
        <v>24</v>
      </c>
      <c r="AL1643" t="s">
        <v>15</v>
      </c>
      <c r="AM1643">
        <v>1</v>
      </c>
      <c r="AN1643" s="2">
        <v>9780748609611</v>
      </c>
    </row>
    <row r="1644" spans="1:40" x14ac:dyDescent="0.3">
      <c r="A1644" t="s">
        <v>8024</v>
      </c>
      <c r="B1644" t="s">
        <v>1</v>
      </c>
      <c r="C1644" t="s">
        <v>8025</v>
      </c>
      <c r="D1644" t="s">
        <v>8026</v>
      </c>
      <c r="E1644" t="s">
        <v>8027</v>
      </c>
      <c r="F1644" t="s">
        <v>5</v>
      </c>
      <c r="G1644" t="s">
        <v>6</v>
      </c>
      <c r="L1644" t="s">
        <v>7</v>
      </c>
      <c r="M1644">
        <v>2018</v>
      </c>
      <c r="N1644" s="1">
        <v>44644</v>
      </c>
      <c r="O1644" t="s">
        <v>8028</v>
      </c>
      <c r="P1644">
        <v>1</v>
      </c>
      <c r="Q1644" t="s">
        <v>7810</v>
      </c>
      <c r="S1644">
        <v>253.95</v>
      </c>
      <c r="T1644">
        <v>290</v>
      </c>
      <c r="U1644">
        <v>220</v>
      </c>
      <c r="V1644" t="s">
        <v>30</v>
      </c>
      <c r="W1644" t="s">
        <v>31</v>
      </c>
      <c r="X1644" t="s">
        <v>3512</v>
      </c>
      <c r="Y1644" t="s">
        <v>3513</v>
      </c>
      <c r="AF1644" t="s">
        <v>13</v>
      </c>
      <c r="AG1644" t="str">
        <f>HYPERLINK("https://doi.org/10.1515/9781474422864?locatt=mode:legacy")</f>
        <v>https://doi.org/10.1515/9781474422864?locatt=mode:legacy</v>
      </c>
      <c r="AH1644" t="str">
        <f>HYPERLINK("http://www.degruyter.com/isbn/9781474422864")</f>
        <v>http://www.degruyter.com/isbn/9781474422864</v>
      </c>
      <c r="AI1644" t="s">
        <v>7628</v>
      </c>
      <c r="AL1644" t="s">
        <v>272</v>
      </c>
      <c r="AM1644">
        <v>1</v>
      </c>
      <c r="AN1644" s="2">
        <v>9781474422857</v>
      </c>
    </row>
    <row r="1645" spans="1:40" x14ac:dyDescent="0.3">
      <c r="A1645" t="s">
        <v>8029</v>
      </c>
      <c r="B1645" t="s">
        <v>1</v>
      </c>
      <c r="C1645" t="s">
        <v>8030</v>
      </c>
      <c r="E1645" t="s">
        <v>8031</v>
      </c>
      <c r="F1645" t="s">
        <v>5</v>
      </c>
      <c r="G1645" t="s">
        <v>6</v>
      </c>
      <c r="L1645" t="s">
        <v>7</v>
      </c>
      <c r="M1645">
        <v>2013</v>
      </c>
      <c r="N1645" s="1">
        <v>41509</v>
      </c>
      <c r="O1645" t="s">
        <v>8032</v>
      </c>
      <c r="P1645">
        <v>1</v>
      </c>
      <c r="S1645">
        <v>253.95</v>
      </c>
      <c r="T1645">
        <v>290</v>
      </c>
      <c r="U1645">
        <v>220</v>
      </c>
      <c r="V1645" t="s">
        <v>268</v>
      </c>
      <c r="W1645" t="s">
        <v>4786</v>
      </c>
      <c r="X1645" t="s">
        <v>4787</v>
      </c>
      <c r="Y1645" t="s">
        <v>4788</v>
      </c>
      <c r="AF1645" t="s">
        <v>13</v>
      </c>
      <c r="AG1645" t="str">
        <f>HYPERLINK("https://doi.org/10.1515/9780748634736")</f>
        <v>https://doi.org/10.1515/9780748634736</v>
      </c>
      <c r="AH1645" t="str">
        <f>HYPERLINK("http://www.degruyter.com/isbn/9780748634736")</f>
        <v>http://www.degruyter.com/isbn/9780748634736</v>
      </c>
      <c r="AI1645" t="s">
        <v>412</v>
      </c>
      <c r="AL1645" t="s">
        <v>272</v>
      </c>
      <c r="AM1645">
        <v>1</v>
      </c>
      <c r="AN1645" s="2">
        <v>9780748634712</v>
      </c>
    </row>
    <row r="1646" spans="1:40" x14ac:dyDescent="0.3">
      <c r="A1646" t="s">
        <v>8033</v>
      </c>
      <c r="B1646" t="s">
        <v>1</v>
      </c>
      <c r="C1646" t="s">
        <v>8034</v>
      </c>
      <c r="E1646" t="s">
        <v>8035</v>
      </c>
      <c r="F1646" t="s">
        <v>5</v>
      </c>
      <c r="G1646" t="s">
        <v>6</v>
      </c>
      <c r="L1646" t="s">
        <v>7</v>
      </c>
      <c r="M1646">
        <v>2006</v>
      </c>
      <c r="N1646" s="1">
        <v>38810</v>
      </c>
      <c r="O1646" t="s">
        <v>8036</v>
      </c>
      <c r="P1646">
        <v>1</v>
      </c>
      <c r="Q1646" t="s">
        <v>6437</v>
      </c>
      <c r="S1646">
        <v>217.95</v>
      </c>
      <c r="T1646">
        <v>250</v>
      </c>
      <c r="U1646">
        <v>190</v>
      </c>
      <c r="V1646" t="s">
        <v>58</v>
      </c>
      <c r="W1646" t="s">
        <v>59</v>
      </c>
      <c r="X1646" t="s">
        <v>3060</v>
      </c>
      <c r="Y1646" t="s">
        <v>8037</v>
      </c>
      <c r="AF1646" t="s">
        <v>13</v>
      </c>
      <c r="AG1646" t="str">
        <f>HYPERLINK("https://doi.org/10.1515/9780748626663")</f>
        <v>https://doi.org/10.1515/9780748626663</v>
      </c>
      <c r="AH1646" t="str">
        <f>HYPERLINK("http://www.degruyter.com/isbn/9780748626663")</f>
        <v>http://www.degruyter.com/isbn/9780748626663</v>
      </c>
      <c r="AI1646" t="s">
        <v>68</v>
      </c>
      <c r="AL1646" t="s">
        <v>62</v>
      </c>
      <c r="AM1646">
        <v>1</v>
      </c>
      <c r="AN1646" s="2">
        <v>9780748622238</v>
      </c>
    </row>
    <row r="1647" spans="1:40" x14ac:dyDescent="0.3">
      <c r="A1647" t="s">
        <v>8038</v>
      </c>
      <c r="B1647" t="s">
        <v>1</v>
      </c>
      <c r="C1647" t="s">
        <v>8039</v>
      </c>
      <c r="D1647" t="s">
        <v>8040</v>
      </c>
      <c r="E1647" t="s">
        <v>8041</v>
      </c>
      <c r="F1647" t="s">
        <v>5</v>
      </c>
      <c r="G1647" t="s">
        <v>6</v>
      </c>
      <c r="L1647" t="s">
        <v>7</v>
      </c>
      <c r="M1647">
        <v>2015</v>
      </c>
      <c r="N1647" s="1">
        <v>44690</v>
      </c>
      <c r="O1647" t="s">
        <v>8042</v>
      </c>
      <c r="P1647">
        <v>1</v>
      </c>
      <c r="Q1647" t="s">
        <v>8043</v>
      </c>
      <c r="S1647">
        <v>217.95</v>
      </c>
      <c r="T1647">
        <v>250</v>
      </c>
      <c r="U1647">
        <v>190</v>
      </c>
      <c r="V1647" t="s">
        <v>20</v>
      </c>
      <c r="W1647" t="s">
        <v>21</v>
      </c>
      <c r="X1647" t="s">
        <v>22</v>
      </c>
      <c r="Y1647" t="s">
        <v>23</v>
      </c>
      <c r="AF1647" t="s">
        <v>13</v>
      </c>
      <c r="AG1647" t="str">
        <f>HYPERLINK("https://doi.org/10.1515/9781474470445")</f>
        <v>https://doi.org/10.1515/9781474470445</v>
      </c>
      <c r="AH1647" t="str">
        <f>HYPERLINK("http://www.degruyter.com/isbn/9781474470445")</f>
        <v>http://www.degruyter.com/isbn/9781474470445</v>
      </c>
      <c r="AI1647" t="s">
        <v>34</v>
      </c>
      <c r="AL1647" t="s">
        <v>15</v>
      </c>
      <c r="AM1647">
        <v>1</v>
      </c>
      <c r="AN1647" s="2">
        <v>9781474406628</v>
      </c>
    </row>
    <row r="1648" spans="1:40" x14ac:dyDescent="0.3">
      <c r="A1648" t="s">
        <v>8044</v>
      </c>
      <c r="B1648" t="s">
        <v>1</v>
      </c>
      <c r="C1648" t="s">
        <v>8045</v>
      </c>
      <c r="E1648" t="s">
        <v>8046</v>
      </c>
      <c r="F1648" t="s">
        <v>5</v>
      </c>
      <c r="G1648" t="s">
        <v>6</v>
      </c>
      <c r="L1648" t="s">
        <v>7</v>
      </c>
      <c r="M1648">
        <v>2015</v>
      </c>
      <c r="N1648" s="1">
        <v>42047</v>
      </c>
      <c r="O1648" t="s">
        <v>8047</v>
      </c>
      <c r="P1648">
        <v>1</v>
      </c>
      <c r="Q1648" t="s">
        <v>8048</v>
      </c>
      <c r="S1648">
        <v>253.95</v>
      </c>
      <c r="T1648">
        <v>290</v>
      </c>
      <c r="U1648">
        <v>220</v>
      </c>
      <c r="V1648" t="s">
        <v>79</v>
      </c>
      <c r="W1648" t="s">
        <v>783</v>
      </c>
      <c r="X1648" t="s">
        <v>783</v>
      </c>
      <c r="Y1648" t="s">
        <v>784</v>
      </c>
      <c r="AF1648" t="s">
        <v>13</v>
      </c>
      <c r="AG1648" t="str">
        <f>HYPERLINK("https://doi.org/10.1515/9780748654826")</f>
        <v>https://doi.org/10.1515/9780748654826</v>
      </c>
      <c r="AH1648" t="str">
        <f>HYPERLINK("http://www.degruyter.com/isbn/9780748654826")</f>
        <v>http://www.degruyter.com/isbn/9780748654826</v>
      </c>
      <c r="AI1648" t="s">
        <v>34</v>
      </c>
      <c r="AL1648" t="s">
        <v>83</v>
      </c>
      <c r="AM1648">
        <v>1</v>
      </c>
      <c r="AN1648" s="2">
        <v>9780748654802</v>
      </c>
    </row>
    <row r="1649" spans="1:40" x14ac:dyDescent="0.3">
      <c r="A1649" t="s">
        <v>8049</v>
      </c>
      <c r="B1649" t="s">
        <v>1</v>
      </c>
      <c r="C1649" t="s">
        <v>8050</v>
      </c>
      <c r="D1649" t="s">
        <v>8051</v>
      </c>
      <c r="E1649" t="s">
        <v>8052</v>
      </c>
      <c r="F1649" t="s">
        <v>5</v>
      </c>
      <c r="G1649" t="s">
        <v>6</v>
      </c>
      <c r="L1649" t="s">
        <v>7</v>
      </c>
      <c r="M1649">
        <v>2021</v>
      </c>
      <c r="N1649" s="1">
        <v>44644</v>
      </c>
      <c r="O1649" t="s">
        <v>8053</v>
      </c>
      <c r="P1649">
        <v>1</v>
      </c>
      <c r="Q1649" t="s">
        <v>8054</v>
      </c>
      <c r="S1649">
        <v>253.95</v>
      </c>
      <c r="T1649">
        <v>290</v>
      </c>
      <c r="U1649">
        <v>220</v>
      </c>
      <c r="V1649" t="s">
        <v>2498</v>
      </c>
      <c r="W1649" t="s">
        <v>2499</v>
      </c>
      <c r="X1649" t="s">
        <v>2500</v>
      </c>
      <c r="Y1649" t="s">
        <v>2501</v>
      </c>
      <c r="AF1649" t="s">
        <v>13</v>
      </c>
      <c r="AG1649" t="str">
        <f>HYPERLINK("https://doi.org/10.1515/9781474484008")</f>
        <v>https://doi.org/10.1515/9781474484008</v>
      </c>
      <c r="AH1649" t="str">
        <f>HYPERLINK("http://www.degruyter.com/isbn/9781474484008")</f>
        <v>http://www.degruyter.com/isbn/9781474484008</v>
      </c>
      <c r="AI1649" t="s">
        <v>8055</v>
      </c>
      <c r="AL1649" t="s">
        <v>83</v>
      </c>
      <c r="AM1649">
        <v>1</v>
      </c>
      <c r="AN1649" s="2">
        <v>9781474483971</v>
      </c>
    </row>
    <row r="1650" spans="1:40" x14ac:dyDescent="0.3">
      <c r="A1650" t="s">
        <v>8056</v>
      </c>
      <c r="B1650" t="s">
        <v>1</v>
      </c>
      <c r="C1650" t="s">
        <v>8057</v>
      </c>
      <c r="D1650" t="s">
        <v>8058</v>
      </c>
      <c r="E1650" t="s">
        <v>8059</v>
      </c>
      <c r="F1650" t="s">
        <v>5</v>
      </c>
      <c r="G1650" t="s">
        <v>6</v>
      </c>
      <c r="L1650" t="s">
        <v>7</v>
      </c>
      <c r="M1650">
        <v>2017</v>
      </c>
      <c r="N1650" s="1">
        <v>42979</v>
      </c>
      <c r="O1650" t="s">
        <v>8060</v>
      </c>
      <c r="P1650">
        <v>1</v>
      </c>
      <c r="Q1650" t="s">
        <v>7283</v>
      </c>
      <c r="S1650">
        <v>217.95</v>
      </c>
      <c r="T1650">
        <v>250</v>
      </c>
      <c r="U1650">
        <v>190</v>
      </c>
      <c r="V1650" t="s">
        <v>305</v>
      </c>
      <c r="W1650" t="s">
        <v>2566</v>
      </c>
      <c r="X1650" t="s">
        <v>8061</v>
      </c>
      <c r="Y1650" t="s">
        <v>8062</v>
      </c>
      <c r="AF1650" t="s">
        <v>13</v>
      </c>
      <c r="AG1650" t="str">
        <f>HYPERLINK("https://doi.org/10.1515/9781474410908?locatt=mode:legacy")</f>
        <v>https://doi.org/10.1515/9781474410908?locatt=mode:legacy</v>
      </c>
      <c r="AH1650" t="str">
        <f>HYPERLINK("http://www.degruyter.com/isbn/9781474410908")</f>
        <v>http://www.degruyter.com/isbn/9781474410908</v>
      </c>
      <c r="AI1650" t="s">
        <v>222</v>
      </c>
      <c r="AL1650" t="s">
        <v>308</v>
      </c>
      <c r="AM1650">
        <v>1</v>
      </c>
      <c r="AN1650" s="2">
        <v>9781474410892</v>
      </c>
    </row>
    <row r="1651" spans="1:40" x14ac:dyDescent="0.3">
      <c r="A1651" t="s">
        <v>8063</v>
      </c>
      <c r="B1651" t="s">
        <v>1</v>
      </c>
      <c r="C1651" t="s">
        <v>8064</v>
      </c>
      <c r="D1651" t="s">
        <v>8065</v>
      </c>
      <c r="E1651" t="s">
        <v>8066</v>
      </c>
      <c r="F1651" t="s">
        <v>5</v>
      </c>
      <c r="G1651" t="s">
        <v>6</v>
      </c>
      <c r="L1651" t="s">
        <v>7</v>
      </c>
      <c r="M1651">
        <v>2018</v>
      </c>
      <c r="N1651" s="1">
        <v>44656</v>
      </c>
      <c r="O1651" t="s">
        <v>8067</v>
      </c>
      <c r="P1651">
        <v>1</v>
      </c>
      <c r="S1651">
        <v>217.95</v>
      </c>
      <c r="T1651">
        <v>250</v>
      </c>
      <c r="U1651">
        <v>190</v>
      </c>
      <c r="V1651" t="s">
        <v>847</v>
      </c>
      <c r="W1651" t="s">
        <v>848</v>
      </c>
      <c r="X1651" t="s">
        <v>1771</v>
      </c>
      <c r="Y1651" t="s">
        <v>1772</v>
      </c>
      <c r="AF1651" t="s">
        <v>13</v>
      </c>
      <c r="AG1651" t="str">
        <f>HYPERLINK("https://doi.org/10.1515/9781474417587?locatt=mode:legacy")</f>
        <v>https://doi.org/10.1515/9781474417587?locatt=mode:legacy</v>
      </c>
      <c r="AH1651" t="str">
        <f>HYPERLINK("http://www.degruyter.com/isbn/9781474417587")</f>
        <v>http://www.degruyter.com/isbn/9781474417587</v>
      </c>
      <c r="AI1651" t="s">
        <v>46</v>
      </c>
      <c r="AJ1651" t="s">
        <v>35</v>
      </c>
      <c r="AL1651" t="s">
        <v>1773</v>
      </c>
      <c r="AM1651">
        <v>1</v>
      </c>
      <c r="AN1651" s="2">
        <v>9781474417570</v>
      </c>
    </row>
    <row r="1652" spans="1:40" x14ac:dyDescent="0.3">
      <c r="A1652" t="s">
        <v>8068</v>
      </c>
      <c r="B1652" t="s">
        <v>1</v>
      </c>
      <c r="C1652" t="s">
        <v>8069</v>
      </c>
      <c r="E1652" t="s">
        <v>8070</v>
      </c>
      <c r="F1652" t="s">
        <v>5</v>
      </c>
      <c r="G1652" t="s">
        <v>6</v>
      </c>
      <c r="L1652" t="s">
        <v>7</v>
      </c>
      <c r="M1652">
        <v>2007</v>
      </c>
      <c r="N1652" s="1">
        <v>39239</v>
      </c>
      <c r="O1652" t="s">
        <v>8071</v>
      </c>
      <c r="P1652">
        <v>1</v>
      </c>
      <c r="S1652">
        <v>217.95</v>
      </c>
      <c r="T1652">
        <v>250</v>
      </c>
      <c r="U1652">
        <v>190</v>
      </c>
      <c r="V1652" t="s">
        <v>9</v>
      </c>
      <c r="W1652" t="s">
        <v>10</v>
      </c>
      <c r="X1652" t="s">
        <v>596</v>
      </c>
      <c r="Y1652" t="s">
        <v>4327</v>
      </c>
      <c r="AF1652" t="s">
        <v>13</v>
      </c>
      <c r="AG1652" t="str">
        <f>HYPERLINK("https://doi.org/10.1515/9780748630899?locatt=mode:legacy")</f>
        <v>https://doi.org/10.1515/9780748630899?locatt=mode:legacy</v>
      </c>
      <c r="AH1652" t="str">
        <f>HYPERLINK("http://www.degruyter.com/isbn/9780748630899")</f>
        <v>http://www.degruyter.com/isbn/9780748630899</v>
      </c>
      <c r="AI1652" t="s">
        <v>68</v>
      </c>
      <c r="AL1652" t="s">
        <v>15</v>
      </c>
      <c r="AM1652">
        <v>1</v>
      </c>
      <c r="AN1652" s="2">
        <v>9780748625314</v>
      </c>
    </row>
    <row r="1653" spans="1:40" x14ac:dyDescent="0.3">
      <c r="A1653" t="s">
        <v>8072</v>
      </c>
      <c r="B1653" t="s">
        <v>1</v>
      </c>
      <c r="C1653" t="s">
        <v>8073</v>
      </c>
      <c r="E1653" t="s">
        <v>8074</v>
      </c>
      <c r="F1653" t="s">
        <v>5</v>
      </c>
      <c r="G1653" t="s">
        <v>6</v>
      </c>
      <c r="L1653" t="s">
        <v>7</v>
      </c>
      <c r="M1653">
        <v>2011</v>
      </c>
      <c r="N1653" s="1">
        <v>40731</v>
      </c>
      <c r="O1653" t="s">
        <v>8075</v>
      </c>
      <c r="P1653">
        <v>1</v>
      </c>
      <c r="S1653">
        <v>217.95</v>
      </c>
      <c r="T1653">
        <v>250</v>
      </c>
      <c r="U1653">
        <v>190</v>
      </c>
      <c r="V1653" t="s">
        <v>42</v>
      </c>
      <c r="W1653" t="s">
        <v>740</v>
      </c>
      <c r="X1653" t="s">
        <v>741</v>
      </c>
      <c r="Y1653" t="s">
        <v>742</v>
      </c>
      <c r="AF1653" t="s">
        <v>13</v>
      </c>
      <c r="AG1653" t="str">
        <f>HYPERLINK("https://doi.org/10.1515/9780748680795")</f>
        <v>https://doi.org/10.1515/9780748680795</v>
      </c>
      <c r="AH1653" t="str">
        <f>HYPERLINK("http://www.degruyter.com/isbn/9780748680795")</f>
        <v>http://www.degruyter.com/isbn/9780748680795</v>
      </c>
      <c r="AI1653" t="s">
        <v>68</v>
      </c>
      <c r="AL1653" t="s">
        <v>47</v>
      </c>
      <c r="AM1653">
        <v>1</v>
      </c>
      <c r="AN1653" s="2">
        <v>9780748644070</v>
      </c>
    </row>
    <row r="1654" spans="1:40" x14ac:dyDescent="0.3">
      <c r="A1654" t="s">
        <v>8076</v>
      </c>
      <c r="B1654" t="s">
        <v>1</v>
      </c>
      <c r="C1654" t="s">
        <v>8077</v>
      </c>
      <c r="D1654" t="s">
        <v>8078</v>
      </c>
      <c r="E1654" t="s">
        <v>8079</v>
      </c>
      <c r="F1654" t="s">
        <v>5</v>
      </c>
      <c r="G1654" t="s">
        <v>6</v>
      </c>
      <c r="L1654" t="s">
        <v>7</v>
      </c>
      <c r="M1654">
        <v>2021</v>
      </c>
      <c r="N1654" s="1">
        <v>44644</v>
      </c>
      <c r="O1654" t="s">
        <v>8080</v>
      </c>
      <c r="P1654">
        <v>1</v>
      </c>
      <c r="Q1654" t="s">
        <v>8081</v>
      </c>
      <c r="S1654">
        <v>227.95</v>
      </c>
      <c r="T1654">
        <v>260</v>
      </c>
      <c r="U1654">
        <v>200</v>
      </c>
      <c r="V1654" t="s">
        <v>20</v>
      </c>
      <c r="W1654" t="s">
        <v>21</v>
      </c>
      <c r="X1654" t="s">
        <v>22</v>
      </c>
      <c r="Y1654" t="s">
        <v>23</v>
      </c>
      <c r="AF1654" t="s">
        <v>13</v>
      </c>
      <c r="AG1654" t="str">
        <f>HYPERLINK("https://doi.org/10.1515/9781474482813")</f>
        <v>https://doi.org/10.1515/9781474482813</v>
      </c>
      <c r="AH1654" t="str">
        <f>HYPERLINK("http://www.degruyter.com/isbn/9781474482813")</f>
        <v>http://www.degruyter.com/isbn/9781474482813</v>
      </c>
      <c r="AI1654" t="s">
        <v>559</v>
      </c>
      <c r="AL1654" t="s">
        <v>15</v>
      </c>
      <c r="AM1654">
        <v>1</v>
      </c>
      <c r="AN1654" s="2">
        <v>9781474482790</v>
      </c>
    </row>
    <row r="1655" spans="1:40" x14ac:dyDescent="0.3">
      <c r="A1655" t="s">
        <v>8082</v>
      </c>
      <c r="B1655" t="s">
        <v>1</v>
      </c>
      <c r="C1655" t="s">
        <v>8083</v>
      </c>
      <c r="E1655" t="s">
        <v>8084</v>
      </c>
      <c r="F1655" t="s">
        <v>5</v>
      </c>
      <c r="G1655" t="s">
        <v>6</v>
      </c>
      <c r="L1655" t="s">
        <v>7</v>
      </c>
      <c r="M1655">
        <v>2021</v>
      </c>
      <c r="N1655" s="1">
        <v>44644</v>
      </c>
      <c r="O1655" t="s">
        <v>8085</v>
      </c>
      <c r="P1655">
        <v>1</v>
      </c>
      <c r="Q1655" t="s">
        <v>6829</v>
      </c>
      <c r="S1655">
        <v>227.95</v>
      </c>
      <c r="T1655">
        <v>260</v>
      </c>
      <c r="U1655">
        <v>200</v>
      </c>
      <c r="V1655" t="s">
        <v>42</v>
      </c>
      <c r="W1655" t="s">
        <v>43</v>
      </c>
      <c r="X1655" t="s">
        <v>44</v>
      </c>
      <c r="Y1655" t="s">
        <v>45</v>
      </c>
      <c r="AF1655" t="s">
        <v>13</v>
      </c>
      <c r="AG1655" t="str">
        <f>HYPERLINK("https://doi.org/10.1515/9781474460668")</f>
        <v>https://doi.org/10.1515/9781474460668</v>
      </c>
      <c r="AH1655" t="str">
        <f>HYPERLINK("http://www.degruyter.com/isbn/9781474460668")</f>
        <v>http://www.degruyter.com/isbn/9781474460668</v>
      </c>
      <c r="AI1655" t="s">
        <v>1561</v>
      </c>
      <c r="AL1655" t="s">
        <v>47</v>
      </c>
      <c r="AM1655">
        <v>1</v>
      </c>
      <c r="AN1655" s="2">
        <v>9781474460644</v>
      </c>
    </row>
    <row r="1656" spans="1:40" x14ac:dyDescent="0.3">
      <c r="A1656" t="s">
        <v>8086</v>
      </c>
      <c r="B1656" t="s">
        <v>1</v>
      </c>
      <c r="C1656" t="s">
        <v>8087</v>
      </c>
      <c r="D1656" t="s">
        <v>8088</v>
      </c>
      <c r="E1656" t="s">
        <v>8089</v>
      </c>
      <c r="F1656" t="s">
        <v>5</v>
      </c>
      <c r="G1656" t="s">
        <v>6</v>
      </c>
      <c r="L1656" t="s">
        <v>7</v>
      </c>
      <c r="M1656">
        <v>2011</v>
      </c>
      <c r="N1656" s="1">
        <v>40851</v>
      </c>
      <c r="O1656" t="s">
        <v>8090</v>
      </c>
      <c r="P1656">
        <v>1</v>
      </c>
      <c r="S1656">
        <v>217.95</v>
      </c>
      <c r="T1656">
        <v>250</v>
      </c>
      <c r="U1656">
        <v>190</v>
      </c>
      <c r="V1656" t="s">
        <v>20</v>
      </c>
      <c r="W1656" t="s">
        <v>470</v>
      </c>
      <c r="X1656" t="s">
        <v>1269</v>
      </c>
      <c r="Y1656" t="s">
        <v>1270</v>
      </c>
      <c r="AF1656" t="s">
        <v>13</v>
      </c>
      <c r="AG1656" t="str">
        <f>HYPERLINK("https://doi.org/10.1515/9780748644742")</f>
        <v>https://doi.org/10.1515/9780748644742</v>
      </c>
      <c r="AH1656" t="str">
        <f>HYPERLINK("http://www.degruyter.com/isbn/9780748644742")</f>
        <v>http://www.degruyter.com/isbn/9780748644742</v>
      </c>
      <c r="AI1656" t="s">
        <v>68</v>
      </c>
      <c r="AL1656" t="s">
        <v>15</v>
      </c>
      <c r="AM1656">
        <v>1</v>
      </c>
      <c r="AN1656" s="2">
        <v>9780748644735</v>
      </c>
    </row>
    <row r="1657" spans="1:40" x14ac:dyDescent="0.3">
      <c r="A1657" t="s">
        <v>8091</v>
      </c>
      <c r="B1657" t="s">
        <v>1</v>
      </c>
      <c r="C1657" t="s">
        <v>8092</v>
      </c>
      <c r="D1657" t="s">
        <v>8093</v>
      </c>
      <c r="E1657" t="s">
        <v>8094</v>
      </c>
      <c r="F1657" t="s">
        <v>5</v>
      </c>
      <c r="G1657" t="s">
        <v>6</v>
      </c>
      <c r="L1657" t="s">
        <v>7</v>
      </c>
      <c r="M1657">
        <v>2020</v>
      </c>
      <c r="N1657" s="1">
        <v>44644</v>
      </c>
      <c r="O1657" t="s">
        <v>8095</v>
      </c>
      <c r="P1657">
        <v>1</v>
      </c>
      <c r="Q1657" t="s">
        <v>8096</v>
      </c>
      <c r="S1657">
        <v>227.95</v>
      </c>
      <c r="T1657">
        <v>260</v>
      </c>
      <c r="U1657">
        <v>200</v>
      </c>
      <c r="V1657" t="s">
        <v>42</v>
      </c>
      <c r="W1657" t="s">
        <v>107</v>
      </c>
      <c r="X1657" t="s">
        <v>108</v>
      </c>
      <c r="Y1657" t="s">
        <v>109</v>
      </c>
      <c r="AF1657" t="s">
        <v>13</v>
      </c>
      <c r="AG1657" t="str">
        <f>HYPERLINK("https://doi.org/10.1515/9781474458214")</f>
        <v>https://doi.org/10.1515/9781474458214</v>
      </c>
      <c r="AH1657" t="str">
        <f>HYPERLINK("http://www.degruyter.com/isbn/9781474458214")</f>
        <v>http://www.degruyter.com/isbn/9781474458214</v>
      </c>
      <c r="AI1657" t="s">
        <v>14</v>
      </c>
      <c r="AL1657" t="s">
        <v>47</v>
      </c>
      <c r="AM1657">
        <v>1</v>
      </c>
      <c r="AN1657" s="2">
        <v>9781474458191</v>
      </c>
    </row>
    <row r="1658" spans="1:40" x14ac:dyDescent="0.3">
      <c r="A1658" t="s">
        <v>8097</v>
      </c>
      <c r="B1658" t="s">
        <v>1</v>
      </c>
      <c r="C1658" t="s">
        <v>8098</v>
      </c>
      <c r="D1658" t="s">
        <v>8099</v>
      </c>
      <c r="E1658" t="s">
        <v>8100</v>
      </c>
      <c r="F1658" t="s">
        <v>5</v>
      </c>
      <c r="G1658" t="s">
        <v>6</v>
      </c>
      <c r="K1658" t="s">
        <v>923</v>
      </c>
      <c r="L1658" t="s">
        <v>7</v>
      </c>
      <c r="M1658">
        <v>2012</v>
      </c>
      <c r="N1658" s="1">
        <v>41052</v>
      </c>
      <c r="O1658" t="s">
        <v>661</v>
      </c>
      <c r="P1658">
        <v>1</v>
      </c>
      <c r="Q1658" t="s">
        <v>6539</v>
      </c>
      <c r="V1658" t="s">
        <v>42</v>
      </c>
      <c r="W1658" t="s">
        <v>116</v>
      </c>
      <c r="X1658" t="s">
        <v>116</v>
      </c>
      <c r="Y1658" t="s">
        <v>117</v>
      </c>
      <c r="AF1658" t="s">
        <v>13</v>
      </c>
      <c r="AG1658" t="str">
        <f>HYPERLINK("https://doi.org/10.1515/9780748656035")</f>
        <v>https://doi.org/10.1515/9780748656035</v>
      </c>
      <c r="AH1658" t="str">
        <f>HYPERLINK("http://www.degruyter.com/isbn/9780748656035")</f>
        <v>http://www.degruyter.com/isbn/9780748656035</v>
      </c>
      <c r="AI1658" t="s">
        <v>68</v>
      </c>
      <c r="AM1658">
        <v>1</v>
      </c>
      <c r="AN1658" s="2"/>
    </row>
    <row r="1659" spans="1:40" x14ac:dyDescent="0.3">
      <c r="A1659" t="s">
        <v>8101</v>
      </c>
      <c r="B1659" t="s">
        <v>1</v>
      </c>
      <c r="C1659" t="s">
        <v>8102</v>
      </c>
      <c r="D1659" t="s">
        <v>2122</v>
      </c>
      <c r="E1659" t="s">
        <v>8103</v>
      </c>
      <c r="F1659" t="s">
        <v>5</v>
      </c>
      <c r="G1659" t="s">
        <v>6</v>
      </c>
      <c r="L1659" t="s">
        <v>7</v>
      </c>
      <c r="M1659">
        <v>2006</v>
      </c>
      <c r="N1659" s="1">
        <v>38828</v>
      </c>
      <c r="O1659" t="s">
        <v>661</v>
      </c>
      <c r="P1659">
        <v>1</v>
      </c>
      <c r="S1659">
        <v>217.95</v>
      </c>
      <c r="T1659">
        <v>250</v>
      </c>
      <c r="U1659">
        <v>190</v>
      </c>
      <c r="V1659" t="s">
        <v>42</v>
      </c>
      <c r="W1659" t="s">
        <v>107</v>
      </c>
      <c r="X1659" t="s">
        <v>108</v>
      </c>
      <c r="Y1659" t="s">
        <v>109</v>
      </c>
      <c r="AF1659" t="s">
        <v>13</v>
      </c>
      <c r="AG1659" t="str">
        <f>HYPERLINK("https://doi.org/10.1515/9780748626809")</f>
        <v>https://doi.org/10.1515/9780748626809</v>
      </c>
      <c r="AH1659" t="str">
        <f>HYPERLINK("http://www.degruyter.com/isbn/9780748626809")</f>
        <v>http://www.degruyter.com/isbn/9780748626809</v>
      </c>
      <c r="AI1659" t="s">
        <v>68</v>
      </c>
      <c r="AL1659" t="s">
        <v>47</v>
      </c>
      <c r="AM1659">
        <v>1</v>
      </c>
      <c r="AN1659" s="2">
        <v>9780748624508</v>
      </c>
    </row>
    <row r="1660" spans="1:40" x14ac:dyDescent="0.3">
      <c r="A1660" t="s">
        <v>8104</v>
      </c>
      <c r="B1660" t="s">
        <v>1</v>
      </c>
      <c r="C1660" t="s">
        <v>8105</v>
      </c>
      <c r="E1660" t="s">
        <v>8106</v>
      </c>
      <c r="F1660" t="s">
        <v>5</v>
      </c>
      <c r="G1660" t="s">
        <v>6</v>
      </c>
      <c r="L1660" t="s">
        <v>7</v>
      </c>
      <c r="M1660">
        <v>2018</v>
      </c>
      <c r="N1660" s="1">
        <v>44656</v>
      </c>
      <c r="O1660" t="s">
        <v>8107</v>
      </c>
      <c r="P1660">
        <v>1</v>
      </c>
      <c r="Q1660" t="s">
        <v>6539</v>
      </c>
      <c r="S1660">
        <v>217.95</v>
      </c>
      <c r="T1660">
        <v>250</v>
      </c>
      <c r="U1660">
        <v>190</v>
      </c>
      <c r="V1660" t="s">
        <v>42</v>
      </c>
      <c r="W1660" t="s">
        <v>161</v>
      </c>
      <c r="X1660" t="s">
        <v>162</v>
      </c>
      <c r="Y1660" t="s">
        <v>957</v>
      </c>
      <c r="AF1660" t="s">
        <v>13</v>
      </c>
      <c r="AG1660" t="str">
        <f>HYPERLINK("https://doi.org/10.1515/9781474433716?locatt=mode:legacy")</f>
        <v>https://doi.org/10.1515/9781474433716?locatt=mode:legacy</v>
      </c>
      <c r="AH1660" t="str">
        <f>HYPERLINK("http://www.degruyter.com/isbn/9781474433716")</f>
        <v>http://www.degruyter.com/isbn/9781474433716</v>
      </c>
      <c r="AI1660" t="s">
        <v>46</v>
      </c>
      <c r="AL1660" t="s">
        <v>47</v>
      </c>
      <c r="AM1660">
        <v>1</v>
      </c>
      <c r="AN1660" s="2">
        <v>9781474433693</v>
      </c>
    </row>
    <row r="1661" spans="1:40" x14ac:dyDescent="0.3">
      <c r="A1661" t="s">
        <v>8108</v>
      </c>
      <c r="B1661" t="s">
        <v>1</v>
      </c>
      <c r="C1661" t="s">
        <v>8109</v>
      </c>
      <c r="D1661" t="s">
        <v>8110</v>
      </c>
      <c r="E1661" t="s">
        <v>8111</v>
      </c>
      <c r="F1661" t="s">
        <v>5</v>
      </c>
      <c r="G1661" t="s">
        <v>6</v>
      </c>
      <c r="L1661" t="s">
        <v>7</v>
      </c>
      <c r="M1661">
        <v>2018</v>
      </c>
      <c r="N1661" s="1">
        <v>44656</v>
      </c>
      <c r="O1661" t="s">
        <v>8112</v>
      </c>
      <c r="P1661">
        <v>1</v>
      </c>
      <c r="S1661">
        <v>243.95</v>
      </c>
      <c r="T1661">
        <v>280</v>
      </c>
      <c r="U1661">
        <v>210</v>
      </c>
      <c r="V1661" t="s">
        <v>58</v>
      </c>
      <c r="W1661" t="s">
        <v>59</v>
      </c>
      <c r="X1661" t="s">
        <v>60</v>
      </c>
      <c r="Y1661" t="s">
        <v>73</v>
      </c>
      <c r="AF1661" t="s">
        <v>13</v>
      </c>
      <c r="AG1661" t="str">
        <f>HYPERLINK("https://doi.org/10.1515/9781474424080")</f>
        <v>https://doi.org/10.1515/9781474424080</v>
      </c>
      <c r="AH1661" t="str">
        <f>HYPERLINK("http://www.degruyter.com/isbn/9781474424080")</f>
        <v>http://www.degruyter.com/isbn/9781474424080</v>
      </c>
      <c r="AI1661" t="s">
        <v>46</v>
      </c>
      <c r="AJ1661" t="s">
        <v>35</v>
      </c>
      <c r="AL1661" t="s">
        <v>155</v>
      </c>
      <c r="AM1661">
        <v>1</v>
      </c>
      <c r="AN1661" s="2">
        <v>9781474424066</v>
      </c>
    </row>
    <row r="1662" spans="1:40" x14ac:dyDescent="0.3">
      <c r="A1662" t="s">
        <v>8113</v>
      </c>
      <c r="B1662" t="s">
        <v>1</v>
      </c>
      <c r="C1662" t="s">
        <v>8114</v>
      </c>
      <c r="D1662" t="s">
        <v>8115</v>
      </c>
      <c r="E1662" t="s">
        <v>8116</v>
      </c>
      <c r="F1662" t="s">
        <v>5</v>
      </c>
      <c r="G1662" t="s">
        <v>6</v>
      </c>
      <c r="L1662" t="s">
        <v>7</v>
      </c>
      <c r="M1662">
        <v>2017</v>
      </c>
      <c r="N1662" s="1">
        <v>42788</v>
      </c>
      <c r="O1662" t="s">
        <v>8117</v>
      </c>
      <c r="P1662">
        <v>1</v>
      </c>
      <c r="Q1662" t="s">
        <v>6815</v>
      </c>
      <c r="S1662">
        <v>217.95</v>
      </c>
      <c r="T1662">
        <v>250</v>
      </c>
      <c r="U1662">
        <v>190</v>
      </c>
      <c r="V1662" t="s">
        <v>20</v>
      </c>
      <c r="W1662" t="s">
        <v>1018</v>
      </c>
      <c r="X1662" t="s">
        <v>1018</v>
      </c>
      <c r="Y1662" t="s">
        <v>2215</v>
      </c>
      <c r="AF1662" t="s">
        <v>13</v>
      </c>
      <c r="AG1662" t="str">
        <f>HYPERLINK("https://doi.org/10.1515/9781474401326")</f>
        <v>https://doi.org/10.1515/9781474401326</v>
      </c>
      <c r="AH1662" t="str">
        <f>HYPERLINK("http://www.degruyter.com/isbn/9781474401326")</f>
        <v>http://www.degruyter.com/isbn/9781474401326</v>
      </c>
      <c r="AI1662" t="s">
        <v>222</v>
      </c>
      <c r="AL1662" t="s">
        <v>15</v>
      </c>
      <c r="AM1662">
        <v>1</v>
      </c>
      <c r="AN1662" s="2">
        <v>9781474401302</v>
      </c>
    </row>
    <row r="1663" spans="1:40" x14ac:dyDescent="0.3">
      <c r="A1663" t="s">
        <v>8118</v>
      </c>
      <c r="B1663" t="s">
        <v>1</v>
      </c>
      <c r="C1663" t="s">
        <v>8119</v>
      </c>
      <c r="D1663" t="s">
        <v>8120</v>
      </c>
      <c r="E1663" t="s">
        <v>8121</v>
      </c>
      <c r="F1663" t="s">
        <v>5</v>
      </c>
      <c r="G1663" t="s">
        <v>6</v>
      </c>
      <c r="L1663" t="s">
        <v>7</v>
      </c>
      <c r="M1663">
        <v>2016</v>
      </c>
      <c r="N1663" s="1">
        <v>42517</v>
      </c>
      <c r="O1663" t="s">
        <v>890</v>
      </c>
      <c r="P1663">
        <v>1</v>
      </c>
      <c r="S1663">
        <v>217.95</v>
      </c>
      <c r="T1663">
        <v>250</v>
      </c>
      <c r="U1663">
        <v>190</v>
      </c>
      <c r="V1663" t="s">
        <v>42</v>
      </c>
      <c r="W1663" t="s">
        <v>43</v>
      </c>
      <c r="X1663" t="s">
        <v>44</v>
      </c>
      <c r="Y1663" t="s">
        <v>45</v>
      </c>
      <c r="AF1663" t="s">
        <v>13</v>
      </c>
      <c r="AG1663" t="str">
        <f>HYPERLINK("https://doi.org/10.1515/9781474402224?locatt=mode:legacy")</f>
        <v>https://doi.org/10.1515/9781474402224?locatt=mode:legacy</v>
      </c>
      <c r="AH1663" t="str">
        <f>HYPERLINK("http://www.degruyter.com/isbn/9781474402224")</f>
        <v>http://www.degruyter.com/isbn/9781474402224</v>
      </c>
      <c r="AI1663" t="s">
        <v>180</v>
      </c>
      <c r="AL1663" t="s">
        <v>47</v>
      </c>
      <c r="AM1663">
        <v>1</v>
      </c>
      <c r="AN1663" s="2">
        <v>9781474402217</v>
      </c>
    </row>
    <row r="1664" spans="1:40" x14ac:dyDescent="0.3">
      <c r="A1664" t="s">
        <v>8122</v>
      </c>
      <c r="B1664" t="s">
        <v>1</v>
      </c>
      <c r="C1664" t="s">
        <v>8123</v>
      </c>
      <c r="D1664" t="s">
        <v>8124</v>
      </c>
      <c r="E1664" t="s">
        <v>8125</v>
      </c>
      <c r="F1664" t="s">
        <v>5</v>
      </c>
      <c r="G1664" t="s">
        <v>6</v>
      </c>
      <c r="L1664" t="s">
        <v>7</v>
      </c>
      <c r="M1664">
        <v>2007</v>
      </c>
      <c r="N1664" s="1">
        <v>39381</v>
      </c>
      <c r="O1664" t="s">
        <v>8126</v>
      </c>
      <c r="P1664">
        <v>1</v>
      </c>
      <c r="Q1664" t="s">
        <v>6659</v>
      </c>
      <c r="S1664">
        <v>243.95</v>
      </c>
      <c r="T1664">
        <v>280</v>
      </c>
      <c r="U1664">
        <v>210</v>
      </c>
      <c r="V1664" t="s">
        <v>268</v>
      </c>
      <c r="W1664" t="s">
        <v>269</v>
      </c>
      <c r="X1664" t="s">
        <v>269</v>
      </c>
      <c r="Y1664" t="s">
        <v>270</v>
      </c>
      <c r="AF1664" t="s">
        <v>13</v>
      </c>
      <c r="AG1664" t="str">
        <f>HYPERLINK("https://doi.org/10.1515/9781474471947")</f>
        <v>https://doi.org/10.1515/9781474471947</v>
      </c>
      <c r="AH1664" t="str">
        <f>HYPERLINK("http://www.degruyter.com/isbn/9781474471947")</f>
        <v>http://www.degruyter.com/isbn/9781474471947</v>
      </c>
      <c r="AI1664" t="s">
        <v>1003</v>
      </c>
      <c r="AL1664" t="s">
        <v>272</v>
      </c>
      <c r="AM1664">
        <v>1</v>
      </c>
      <c r="AN1664" s="2">
        <v>9780748632909</v>
      </c>
    </row>
    <row r="1665" spans="1:40" x14ac:dyDescent="0.3">
      <c r="A1665" t="s">
        <v>8127</v>
      </c>
      <c r="B1665" t="s">
        <v>1</v>
      </c>
      <c r="C1665" t="s">
        <v>8128</v>
      </c>
      <c r="E1665" t="s">
        <v>8129</v>
      </c>
      <c r="F1665" t="s">
        <v>5</v>
      </c>
      <c r="G1665" t="s">
        <v>6</v>
      </c>
      <c r="L1665" t="s">
        <v>7</v>
      </c>
      <c r="M1665">
        <v>2005</v>
      </c>
      <c r="N1665" s="1">
        <v>44622</v>
      </c>
      <c r="O1665" t="s">
        <v>8130</v>
      </c>
      <c r="P1665">
        <v>1</v>
      </c>
      <c r="Q1665" t="s">
        <v>7187</v>
      </c>
      <c r="S1665">
        <v>217.95</v>
      </c>
      <c r="T1665">
        <v>250</v>
      </c>
      <c r="U1665">
        <v>190</v>
      </c>
      <c r="V1665" t="s">
        <v>98</v>
      </c>
      <c r="W1665" t="s">
        <v>99</v>
      </c>
      <c r="X1665" t="s">
        <v>386</v>
      </c>
      <c r="Y1665" t="s">
        <v>387</v>
      </c>
      <c r="AF1665" t="s">
        <v>13</v>
      </c>
      <c r="AG1665" t="str">
        <f>HYPERLINK("https://doi.org/10.1515/9781474470667")</f>
        <v>https://doi.org/10.1515/9781474470667</v>
      </c>
      <c r="AH1665" t="str">
        <f>HYPERLINK("http://www.degruyter.com/isbn/9781474470667")</f>
        <v>http://www.degruyter.com/isbn/9781474470667</v>
      </c>
      <c r="AI1665" t="s">
        <v>68</v>
      </c>
      <c r="AL1665" t="s">
        <v>102</v>
      </c>
      <c r="AM1665">
        <v>1</v>
      </c>
      <c r="AN1665" s="2">
        <v>9780748620562</v>
      </c>
    </row>
    <row r="1666" spans="1:40" x14ac:dyDescent="0.3">
      <c r="A1666" t="s">
        <v>8131</v>
      </c>
      <c r="B1666" t="s">
        <v>1</v>
      </c>
      <c r="C1666" t="s">
        <v>8132</v>
      </c>
      <c r="E1666" t="s">
        <v>8133</v>
      </c>
      <c r="F1666" t="s">
        <v>5</v>
      </c>
      <c r="G1666" t="s">
        <v>6</v>
      </c>
      <c r="L1666" t="s">
        <v>7</v>
      </c>
      <c r="M1666">
        <v>2010</v>
      </c>
      <c r="N1666" s="1">
        <v>40431</v>
      </c>
      <c r="O1666" t="s">
        <v>798</v>
      </c>
      <c r="P1666">
        <v>1</v>
      </c>
      <c r="S1666">
        <v>253.95</v>
      </c>
      <c r="T1666">
        <v>290</v>
      </c>
      <c r="U1666">
        <v>220</v>
      </c>
      <c r="V1666" t="s">
        <v>58</v>
      </c>
      <c r="W1666" t="s">
        <v>59</v>
      </c>
      <c r="X1666" t="s">
        <v>60</v>
      </c>
      <c r="Y1666" t="s">
        <v>3787</v>
      </c>
      <c r="AF1666" t="s">
        <v>13</v>
      </c>
      <c r="AG1666" t="str">
        <f>HYPERLINK("https://doi.org/10.1515/9780748630233?locatt=mode:legacy")</f>
        <v>https://doi.org/10.1515/9780748630233?locatt=mode:legacy</v>
      </c>
      <c r="AH1666" t="str">
        <f>HYPERLINK("http://www.degruyter.com/isbn/9780748630233")</f>
        <v>http://www.degruyter.com/isbn/9780748630233</v>
      </c>
      <c r="AI1666" t="s">
        <v>68</v>
      </c>
      <c r="AL1666" t="s">
        <v>62</v>
      </c>
      <c r="AM1666">
        <v>1</v>
      </c>
      <c r="AN1666" s="2">
        <v>9780748623877</v>
      </c>
    </row>
    <row r="1667" spans="1:40" x14ac:dyDescent="0.3">
      <c r="A1667" t="s">
        <v>8134</v>
      </c>
      <c r="B1667" t="s">
        <v>1</v>
      </c>
      <c r="C1667" t="s">
        <v>8135</v>
      </c>
      <c r="E1667" t="s">
        <v>8136</v>
      </c>
      <c r="F1667" t="s">
        <v>5</v>
      </c>
      <c r="G1667" t="s">
        <v>6</v>
      </c>
      <c r="L1667" t="s">
        <v>7</v>
      </c>
      <c r="M1667">
        <v>2001</v>
      </c>
      <c r="N1667" s="1">
        <v>37146</v>
      </c>
      <c r="O1667" t="s">
        <v>8137</v>
      </c>
      <c r="P1667">
        <v>1</v>
      </c>
      <c r="S1667">
        <v>217.95</v>
      </c>
      <c r="T1667">
        <v>250</v>
      </c>
      <c r="U1667">
        <v>190</v>
      </c>
      <c r="V1667" t="s">
        <v>42</v>
      </c>
      <c r="W1667" t="s">
        <v>740</v>
      </c>
      <c r="X1667" t="s">
        <v>741</v>
      </c>
      <c r="Y1667" t="s">
        <v>742</v>
      </c>
      <c r="AF1667" t="s">
        <v>13</v>
      </c>
      <c r="AG1667" t="str">
        <f>HYPERLINK("https://doi.org/10.1515/9781474471992")</f>
        <v>https://doi.org/10.1515/9781474471992</v>
      </c>
      <c r="AH1667" t="str">
        <f>HYPERLINK("http://www.degruyter.com/isbn/9781474471992")</f>
        <v>http://www.degruyter.com/isbn/9781474471992</v>
      </c>
      <c r="AI1667" t="s">
        <v>68</v>
      </c>
      <c r="AL1667" t="s">
        <v>47</v>
      </c>
      <c r="AM1667">
        <v>1</v>
      </c>
      <c r="AN1667" s="2">
        <v>9780748602575</v>
      </c>
    </row>
    <row r="1668" spans="1:40" x14ac:dyDescent="0.3">
      <c r="A1668" t="s">
        <v>8138</v>
      </c>
      <c r="B1668" t="s">
        <v>1</v>
      </c>
      <c r="C1668" t="s">
        <v>8139</v>
      </c>
      <c r="D1668" t="s">
        <v>8140</v>
      </c>
      <c r="E1668" t="s">
        <v>8141</v>
      </c>
      <c r="F1668" t="s">
        <v>5</v>
      </c>
      <c r="G1668" t="s">
        <v>6</v>
      </c>
      <c r="L1668" t="s">
        <v>7</v>
      </c>
      <c r="M1668">
        <v>1997</v>
      </c>
      <c r="N1668" s="1">
        <v>44599</v>
      </c>
      <c r="O1668" t="s">
        <v>8142</v>
      </c>
      <c r="P1668">
        <v>1</v>
      </c>
      <c r="Q1668" t="s">
        <v>6815</v>
      </c>
      <c r="S1668">
        <v>217.95</v>
      </c>
      <c r="T1668">
        <v>250</v>
      </c>
      <c r="U1668">
        <v>190</v>
      </c>
      <c r="V1668" t="s">
        <v>20</v>
      </c>
      <c r="W1668" t="s">
        <v>21</v>
      </c>
      <c r="X1668" t="s">
        <v>3445</v>
      </c>
      <c r="Y1668" t="s">
        <v>3446</v>
      </c>
      <c r="AF1668" t="s">
        <v>13</v>
      </c>
      <c r="AG1668" t="str">
        <f>HYPERLINK("https://doi.org/10.1515/9780585122915")</f>
        <v>https://doi.org/10.1515/9780585122915</v>
      </c>
      <c r="AH1668" t="str">
        <f>HYPERLINK("http://www.degruyter.com/isbn/9780585122915")</f>
        <v>http://www.degruyter.com/isbn/9780585122915</v>
      </c>
      <c r="AI1668" t="s">
        <v>24</v>
      </c>
      <c r="AL1668" t="s">
        <v>15</v>
      </c>
      <c r="AM1668">
        <v>1</v>
      </c>
      <c r="AN1668" s="2">
        <v>9781853311789</v>
      </c>
    </row>
    <row r="1669" spans="1:40" x14ac:dyDescent="0.3">
      <c r="A1669" t="s">
        <v>8143</v>
      </c>
      <c r="B1669" t="s">
        <v>1</v>
      </c>
      <c r="C1669" t="s">
        <v>8144</v>
      </c>
      <c r="E1669" t="s">
        <v>8145</v>
      </c>
      <c r="F1669" t="s">
        <v>5</v>
      </c>
      <c r="G1669" t="s">
        <v>6</v>
      </c>
      <c r="L1669" t="s">
        <v>7</v>
      </c>
      <c r="M1669">
        <v>2015</v>
      </c>
      <c r="N1669" s="1">
        <v>42073</v>
      </c>
      <c r="O1669" t="s">
        <v>8146</v>
      </c>
      <c r="P1669">
        <v>1</v>
      </c>
      <c r="S1669">
        <v>253.95</v>
      </c>
      <c r="T1669">
        <v>290</v>
      </c>
      <c r="U1669">
        <v>220</v>
      </c>
      <c r="V1669" t="s">
        <v>20</v>
      </c>
      <c r="W1669" t="s">
        <v>21</v>
      </c>
      <c r="X1669" t="s">
        <v>839</v>
      </c>
      <c r="Y1669" t="s">
        <v>1850</v>
      </c>
      <c r="AF1669" t="s">
        <v>13</v>
      </c>
      <c r="AG1669" t="str">
        <f>HYPERLINK("https://doi.org/10.1515/9781474401753")</f>
        <v>https://doi.org/10.1515/9781474401753</v>
      </c>
      <c r="AH1669" t="str">
        <f>HYPERLINK("http://www.degruyter.com/isbn/9781474401753")</f>
        <v>http://www.degruyter.com/isbn/9781474401753</v>
      </c>
      <c r="AI1669" t="s">
        <v>34</v>
      </c>
      <c r="AL1669" t="s">
        <v>15</v>
      </c>
      <c r="AM1669">
        <v>1</v>
      </c>
      <c r="AN1669" s="2">
        <v>9781474401739</v>
      </c>
    </row>
    <row r="1670" spans="1:40" x14ac:dyDescent="0.3">
      <c r="A1670" t="s">
        <v>8147</v>
      </c>
      <c r="B1670" t="s">
        <v>1</v>
      </c>
      <c r="C1670" t="s">
        <v>8148</v>
      </c>
      <c r="D1670" t="s">
        <v>8149</v>
      </c>
      <c r="E1670" t="s">
        <v>8150</v>
      </c>
      <c r="F1670" t="s">
        <v>5</v>
      </c>
      <c r="G1670" t="s">
        <v>6</v>
      </c>
      <c r="L1670" t="s">
        <v>7</v>
      </c>
      <c r="M1670">
        <v>2015</v>
      </c>
      <c r="N1670" s="1">
        <v>42279</v>
      </c>
      <c r="O1670" t="s">
        <v>8151</v>
      </c>
      <c r="P1670">
        <v>1</v>
      </c>
      <c r="S1670">
        <v>217.95</v>
      </c>
      <c r="T1670">
        <v>250</v>
      </c>
      <c r="U1670">
        <v>190</v>
      </c>
      <c r="V1670" t="s">
        <v>98</v>
      </c>
      <c r="W1670" t="s">
        <v>99</v>
      </c>
      <c r="X1670" t="s">
        <v>100</v>
      </c>
      <c r="Y1670" t="s">
        <v>937</v>
      </c>
      <c r="AF1670" t="s">
        <v>13</v>
      </c>
      <c r="AG1670" t="str">
        <f>HYPERLINK("https://doi.org/10.1515/9780748696451?locatt=mode:legacy")</f>
        <v>https://doi.org/10.1515/9780748696451?locatt=mode:legacy</v>
      </c>
      <c r="AH1670" t="str">
        <f>HYPERLINK("http://www.degruyter.com/isbn/9780748696451")</f>
        <v>http://www.degruyter.com/isbn/9780748696451</v>
      </c>
      <c r="AI1670" t="s">
        <v>34</v>
      </c>
      <c r="AL1670" t="s">
        <v>102</v>
      </c>
      <c r="AM1670">
        <v>1</v>
      </c>
      <c r="AN1670" s="2">
        <v>9780748643059</v>
      </c>
    </row>
    <row r="1671" spans="1:40" x14ac:dyDescent="0.3">
      <c r="A1671" t="s">
        <v>8152</v>
      </c>
      <c r="B1671" t="s">
        <v>1</v>
      </c>
      <c r="C1671" t="s">
        <v>8153</v>
      </c>
      <c r="E1671" t="s">
        <v>8154</v>
      </c>
      <c r="F1671" t="s">
        <v>5</v>
      </c>
      <c r="G1671" t="s">
        <v>6</v>
      </c>
      <c r="L1671" t="s">
        <v>7</v>
      </c>
      <c r="M1671">
        <v>2016</v>
      </c>
      <c r="N1671" s="1">
        <v>42596</v>
      </c>
      <c r="O1671" t="s">
        <v>8155</v>
      </c>
      <c r="P1671">
        <v>1</v>
      </c>
      <c r="Q1671" t="s">
        <v>6606</v>
      </c>
      <c r="S1671">
        <v>217.95</v>
      </c>
      <c r="T1671">
        <v>250</v>
      </c>
      <c r="U1671">
        <v>190</v>
      </c>
      <c r="V1671" t="s">
        <v>42</v>
      </c>
      <c r="W1671" t="s">
        <v>107</v>
      </c>
      <c r="X1671" t="s">
        <v>108</v>
      </c>
      <c r="Y1671" t="s">
        <v>221</v>
      </c>
      <c r="AF1671" t="s">
        <v>13</v>
      </c>
      <c r="AG1671" t="str">
        <f>HYPERLINK("https://doi.org/10.1515/9781474414579?locatt=mode:legacy")</f>
        <v>https://doi.org/10.1515/9781474414579?locatt=mode:legacy</v>
      </c>
      <c r="AH1671" t="str">
        <f>HYPERLINK("http://www.degruyter.com/isbn/9781474414579")</f>
        <v>http://www.degruyter.com/isbn/9781474414579</v>
      </c>
      <c r="AI1671" t="s">
        <v>180</v>
      </c>
      <c r="AL1671" t="s">
        <v>47</v>
      </c>
      <c r="AM1671">
        <v>1</v>
      </c>
      <c r="AN1671" s="2">
        <v>9781474414562</v>
      </c>
    </row>
    <row r="1672" spans="1:40" x14ac:dyDescent="0.3">
      <c r="A1672" t="s">
        <v>8156</v>
      </c>
      <c r="B1672" t="s">
        <v>1</v>
      </c>
      <c r="C1672" t="s">
        <v>8157</v>
      </c>
      <c r="D1672" t="s">
        <v>8158</v>
      </c>
      <c r="E1672" t="s">
        <v>8159</v>
      </c>
      <c r="F1672" t="s">
        <v>5</v>
      </c>
      <c r="G1672" t="s">
        <v>6</v>
      </c>
      <c r="L1672" t="s">
        <v>7</v>
      </c>
      <c r="M1672">
        <v>2016</v>
      </c>
      <c r="N1672" s="1">
        <v>42594</v>
      </c>
      <c r="O1672" t="s">
        <v>8160</v>
      </c>
      <c r="P1672">
        <v>1</v>
      </c>
      <c r="S1672">
        <v>217.95</v>
      </c>
      <c r="T1672">
        <v>250</v>
      </c>
      <c r="U1672">
        <v>190</v>
      </c>
      <c r="V1672" t="s">
        <v>42</v>
      </c>
      <c r="W1672" t="s">
        <v>290</v>
      </c>
      <c r="X1672" t="s">
        <v>290</v>
      </c>
      <c r="Y1672" t="s">
        <v>291</v>
      </c>
      <c r="AF1672" t="s">
        <v>13</v>
      </c>
      <c r="AG1672" t="str">
        <f>HYPERLINK("https://doi.org/10.1515/9780748694891?locatt=mode:legacy")</f>
        <v>https://doi.org/10.1515/9780748694891?locatt=mode:legacy</v>
      </c>
      <c r="AH1672" t="str">
        <f>HYPERLINK("http://www.degruyter.com/isbn/9780748694891")</f>
        <v>http://www.degruyter.com/isbn/9780748694891</v>
      </c>
      <c r="AI1672" t="s">
        <v>180</v>
      </c>
      <c r="AL1672" t="s">
        <v>47</v>
      </c>
      <c r="AM1672">
        <v>1</v>
      </c>
      <c r="AN1672" s="2">
        <v>9780748694884</v>
      </c>
    </row>
    <row r="1673" spans="1:40" x14ac:dyDescent="0.3">
      <c r="A1673" t="s">
        <v>8161</v>
      </c>
      <c r="B1673" t="s">
        <v>1</v>
      </c>
      <c r="C1673" t="s">
        <v>8162</v>
      </c>
      <c r="E1673" t="s">
        <v>8163</v>
      </c>
      <c r="F1673" t="s">
        <v>5</v>
      </c>
      <c r="G1673" t="s">
        <v>6</v>
      </c>
      <c r="L1673" t="s">
        <v>7</v>
      </c>
      <c r="M1673">
        <v>2005</v>
      </c>
      <c r="N1673" s="1">
        <v>38551</v>
      </c>
      <c r="O1673" t="s">
        <v>8164</v>
      </c>
      <c r="P1673">
        <v>1</v>
      </c>
      <c r="S1673">
        <v>227.95</v>
      </c>
      <c r="T1673">
        <v>260</v>
      </c>
      <c r="U1673">
        <v>200</v>
      </c>
      <c r="V1673" t="s">
        <v>79</v>
      </c>
      <c r="W1673" t="s">
        <v>209</v>
      </c>
      <c r="X1673" t="s">
        <v>209</v>
      </c>
      <c r="Y1673" t="s">
        <v>510</v>
      </c>
      <c r="AF1673" t="s">
        <v>13</v>
      </c>
      <c r="AG1673" t="str">
        <f>HYPERLINK("https://doi.org/10.1515/9781474470360")</f>
        <v>https://doi.org/10.1515/9781474470360</v>
      </c>
      <c r="AH1673" t="str">
        <f>HYPERLINK("http://www.degruyter.com/isbn/9781474470360")</f>
        <v>http://www.degruyter.com/isbn/9781474470360</v>
      </c>
      <c r="AI1673" t="s">
        <v>68</v>
      </c>
      <c r="AL1673" t="s">
        <v>83</v>
      </c>
      <c r="AM1673">
        <v>1</v>
      </c>
      <c r="AN1673" s="2">
        <v>9780748617272</v>
      </c>
    </row>
    <row r="1674" spans="1:40" x14ac:dyDescent="0.3">
      <c r="A1674" t="s">
        <v>8165</v>
      </c>
      <c r="B1674" t="s">
        <v>1</v>
      </c>
      <c r="C1674" t="s">
        <v>8166</v>
      </c>
      <c r="E1674" t="s">
        <v>8167</v>
      </c>
      <c r="F1674" t="s">
        <v>5</v>
      </c>
      <c r="G1674" t="s">
        <v>6</v>
      </c>
      <c r="L1674" t="s">
        <v>7</v>
      </c>
      <c r="M1674">
        <v>2013</v>
      </c>
      <c r="N1674" s="1">
        <v>41386</v>
      </c>
      <c r="O1674" t="s">
        <v>8168</v>
      </c>
      <c r="P1674">
        <v>1</v>
      </c>
      <c r="S1674">
        <v>217.95</v>
      </c>
      <c r="T1674">
        <v>250</v>
      </c>
      <c r="U1674">
        <v>190</v>
      </c>
      <c r="V1674" t="s">
        <v>42</v>
      </c>
      <c r="W1674" t="s">
        <v>43</v>
      </c>
      <c r="X1674" t="s">
        <v>44</v>
      </c>
      <c r="Y1674" t="s">
        <v>45</v>
      </c>
      <c r="AF1674" t="s">
        <v>13</v>
      </c>
      <c r="AG1674" t="str">
        <f>HYPERLINK("https://doi.org/10.1515/9780748677801?locatt=mode:legacy")</f>
        <v>https://doi.org/10.1515/9780748677801?locatt=mode:legacy</v>
      </c>
      <c r="AH1674" t="str">
        <f>HYPERLINK("http://www.degruyter.com/isbn/9780748677801")</f>
        <v>http://www.degruyter.com/isbn/9780748677801</v>
      </c>
      <c r="AI1674" t="s">
        <v>68</v>
      </c>
      <c r="AL1674" t="s">
        <v>47</v>
      </c>
      <c r="AM1674">
        <v>1</v>
      </c>
      <c r="AN1674" s="2">
        <v>9780748643073</v>
      </c>
    </row>
    <row r="1675" spans="1:40" x14ac:dyDescent="0.3">
      <c r="A1675" t="s">
        <v>8169</v>
      </c>
      <c r="B1675" t="s">
        <v>1</v>
      </c>
      <c r="C1675" t="s">
        <v>8170</v>
      </c>
      <c r="D1675" t="s">
        <v>8171</v>
      </c>
      <c r="E1675" t="s">
        <v>8172</v>
      </c>
      <c r="F1675" t="s">
        <v>5</v>
      </c>
      <c r="G1675" t="s">
        <v>6</v>
      </c>
      <c r="L1675" t="s">
        <v>7</v>
      </c>
      <c r="M1675">
        <v>2007</v>
      </c>
      <c r="N1675" s="1">
        <v>39143</v>
      </c>
      <c r="O1675" t="s">
        <v>8173</v>
      </c>
      <c r="P1675">
        <v>1</v>
      </c>
      <c r="Q1675" t="s">
        <v>6606</v>
      </c>
      <c r="S1675">
        <v>253.95</v>
      </c>
      <c r="T1675">
        <v>290</v>
      </c>
      <c r="U1675">
        <v>220</v>
      </c>
      <c r="V1675" t="s">
        <v>79</v>
      </c>
      <c r="W1675" t="s">
        <v>209</v>
      </c>
      <c r="X1675" t="s">
        <v>209</v>
      </c>
      <c r="Y1675" t="s">
        <v>510</v>
      </c>
      <c r="AF1675" t="s">
        <v>13</v>
      </c>
      <c r="AG1675" t="str">
        <f>HYPERLINK("https://doi.org/10.1515/9780748631049?locatt=mode:legacy")</f>
        <v>https://doi.org/10.1515/9780748631049?locatt=mode:legacy</v>
      </c>
      <c r="AH1675" t="str">
        <f>HYPERLINK("http://www.degruyter.com/isbn/9780748631049")</f>
        <v>http://www.degruyter.com/isbn/9780748631049</v>
      </c>
      <c r="AI1675" t="s">
        <v>68</v>
      </c>
      <c r="AL1675" t="s">
        <v>83</v>
      </c>
      <c r="AM1675">
        <v>1</v>
      </c>
      <c r="AN1675" s="2">
        <v>9780748625567</v>
      </c>
    </row>
    <row r="1676" spans="1:40" x14ac:dyDescent="0.3">
      <c r="A1676" t="s">
        <v>8174</v>
      </c>
      <c r="B1676" t="s">
        <v>1</v>
      </c>
      <c r="C1676" t="s">
        <v>8175</v>
      </c>
      <c r="E1676" t="s">
        <v>8176</v>
      </c>
      <c r="F1676" t="s">
        <v>5</v>
      </c>
      <c r="G1676" t="s">
        <v>6</v>
      </c>
      <c r="L1676" t="s">
        <v>7</v>
      </c>
      <c r="M1676">
        <v>2001</v>
      </c>
      <c r="N1676" s="1">
        <v>36991</v>
      </c>
      <c r="O1676" t="s">
        <v>8177</v>
      </c>
      <c r="P1676">
        <v>1</v>
      </c>
      <c r="Q1676" t="s">
        <v>7266</v>
      </c>
      <c r="S1676">
        <v>227.95</v>
      </c>
      <c r="T1676">
        <v>260</v>
      </c>
      <c r="U1676">
        <v>200</v>
      </c>
      <c r="V1676" t="s">
        <v>42</v>
      </c>
      <c r="W1676" t="s">
        <v>116</v>
      </c>
      <c r="X1676" t="s">
        <v>116</v>
      </c>
      <c r="Y1676" t="s">
        <v>117</v>
      </c>
      <c r="AF1676" t="s">
        <v>13</v>
      </c>
      <c r="AH1676" t="str">
        <f>HYPERLINK("http://www.degruyter.com/isbn/9781474433679")</f>
        <v>http://www.degruyter.com/isbn/9781474433679</v>
      </c>
      <c r="AI1676" t="s">
        <v>68</v>
      </c>
      <c r="AL1676" t="s">
        <v>47</v>
      </c>
      <c r="AM1676">
        <v>1</v>
      </c>
      <c r="AN1676" s="2">
        <v>9780748605767</v>
      </c>
    </row>
    <row r="1677" spans="1:40" x14ac:dyDescent="0.3">
      <c r="A1677" t="s">
        <v>8178</v>
      </c>
      <c r="B1677" t="s">
        <v>1</v>
      </c>
      <c r="C1677" t="s">
        <v>8179</v>
      </c>
      <c r="D1677" t="s">
        <v>8180</v>
      </c>
      <c r="E1677" t="s">
        <v>8181</v>
      </c>
      <c r="F1677" t="s">
        <v>5</v>
      </c>
      <c r="G1677" t="s">
        <v>6</v>
      </c>
      <c r="L1677" t="s">
        <v>7</v>
      </c>
      <c r="M1677">
        <v>2014</v>
      </c>
      <c r="N1677" s="1">
        <v>41806</v>
      </c>
      <c r="O1677" t="s">
        <v>8182</v>
      </c>
      <c r="P1677">
        <v>1</v>
      </c>
      <c r="S1677">
        <v>217.95</v>
      </c>
      <c r="T1677">
        <v>250</v>
      </c>
      <c r="U1677">
        <v>190</v>
      </c>
      <c r="V1677" t="s">
        <v>20</v>
      </c>
      <c r="W1677" t="s">
        <v>21</v>
      </c>
      <c r="X1677" t="s">
        <v>575</v>
      </c>
      <c r="Y1677" t="s">
        <v>576</v>
      </c>
      <c r="AF1677" t="s">
        <v>13</v>
      </c>
      <c r="AG1677" t="str">
        <f>HYPERLINK("https://doi.org/10.1515/9780748691517")</f>
        <v>https://doi.org/10.1515/9780748691517</v>
      </c>
      <c r="AH1677" t="str">
        <f>HYPERLINK("http://www.degruyter.com/isbn/9780748691517")</f>
        <v>http://www.degruyter.com/isbn/9780748691517</v>
      </c>
      <c r="AI1677" t="s">
        <v>34</v>
      </c>
      <c r="AL1677" t="s">
        <v>15</v>
      </c>
      <c r="AM1677">
        <v>1</v>
      </c>
      <c r="AN1677" s="2">
        <v>9780748691500</v>
      </c>
    </row>
    <row r="1678" spans="1:40" x14ac:dyDescent="0.3">
      <c r="A1678" t="s">
        <v>8183</v>
      </c>
      <c r="B1678" t="s">
        <v>1</v>
      </c>
      <c r="C1678" t="s">
        <v>8184</v>
      </c>
      <c r="E1678" t="s">
        <v>8185</v>
      </c>
      <c r="F1678" t="s">
        <v>5</v>
      </c>
      <c r="G1678" t="s">
        <v>6</v>
      </c>
      <c r="L1678" t="s">
        <v>7</v>
      </c>
      <c r="M1678">
        <v>2002</v>
      </c>
      <c r="N1678" s="1">
        <v>37588</v>
      </c>
      <c r="O1678" t="s">
        <v>8186</v>
      </c>
      <c r="P1678">
        <v>1</v>
      </c>
      <c r="S1678">
        <v>217.95</v>
      </c>
      <c r="T1678">
        <v>250</v>
      </c>
      <c r="U1678">
        <v>190</v>
      </c>
      <c r="V1678" t="s">
        <v>20</v>
      </c>
      <c r="W1678" t="s">
        <v>21</v>
      </c>
      <c r="X1678" t="s">
        <v>22</v>
      </c>
      <c r="Y1678" t="s">
        <v>23</v>
      </c>
      <c r="AF1678" t="s">
        <v>13</v>
      </c>
      <c r="AG1678" t="str">
        <f>HYPERLINK("https://doi.org/10.1515/9780585441832")</f>
        <v>https://doi.org/10.1515/9780585441832</v>
      </c>
      <c r="AH1678" t="str">
        <f>HYPERLINK("http://www.degruyter.com/isbn/9780585441832")</f>
        <v>http://www.degruyter.com/isbn/9780585441832</v>
      </c>
      <c r="AI1678" t="s">
        <v>68</v>
      </c>
      <c r="AL1678" t="s">
        <v>15</v>
      </c>
      <c r="AM1678">
        <v>1</v>
      </c>
      <c r="AN1678" s="2">
        <v>9780748617593</v>
      </c>
    </row>
    <row r="1679" spans="1:40" x14ac:dyDescent="0.3">
      <c r="A1679" t="s">
        <v>8187</v>
      </c>
      <c r="B1679" t="s">
        <v>1</v>
      </c>
      <c r="C1679" t="s">
        <v>8188</v>
      </c>
      <c r="D1679" t="s">
        <v>8189</v>
      </c>
      <c r="E1679" t="s">
        <v>8190</v>
      </c>
      <c r="F1679" t="s">
        <v>5</v>
      </c>
      <c r="G1679" t="s">
        <v>6</v>
      </c>
      <c r="L1679" t="s">
        <v>7</v>
      </c>
      <c r="M1679">
        <v>2017</v>
      </c>
      <c r="N1679" s="1">
        <v>42844</v>
      </c>
      <c r="O1679" t="s">
        <v>8191</v>
      </c>
      <c r="P1679">
        <v>1</v>
      </c>
      <c r="S1679">
        <v>217.95</v>
      </c>
      <c r="T1679">
        <v>250</v>
      </c>
      <c r="U1679">
        <v>190</v>
      </c>
      <c r="V1679" t="s">
        <v>42</v>
      </c>
      <c r="W1679" t="s">
        <v>290</v>
      </c>
      <c r="X1679" t="s">
        <v>290</v>
      </c>
      <c r="Y1679" t="s">
        <v>515</v>
      </c>
      <c r="AF1679" t="s">
        <v>13</v>
      </c>
      <c r="AG1679" t="str">
        <f>HYPERLINK("https://doi.org/10.1515/9781474421683?locatt=mode:legacy")</f>
        <v>https://doi.org/10.1515/9781474421683?locatt=mode:legacy</v>
      </c>
      <c r="AH1679" t="str">
        <f>HYPERLINK("http://www.degruyter.com/isbn/9781474421683")</f>
        <v>http://www.degruyter.com/isbn/9781474421683</v>
      </c>
      <c r="AI1679" t="s">
        <v>222</v>
      </c>
      <c r="AL1679" t="s">
        <v>47</v>
      </c>
      <c r="AM1679">
        <v>1</v>
      </c>
      <c r="AN1679" s="2">
        <v>9781474421676</v>
      </c>
    </row>
    <row r="1680" spans="1:40" x14ac:dyDescent="0.3">
      <c r="A1680" t="s">
        <v>8192</v>
      </c>
      <c r="B1680" t="s">
        <v>1</v>
      </c>
      <c r="C1680" t="s">
        <v>8193</v>
      </c>
      <c r="D1680" t="s">
        <v>8194</v>
      </c>
      <c r="E1680" t="s">
        <v>8195</v>
      </c>
      <c r="F1680" t="s">
        <v>5</v>
      </c>
      <c r="G1680" t="s">
        <v>6</v>
      </c>
      <c r="L1680" t="s">
        <v>7</v>
      </c>
      <c r="M1680">
        <v>2005</v>
      </c>
      <c r="N1680" s="1">
        <v>44644</v>
      </c>
      <c r="O1680" t="s">
        <v>5492</v>
      </c>
      <c r="P1680">
        <v>1</v>
      </c>
      <c r="S1680">
        <v>217.95</v>
      </c>
      <c r="T1680">
        <v>250</v>
      </c>
      <c r="U1680">
        <v>190</v>
      </c>
      <c r="V1680" t="s">
        <v>42</v>
      </c>
      <c r="W1680" t="s">
        <v>43</v>
      </c>
      <c r="X1680" t="s">
        <v>44</v>
      </c>
      <c r="Y1680" t="s">
        <v>45</v>
      </c>
      <c r="AF1680" t="s">
        <v>13</v>
      </c>
      <c r="AG1680" t="str">
        <f>HYPERLINK("https://doi.org/10.1515/9780748680573")</f>
        <v>https://doi.org/10.1515/9780748680573</v>
      </c>
      <c r="AH1680" t="str">
        <f>HYPERLINK("http://www.degruyter.com/isbn/9780748680573")</f>
        <v>http://www.degruyter.com/isbn/9780748680573</v>
      </c>
      <c r="AI1680" t="s">
        <v>68</v>
      </c>
      <c r="AJ1680" t="s">
        <v>35</v>
      </c>
      <c r="AL1680" t="s">
        <v>520</v>
      </c>
      <c r="AM1680">
        <v>1</v>
      </c>
      <c r="AN1680" s="2">
        <v>9780748617999</v>
      </c>
    </row>
    <row r="1681" spans="1:40" x14ac:dyDescent="0.3">
      <c r="A1681" t="s">
        <v>8196</v>
      </c>
      <c r="B1681" t="s">
        <v>1</v>
      </c>
      <c r="C1681" t="s">
        <v>8197</v>
      </c>
      <c r="D1681" t="s">
        <v>8198</v>
      </c>
      <c r="E1681" t="s">
        <v>8199</v>
      </c>
      <c r="F1681" t="s">
        <v>5</v>
      </c>
      <c r="G1681" t="s">
        <v>6</v>
      </c>
      <c r="L1681" t="s">
        <v>7</v>
      </c>
      <c r="M1681">
        <v>2007</v>
      </c>
      <c r="N1681" s="1">
        <v>39104</v>
      </c>
      <c r="O1681" t="s">
        <v>3420</v>
      </c>
      <c r="P1681">
        <v>1</v>
      </c>
      <c r="S1681">
        <v>295.95</v>
      </c>
      <c r="T1681">
        <v>340</v>
      </c>
      <c r="U1681">
        <v>260</v>
      </c>
      <c r="V1681" t="s">
        <v>58</v>
      </c>
      <c r="W1681" t="s">
        <v>59</v>
      </c>
      <c r="X1681" t="s">
        <v>60</v>
      </c>
      <c r="Y1681" t="s">
        <v>8200</v>
      </c>
      <c r="AF1681" t="s">
        <v>13</v>
      </c>
      <c r="AG1681" t="str">
        <f>HYPERLINK("https://doi.org/10.1515/9780748630868")</f>
        <v>https://doi.org/10.1515/9780748630868</v>
      </c>
      <c r="AH1681" t="str">
        <f>HYPERLINK("http://www.degruyter.com/isbn/9780748630868")</f>
        <v>http://www.degruyter.com/isbn/9780748630868</v>
      </c>
      <c r="AI1681" t="s">
        <v>68</v>
      </c>
      <c r="AL1681" t="s">
        <v>62</v>
      </c>
      <c r="AM1681">
        <v>1</v>
      </c>
      <c r="AN1681" s="2">
        <v>9780748625277</v>
      </c>
    </row>
    <row r="1682" spans="1:40" x14ac:dyDescent="0.3">
      <c r="A1682" t="s">
        <v>8201</v>
      </c>
      <c r="B1682" t="s">
        <v>1</v>
      </c>
      <c r="C1682" t="s">
        <v>8202</v>
      </c>
      <c r="D1682" t="s">
        <v>8203</v>
      </c>
      <c r="E1682" t="s">
        <v>8204</v>
      </c>
      <c r="F1682" t="s">
        <v>5</v>
      </c>
      <c r="G1682" t="s">
        <v>6</v>
      </c>
      <c r="L1682" t="s">
        <v>7</v>
      </c>
      <c r="M1682">
        <v>2016</v>
      </c>
      <c r="N1682" s="1">
        <v>42598</v>
      </c>
      <c r="O1682" t="s">
        <v>8205</v>
      </c>
      <c r="P1682">
        <v>1</v>
      </c>
      <c r="Q1682" t="s">
        <v>7303</v>
      </c>
      <c r="S1682">
        <v>253.95</v>
      </c>
      <c r="T1682">
        <v>290</v>
      </c>
      <c r="U1682">
        <v>220</v>
      </c>
      <c r="V1682" t="s">
        <v>305</v>
      </c>
      <c r="W1682" t="s">
        <v>650</v>
      </c>
      <c r="X1682" t="s">
        <v>650</v>
      </c>
      <c r="Y1682" t="s">
        <v>651</v>
      </c>
      <c r="AF1682" t="s">
        <v>13</v>
      </c>
      <c r="AG1682" t="str">
        <f>HYPERLINK("https://doi.org/10.1515/9781474409490")</f>
        <v>https://doi.org/10.1515/9781474409490</v>
      </c>
      <c r="AH1682" t="str">
        <f>HYPERLINK("http://www.degruyter.com/isbn/9781474409490")</f>
        <v>http://www.degruyter.com/isbn/9781474409490</v>
      </c>
      <c r="AI1682" t="s">
        <v>180</v>
      </c>
      <c r="AL1682" t="s">
        <v>308</v>
      </c>
      <c r="AM1682">
        <v>1</v>
      </c>
      <c r="AN1682" s="2">
        <v>9781474409483</v>
      </c>
    </row>
    <row r="1683" spans="1:40" x14ac:dyDescent="0.3">
      <c r="A1683" t="s">
        <v>8206</v>
      </c>
      <c r="B1683" t="s">
        <v>1</v>
      </c>
      <c r="C1683" t="s">
        <v>8207</v>
      </c>
      <c r="D1683" t="s">
        <v>8208</v>
      </c>
      <c r="E1683" t="s">
        <v>8209</v>
      </c>
      <c r="F1683" t="s">
        <v>5</v>
      </c>
      <c r="G1683" t="s">
        <v>6</v>
      </c>
      <c r="L1683" t="s">
        <v>7</v>
      </c>
      <c r="M1683">
        <v>2019</v>
      </c>
      <c r="N1683" s="1">
        <v>44656</v>
      </c>
      <c r="O1683" t="s">
        <v>8210</v>
      </c>
      <c r="P1683">
        <v>1</v>
      </c>
      <c r="S1683">
        <v>261.95</v>
      </c>
      <c r="T1683">
        <v>300</v>
      </c>
      <c r="U1683">
        <v>230</v>
      </c>
      <c r="V1683" t="s">
        <v>98</v>
      </c>
      <c r="W1683" t="s">
        <v>99</v>
      </c>
      <c r="X1683" t="s">
        <v>386</v>
      </c>
      <c r="Y1683" t="s">
        <v>387</v>
      </c>
      <c r="AF1683" t="s">
        <v>13</v>
      </c>
      <c r="AG1683" t="str">
        <f>HYPERLINK("https://doi.org/10.1515/9780748696956")</f>
        <v>https://doi.org/10.1515/9780748696956</v>
      </c>
      <c r="AH1683" t="str">
        <f>HYPERLINK("http://www.degruyter.com/isbn/9780748696956")</f>
        <v>http://www.degruyter.com/isbn/9780748696956</v>
      </c>
      <c r="AI1683" t="s">
        <v>280</v>
      </c>
      <c r="AL1683" t="s">
        <v>102</v>
      </c>
      <c r="AM1683">
        <v>1</v>
      </c>
      <c r="AN1683" s="2">
        <v>9780748696949</v>
      </c>
    </row>
    <row r="1684" spans="1:40" x14ac:dyDescent="0.3">
      <c r="A1684" t="s">
        <v>8211</v>
      </c>
      <c r="B1684" t="s">
        <v>1</v>
      </c>
      <c r="C1684" t="s">
        <v>8212</v>
      </c>
      <c r="D1684" t="s">
        <v>8213</v>
      </c>
      <c r="E1684" t="s">
        <v>8214</v>
      </c>
      <c r="F1684" t="s">
        <v>5</v>
      </c>
      <c r="G1684" t="s">
        <v>6</v>
      </c>
      <c r="L1684" t="s">
        <v>7</v>
      </c>
      <c r="M1684">
        <v>2017</v>
      </c>
      <c r="N1684" s="1">
        <v>42979</v>
      </c>
      <c r="O1684" t="s">
        <v>8215</v>
      </c>
      <c r="P1684">
        <v>1</v>
      </c>
      <c r="S1684">
        <v>217.95</v>
      </c>
      <c r="T1684">
        <v>250</v>
      </c>
      <c r="U1684">
        <v>190</v>
      </c>
      <c r="V1684" t="s">
        <v>305</v>
      </c>
      <c r="W1684" t="s">
        <v>2566</v>
      </c>
      <c r="X1684" t="s">
        <v>2567</v>
      </c>
      <c r="Y1684" t="s">
        <v>4151</v>
      </c>
      <c r="AF1684" t="s">
        <v>13</v>
      </c>
      <c r="AG1684" t="str">
        <f>HYPERLINK("https://doi.org/10.1515/9781474411400?locatt=mode:legacy")</f>
        <v>https://doi.org/10.1515/9781474411400?locatt=mode:legacy</v>
      </c>
      <c r="AH1684" t="str">
        <f>HYPERLINK("http://www.degruyter.com/isbn/9781474411400")</f>
        <v>http://www.degruyter.com/isbn/9781474411400</v>
      </c>
      <c r="AI1684" t="s">
        <v>222</v>
      </c>
      <c r="AL1684" t="s">
        <v>308</v>
      </c>
      <c r="AM1684">
        <v>1</v>
      </c>
      <c r="AN1684" s="2">
        <v>9781474411394</v>
      </c>
    </row>
    <row r="1685" spans="1:40" x14ac:dyDescent="0.3">
      <c r="A1685" t="s">
        <v>8216</v>
      </c>
      <c r="B1685" t="s">
        <v>1</v>
      </c>
      <c r="C1685" t="s">
        <v>8217</v>
      </c>
      <c r="E1685" t="s">
        <v>8218</v>
      </c>
      <c r="F1685" t="s">
        <v>5</v>
      </c>
      <c r="G1685" t="s">
        <v>6</v>
      </c>
      <c r="L1685" t="s">
        <v>7</v>
      </c>
      <c r="M1685">
        <v>1998</v>
      </c>
      <c r="N1685" s="1">
        <v>44672</v>
      </c>
      <c r="O1685" t="s">
        <v>8219</v>
      </c>
      <c r="P1685">
        <v>1</v>
      </c>
      <c r="S1685">
        <v>217.95</v>
      </c>
      <c r="T1685">
        <v>250</v>
      </c>
      <c r="U1685">
        <v>190</v>
      </c>
      <c r="V1685" t="s">
        <v>42</v>
      </c>
      <c r="W1685" t="s">
        <v>740</v>
      </c>
      <c r="X1685" t="s">
        <v>741</v>
      </c>
      <c r="Y1685" t="s">
        <v>742</v>
      </c>
      <c r="AF1685" t="s">
        <v>13</v>
      </c>
      <c r="AG1685" t="str">
        <f>HYPERLINK("https://doi.org/10.1515/9780748674398")</f>
        <v>https://doi.org/10.1515/9780748674398</v>
      </c>
      <c r="AH1685" t="str">
        <f>HYPERLINK("http://www.degruyter.com/isbn/9780748674398")</f>
        <v>http://www.degruyter.com/isbn/9780748674398</v>
      </c>
      <c r="AI1685" t="s">
        <v>24</v>
      </c>
      <c r="AL1685" t="s">
        <v>47</v>
      </c>
      <c r="AM1685">
        <v>1</v>
      </c>
      <c r="AN1685" s="2">
        <v>9780748609819</v>
      </c>
    </row>
    <row r="1686" spans="1:40" x14ac:dyDescent="0.3">
      <c r="A1686" t="s">
        <v>8220</v>
      </c>
      <c r="B1686" t="s">
        <v>1</v>
      </c>
      <c r="C1686" t="s">
        <v>8221</v>
      </c>
      <c r="D1686" t="s">
        <v>8222</v>
      </c>
      <c r="E1686" t="s">
        <v>8223</v>
      </c>
      <c r="F1686" t="s">
        <v>5</v>
      </c>
      <c r="G1686" t="s">
        <v>6</v>
      </c>
      <c r="L1686" t="s">
        <v>7</v>
      </c>
      <c r="M1686">
        <v>2005</v>
      </c>
      <c r="N1686" s="1">
        <v>44592</v>
      </c>
      <c r="O1686" t="s">
        <v>8224</v>
      </c>
      <c r="P1686">
        <v>1</v>
      </c>
      <c r="S1686">
        <v>217.95</v>
      </c>
      <c r="T1686">
        <v>250</v>
      </c>
      <c r="U1686">
        <v>190</v>
      </c>
      <c r="V1686" t="s">
        <v>9</v>
      </c>
      <c r="W1686" t="s">
        <v>10</v>
      </c>
      <c r="X1686" t="s">
        <v>11</v>
      </c>
      <c r="Y1686" t="s">
        <v>12</v>
      </c>
      <c r="AF1686" t="s">
        <v>13</v>
      </c>
      <c r="AG1686" t="str">
        <f>HYPERLINK("https://doi.org/10.1515/9781474465984")</f>
        <v>https://doi.org/10.1515/9781474465984</v>
      </c>
      <c r="AH1686" t="str">
        <f>HYPERLINK("http://www.degruyter.com/isbn/9781474465984")</f>
        <v>http://www.degruyter.com/isbn/9781474465984</v>
      </c>
      <c r="AI1686" t="s">
        <v>68</v>
      </c>
      <c r="AL1686" t="s">
        <v>15</v>
      </c>
      <c r="AM1686">
        <v>1</v>
      </c>
      <c r="AN1686" s="2">
        <v>9780748619177</v>
      </c>
    </row>
    <row r="1687" spans="1:40" x14ac:dyDescent="0.3">
      <c r="A1687" t="s">
        <v>8225</v>
      </c>
      <c r="B1687" t="s">
        <v>1</v>
      </c>
      <c r="C1687" t="s">
        <v>8226</v>
      </c>
      <c r="D1687" t="s">
        <v>8227</v>
      </c>
      <c r="E1687" t="s">
        <v>8228</v>
      </c>
      <c r="F1687" t="s">
        <v>5</v>
      </c>
      <c r="G1687" t="s">
        <v>6</v>
      </c>
      <c r="L1687" t="s">
        <v>7</v>
      </c>
      <c r="M1687">
        <v>1992</v>
      </c>
      <c r="N1687" s="1">
        <v>44599</v>
      </c>
      <c r="O1687" t="s">
        <v>8229</v>
      </c>
      <c r="P1687">
        <v>1</v>
      </c>
      <c r="Q1687" t="s">
        <v>6929</v>
      </c>
      <c r="S1687">
        <v>217.95</v>
      </c>
      <c r="T1687">
        <v>250</v>
      </c>
      <c r="U1687">
        <v>190</v>
      </c>
      <c r="V1687" t="s">
        <v>20</v>
      </c>
      <c r="W1687" t="s">
        <v>21</v>
      </c>
      <c r="X1687" t="s">
        <v>3919</v>
      </c>
      <c r="Y1687" t="s">
        <v>4359</v>
      </c>
      <c r="AF1687" t="s">
        <v>13</v>
      </c>
      <c r="AG1687" t="str">
        <f>HYPERLINK("https://doi.org/10.1515/9781474471213")</f>
        <v>https://doi.org/10.1515/9781474471213</v>
      </c>
      <c r="AH1687" t="str">
        <f>HYPERLINK("http://www.degruyter.com/isbn/9781474471213")</f>
        <v>http://www.degruyter.com/isbn/9781474471213</v>
      </c>
      <c r="AI1687" t="s">
        <v>24</v>
      </c>
      <c r="AL1687" t="s">
        <v>15</v>
      </c>
      <c r="AM1687">
        <v>1</v>
      </c>
      <c r="AN1687" s="2">
        <v>9780748603442</v>
      </c>
    </row>
    <row r="1688" spans="1:40" x14ac:dyDescent="0.3">
      <c r="A1688" t="s">
        <v>8230</v>
      </c>
      <c r="B1688" t="s">
        <v>1</v>
      </c>
      <c r="C1688" t="s">
        <v>8231</v>
      </c>
      <c r="D1688" t="s">
        <v>8232</v>
      </c>
      <c r="E1688" t="s">
        <v>8233</v>
      </c>
      <c r="F1688" t="s">
        <v>5</v>
      </c>
      <c r="G1688" t="s">
        <v>6</v>
      </c>
      <c r="L1688" t="s">
        <v>7</v>
      </c>
      <c r="M1688">
        <v>2018</v>
      </c>
      <c r="N1688" s="1">
        <v>44644</v>
      </c>
      <c r="O1688" t="s">
        <v>8234</v>
      </c>
      <c r="P1688">
        <v>1</v>
      </c>
      <c r="Q1688" t="s">
        <v>7019</v>
      </c>
      <c r="S1688">
        <v>227.95</v>
      </c>
      <c r="T1688">
        <v>260</v>
      </c>
      <c r="U1688">
        <v>200</v>
      </c>
      <c r="V1688" t="s">
        <v>20</v>
      </c>
      <c r="W1688" t="s">
        <v>21</v>
      </c>
      <c r="X1688" t="s">
        <v>22</v>
      </c>
      <c r="Y1688" t="s">
        <v>23</v>
      </c>
      <c r="AF1688" t="s">
        <v>13</v>
      </c>
      <c r="AG1688" t="str">
        <f>HYPERLINK("https://doi.org/10.1515/9781474410021")</f>
        <v>https://doi.org/10.1515/9781474410021</v>
      </c>
      <c r="AH1688" t="str">
        <f>HYPERLINK("http://www.degruyter.com/isbn/9781474410021")</f>
        <v>http://www.degruyter.com/isbn/9781474410021</v>
      </c>
      <c r="AI1688" t="s">
        <v>46</v>
      </c>
      <c r="AL1688" t="s">
        <v>15</v>
      </c>
      <c r="AM1688">
        <v>1</v>
      </c>
      <c r="AN1688" s="2">
        <v>9781474410014</v>
      </c>
    </row>
    <row r="1689" spans="1:40" x14ac:dyDescent="0.3">
      <c r="A1689" t="s">
        <v>8235</v>
      </c>
      <c r="B1689" t="s">
        <v>1</v>
      </c>
      <c r="C1689" t="s">
        <v>6983</v>
      </c>
      <c r="D1689" t="s">
        <v>8236</v>
      </c>
      <c r="E1689" t="s">
        <v>6985</v>
      </c>
      <c r="F1689" t="s">
        <v>5</v>
      </c>
      <c r="G1689" t="s">
        <v>6</v>
      </c>
      <c r="L1689" t="s">
        <v>7</v>
      </c>
      <c r="M1689">
        <v>2020</v>
      </c>
      <c r="N1689" s="1">
        <v>44656</v>
      </c>
      <c r="O1689" t="s">
        <v>8237</v>
      </c>
      <c r="P1689">
        <v>1</v>
      </c>
      <c r="Q1689" t="s">
        <v>6987</v>
      </c>
      <c r="S1689">
        <v>227.95</v>
      </c>
      <c r="T1689">
        <v>260</v>
      </c>
      <c r="U1689">
        <v>200</v>
      </c>
      <c r="V1689" t="s">
        <v>9</v>
      </c>
      <c r="W1689" t="s">
        <v>10</v>
      </c>
      <c r="X1689" t="s">
        <v>11</v>
      </c>
      <c r="Y1689" t="s">
        <v>52</v>
      </c>
      <c r="AF1689" t="s">
        <v>13</v>
      </c>
      <c r="AG1689" t="str">
        <f>HYPERLINK("https://doi.org/10.1515/9781474444552")</f>
        <v>https://doi.org/10.1515/9781474444552</v>
      </c>
      <c r="AH1689" t="str">
        <f>HYPERLINK("http://www.degruyter.com/isbn/9781474444552")</f>
        <v>http://www.degruyter.com/isbn/9781474444552</v>
      </c>
      <c r="AI1689" t="s">
        <v>14</v>
      </c>
      <c r="AL1689" t="s">
        <v>15</v>
      </c>
      <c r="AM1689">
        <v>1</v>
      </c>
      <c r="AN1689" s="2">
        <v>9781474444538</v>
      </c>
    </row>
    <row r="1690" spans="1:40" x14ac:dyDescent="0.3">
      <c r="A1690" t="s">
        <v>8238</v>
      </c>
      <c r="B1690" t="s">
        <v>1</v>
      </c>
      <c r="C1690" t="s">
        <v>8239</v>
      </c>
      <c r="D1690" t="s">
        <v>8240</v>
      </c>
      <c r="E1690" t="s">
        <v>8241</v>
      </c>
      <c r="F1690" t="s">
        <v>5</v>
      </c>
      <c r="G1690" t="s">
        <v>6</v>
      </c>
      <c r="L1690" t="s">
        <v>7</v>
      </c>
      <c r="M1690">
        <v>2004</v>
      </c>
      <c r="N1690" s="1">
        <v>44607</v>
      </c>
      <c r="O1690" t="s">
        <v>8242</v>
      </c>
      <c r="P1690">
        <v>1</v>
      </c>
      <c r="Q1690" t="s">
        <v>6929</v>
      </c>
      <c r="S1690">
        <v>217.95</v>
      </c>
      <c r="T1690">
        <v>250</v>
      </c>
      <c r="U1690">
        <v>190</v>
      </c>
      <c r="V1690" t="s">
        <v>297</v>
      </c>
      <c r="W1690" t="s">
        <v>1925</v>
      </c>
      <c r="X1690" t="s">
        <v>1925</v>
      </c>
      <c r="Y1690" t="s">
        <v>1926</v>
      </c>
      <c r="AF1690" t="s">
        <v>13</v>
      </c>
      <c r="AG1690" t="str">
        <f>HYPERLINK("https://doi.org/10.1515/9781474467735")</f>
        <v>https://doi.org/10.1515/9781474467735</v>
      </c>
      <c r="AH1690" t="str">
        <f>HYPERLINK("http://www.degruyter.com/isbn/9781474467735")</f>
        <v>http://www.degruyter.com/isbn/9781474467735</v>
      </c>
      <c r="AI1690" t="s">
        <v>68</v>
      </c>
      <c r="AL1690" t="s">
        <v>83</v>
      </c>
      <c r="AM1690">
        <v>1</v>
      </c>
      <c r="AN1690" s="2">
        <v>9780748619900</v>
      </c>
    </row>
    <row r="1691" spans="1:40" x14ac:dyDescent="0.3">
      <c r="A1691" t="s">
        <v>8243</v>
      </c>
      <c r="B1691" t="s">
        <v>1</v>
      </c>
      <c r="C1691" t="s">
        <v>8244</v>
      </c>
      <c r="D1691" t="s">
        <v>8245</v>
      </c>
      <c r="E1691" t="s">
        <v>8246</v>
      </c>
      <c r="F1691" t="s">
        <v>5</v>
      </c>
      <c r="G1691" t="s">
        <v>6</v>
      </c>
      <c r="L1691" t="s">
        <v>7</v>
      </c>
      <c r="M1691">
        <v>1991</v>
      </c>
      <c r="N1691" s="1">
        <v>44607</v>
      </c>
      <c r="O1691" t="s">
        <v>8247</v>
      </c>
      <c r="P1691">
        <v>1</v>
      </c>
      <c r="Q1691" t="s">
        <v>7571</v>
      </c>
      <c r="S1691">
        <v>217.95</v>
      </c>
      <c r="T1691">
        <v>250</v>
      </c>
      <c r="U1691">
        <v>190</v>
      </c>
      <c r="V1691" t="s">
        <v>20</v>
      </c>
      <c r="W1691" t="s">
        <v>21</v>
      </c>
      <c r="X1691" t="s">
        <v>22</v>
      </c>
      <c r="Y1691" t="s">
        <v>23</v>
      </c>
      <c r="AF1691" t="s">
        <v>13</v>
      </c>
      <c r="AG1691" t="str">
        <f>HYPERLINK("https://doi.org/10.1515/9781474468633")</f>
        <v>https://doi.org/10.1515/9781474468633</v>
      </c>
      <c r="AH1691" t="str">
        <f>HYPERLINK("http://www.degruyter.com/isbn/9781474468633")</f>
        <v>http://www.degruyter.com/isbn/9781474468633</v>
      </c>
      <c r="AI1691" t="s">
        <v>24</v>
      </c>
      <c r="AL1691" t="s">
        <v>15</v>
      </c>
      <c r="AM1691">
        <v>1</v>
      </c>
      <c r="AN1691" s="2">
        <v>9780748602735</v>
      </c>
    </row>
    <row r="1692" spans="1:40" x14ac:dyDescent="0.3">
      <c r="A1692" t="s">
        <v>8248</v>
      </c>
      <c r="B1692" t="s">
        <v>1</v>
      </c>
      <c r="C1692" t="s">
        <v>8249</v>
      </c>
      <c r="D1692" t="s">
        <v>8250</v>
      </c>
      <c r="E1692" t="s">
        <v>8251</v>
      </c>
      <c r="F1692" t="s">
        <v>5</v>
      </c>
      <c r="G1692" t="s">
        <v>6</v>
      </c>
      <c r="K1692" t="s">
        <v>4117</v>
      </c>
      <c r="L1692" t="s">
        <v>7</v>
      </c>
      <c r="M1692">
        <v>2014</v>
      </c>
      <c r="N1692" s="1">
        <v>41871</v>
      </c>
      <c r="O1692" t="s">
        <v>1425</v>
      </c>
      <c r="P1692">
        <v>1</v>
      </c>
      <c r="V1692" t="s">
        <v>58</v>
      </c>
      <c r="W1692" t="s">
        <v>129</v>
      </c>
      <c r="X1692" t="s">
        <v>130</v>
      </c>
      <c r="Y1692" t="s">
        <v>8252</v>
      </c>
      <c r="AF1692" t="s">
        <v>13</v>
      </c>
      <c r="AG1692" t="str">
        <f>HYPERLINK("https://doi.org/10.1515/9780748669943")</f>
        <v>https://doi.org/10.1515/9780748669943</v>
      </c>
      <c r="AH1692" t="str">
        <f>HYPERLINK("http://www.degruyter.com/isbn/9780748669943")</f>
        <v>http://www.degruyter.com/isbn/9780748669943</v>
      </c>
      <c r="AI1692" t="s">
        <v>34</v>
      </c>
      <c r="AM1692">
        <v>1</v>
      </c>
      <c r="AN1692" s="2"/>
    </row>
    <row r="1693" spans="1:40" x14ac:dyDescent="0.3">
      <c r="A1693" t="s">
        <v>8253</v>
      </c>
      <c r="B1693" t="s">
        <v>1</v>
      </c>
      <c r="C1693" t="s">
        <v>8254</v>
      </c>
      <c r="E1693" t="s">
        <v>8255</v>
      </c>
      <c r="F1693" t="s">
        <v>5</v>
      </c>
      <c r="G1693" t="s">
        <v>6</v>
      </c>
      <c r="L1693" t="s">
        <v>7</v>
      </c>
      <c r="M1693">
        <v>2018</v>
      </c>
      <c r="N1693" s="1">
        <v>44644</v>
      </c>
      <c r="O1693" t="s">
        <v>8256</v>
      </c>
      <c r="P1693">
        <v>1</v>
      </c>
      <c r="Q1693" t="s">
        <v>7303</v>
      </c>
      <c r="S1693">
        <v>253.95</v>
      </c>
      <c r="T1693">
        <v>290</v>
      </c>
      <c r="U1693">
        <v>220</v>
      </c>
      <c r="V1693" t="s">
        <v>847</v>
      </c>
      <c r="W1693" t="s">
        <v>5219</v>
      </c>
      <c r="X1693" t="s">
        <v>6217</v>
      </c>
      <c r="Y1693" t="s">
        <v>6218</v>
      </c>
      <c r="AF1693" t="s">
        <v>13</v>
      </c>
      <c r="AG1693" t="str">
        <f>HYPERLINK("https://doi.org/10.1515/9781474407922")</f>
        <v>https://doi.org/10.1515/9781474407922</v>
      </c>
      <c r="AH1693" t="str">
        <f>HYPERLINK("http://www.degruyter.com/isbn/9781474407922")</f>
        <v>http://www.degruyter.com/isbn/9781474407922</v>
      </c>
      <c r="AI1693" t="s">
        <v>46</v>
      </c>
      <c r="AL1693" t="s">
        <v>1070</v>
      </c>
      <c r="AM1693">
        <v>1</v>
      </c>
      <c r="AN1693" s="2">
        <v>9781474407915</v>
      </c>
    </row>
    <row r="1694" spans="1:40" x14ac:dyDescent="0.3">
      <c r="A1694" t="s">
        <v>8257</v>
      </c>
      <c r="B1694" t="s">
        <v>1</v>
      </c>
      <c r="C1694" t="s">
        <v>8258</v>
      </c>
      <c r="D1694" t="s">
        <v>8259</v>
      </c>
      <c r="E1694" t="s">
        <v>8260</v>
      </c>
      <c r="F1694" t="s">
        <v>5</v>
      </c>
      <c r="G1694" t="s">
        <v>6</v>
      </c>
      <c r="L1694" t="s">
        <v>7</v>
      </c>
      <c r="M1694">
        <v>1999</v>
      </c>
      <c r="N1694" s="1">
        <v>44719</v>
      </c>
      <c r="O1694" t="s">
        <v>8261</v>
      </c>
      <c r="P1694">
        <v>1</v>
      </c>
      <c r="S1694">
        <v>217.95</v>
      </c>
      <c r="T1694">
        <v>250</v>
      </c>
      <c r="U1694">
        <v>190</v>
      </c>
      <c r="V1694" t="s">
        <v>847</v>
      </c>
      <c r="W1694" t="s">
        <v>848</v>
      </c>
      <c r="X1694" t="s">
        <v>8262</v>
      </c>
      <c r="Y1694" t="s">
        <v>8263</v>
      </c>
      <c r="AF1694" t="s">
        <v>13</v>
      </c>
      <c r="AG1694" t="str">
        <f>HYPERLINK("https://doi.org/10.1515/9781474472821")</f>
        <v>https://doi.org/10.1515/9781474472821</v>
      </c>
      <c r="AH1694" t="str">
        <f>HYPERLINK("http://www.degruyter.com/isbn/9781474472821")</f>
        <v>http://www.degruyter.com/isbn/9781474472821</v>
      </c>
      <c r="AI1694" t="s">
        <v>24</v>
      </c>
      <c r="AL1694" t="s">
        <v>1070</v>
      </c>
      <c r="AM1694">
        <v>1</v>
      </c>
      <c r="AN1694" s="2">
        <v>9780748613458</v>
      </c>
    </row>
    <row r="1695" spans="1:40" x14ac:dyDescent="0.3">
      <c r="A1695" t="s">
        <v>8264</v>
      </c>
      <c r="B1695" t="s">
        <v>1</v>
      </c>
      <c r="C1695" t="s">
        <v>8265</v>
      </c>
      <c r="D1695" t="s">
        <v>7030</v>
      </c>
      <c r="E1695" t="s">
        <v>8266</v>
      </c>
      <c r="F1695" t="s">
        <v>5</v>
      </c>
      <c r="G1695" t="s">
        <v>6</v>
      </c>
      <c r="L1695" t="s">
        <v>7</v>
      </c>
      <c r="M1695">
        <v>2008</v>
      </c>
      <c r="N1695" s="1">
        <v>39518</v>
      </c>
      <c r="O1695" t="s">
        <v>8267</v>
      </c>
      <c r="P1695">
        <v>1</v>
      </c>
      <c r="Q1695" t="s">
        <v>7033</v>
      </c>
      <c r="S1695">
        <v>253.95</v>
      </c>
      <c r="T1695">
        <v>290</v>
      </c>
      <c r="U1695">
        <v>220</v>
      </c>
      <c r="V1695" t="s">
        <v>79</v>
      </c>
      <c r="W1695" t="s">
        <v>227</v>
      </c>
      <c r="X1695" t="s">
        <v>234</v>
      </c>
      <c r="Y1695" t="s">
        <v>355</v>
      </c>
      <c r="AF1695" t="s">
        <v>13</v>
      </c>
      <c r="AG1695" t="str">
        <f>HYPERLINK("https://doi.org/10.1515/9780748631476")</f>
        <v>https://doi.org/10.1515/9780748631476</v>
      </c>
      <c r="AH1695" t="str">
        <f>HYPERLINK("http://www.degruyter.com/isbn/9780748631476")</f>
        <v>http://www.degruyter.com/isbn/9780748631476</v>
      </c>
      <c r="AI1695" t="s">
        <v>68</v>
      </c>
      <c r="AL1695" t="s">
        <v>83</v>
      </c>
      <c r="AM1695">
        <v>1</v>
      </c>
      <c r="AN1695" s="2">
        <v>9780748627370</v>
      </c>
    </row>
    <row r="1696" spans="1:40" x14ac:dyDescent="0.3">
      <c r="A1696" t="s">
        <v>8268</v>
      </c>
      <c r="B1696" t="s">
        <v>1</v>
      </c>
      <c r="C1696" t="s">
        <v>8269</v>
      </c>
      <c r="D1696" t="s">
        <v>8270</v>
      </c>
      <c r="E1696" t="s">
        <v>8271</v>
      </c>
      <c r="F1696" t="s">
        <v>5</v>
      </c>
      <c r="G1696" t="s">
        <v>6</v>
      </c>
      <c r="L1696" t="s">
        <v>7</v>
      </c>
      <c r="M1696">
        <v>2016</v>
      </c>
      <c r="N1696" s="1">
        <v>42444</v>
      </c>
      <c r="O1696" t="s">
        <v>8272</v>
      </c>
      <c r="P1696">
        <v>1</v>
      </c>
      <c r="S1696">
        <v>253.95</v>
      </c>
      <c r="T1696">
        <v>290</v>
      </c>
      <c r="U1696">
        <v>220</v>
      </c>
      <c r="V1696" t="s">
        <v>42</v>
      </c>
      <c r="W1696" t="s">
        <v>161</v>
      </c>
      <c r="X1696" t="s">
        <v>162</v>
      </c>
      <c r="Y1696" t="s">
        <v>8273</v>
      </c>
      <c r="AF1696" t="s">
        <v>13</v>
      </c>
      <c r="AG1696" t="str">
        <f>HYPERLINK("https://doi.org/10.1515/9781474410809")</f>
        <v>https://doi.org/10.1515/9781474410809</v>
      </c>
      <c r="AH1696" t="str">
        <f>HYPERLINK("http://www.degruyter.com/isbn/9781474410809")</f>
        <v>http://www.degruyter.com/isbn/9781474410809</v>
      </c>
      <c r="AI1696" t="s">
        <v>1941</v>
      </c>
      <c r="AL1696" t="s">
        <v>47</v>
      </c>
      <c r="AM1696">
        <v>1</v>
      </c>
      <c r="AN1696" s="2">
        <v>9781474410786</v>
      </c>
    </row>
    <row r="1697" spans="1:40" x14ac:dyDescent="0.3">
      <c r="A1697" t="s">
        <v>8274</v>
      </c>
      <c r="B1697" t="s">
        <v>1</v>
      </c>
      <c r="C1697" t="s">
        <v>8275</v>
      </c>
      <c r="D1697" t="s">
        <v>8276</v>
      </c>
      <c r="E1697" t="s">
        <v>8277</v>
      </c>
      <c r="F1697" t="s">
        <v>5</v>
      </c>
      <c r="G1697" t="s">
        <v>6</v>
      </c>
      <c r="L1697" t="s">
        <v>7</v>
      </c>
      <c r="M1697">
        <v>1994</v>
      </c>
      <c r="N1697" s="1">
        <v>44719</v>
      </c>
      <c r="O1697" t="s">
        <v>8278</v>
      </c>
      <c r="P1697">
        <v>1</v>
      </c>
      <c r="S1697">
        <v>305.95</v>
      </c>
      <c r="T1697">
        <v>350</v>
      </c>
      <c r="U1697">
        <v>270</v>
      </c>
      <c r="V1697" t="s">
        <v>20</v>
      </c>
      <c r="W1697" t="s">
        <v>21</v>
      </c>
      <c r="X1697" t="s">
        <v>22</v>
      </c>
      <c r="Y1697" t="s">
        <v>23</v>
      </c>
      <c r="AF1697" t="s">
        <v>13</v>
      </c>
      <c r="AG1697" t="str">
        <f>HYPERLINK("https://doi.org/10.1515/9781474472494")</f>
        <v>https://doi.org/10.1515/9781474472494</v>
      </c>
      <c r="AH1697" t="str">
        <f>HYPERLINK("http://www.degruyter.com/isbn/9781474472494")</f>
        <v>http://www.degruyter.com/isbn/9781474472494</v>
      </c>
      <c r="AI1697" t="s">
        <v>24</v>
      </c>
      <c r="AL1697" t="s">
        <v>15</v>
      </c>
      <c r="AM1697">
        <v>1</v>
      </c>
      <c r="AN1697" s="2">
        <v>9781853310485</v>
      </c>
    </row>
    <row r="1698" spans="1:40" x14ac:dyDescent="0.3">
      <c r="A1698" t="s">
        <v>8279</v>
      </c>
      <c r="B1698" t="s">
        <v>1</v>
      </c>
      <c r="C1698" t="s">
        <v>8280</v>
      </c>
      <c r="D1698" t="s">
        <v>8281</v>
      </c>
      <c r="E1698" t="s">
        <v>8282</v>
      </c>
      <c r="F1698" t="s">
        <v>5</v>
      </c>
      <c r="G1698" t="s">
        <v>6</v>
      </c>
      <c r="L1698" t="s">
        <v>7</v>
      </c>
      <c r="M1698">
        <v>2017</v>
      </c>
      <c r="N1698" s="1">
        <v>42919</v>
      </c>
      <c r="O1698" t="s">
        <v>8283</v>
      </c>
      <c r="P1698">
        <v>1</v>
      </c>
      <c r="S1698">
        <v>253.95</v>
      </c>
      <c r="T1698">
        <v>290</v>
      </c>
      <c r="U1698">
        <v>220</v>
      </c>
      <c r="V1698" t="s">
        <v>58</v>
      </c>
      <c r="W1698" t="s">
        <v>59</v>
      </c>
      <c r="X1698" t="s">
        <v>60</v>
      </c>
      <c r="Y1698" t="s">
        <v>169</v>
      </c>
      <c r="AF1698" t="s">
        <v>13</v>
      </c>
      <c r="AG1698" t="str">
        <f>HYPERLINK("https://doi.org/10.1515/9781474419109")</f>
        <v>https://doi.org/10.1515/9781474419109</v>
      </c>
      <c r="AH1698" t="str">
        <f>HYPERLINK("http://www.degruyter.com/isbn/9781474419109")</f>
        <v>http://www.degruyter.com/isbn/9781474419109</v>
      </c>
      <c r="AI1698" t="s">
        <v>222</v>
      </c>
      <c r="AL1698" t="s">
        <v>62</v>
      </c>
      <c r="AM1698">
        <v>1</v>
      </c>
      <c r="AN1698" s="2">
        <v>9781474419086</v>
      </c>
    </row>
    <row r="1699" spans="1:40" x14ac:dyDescent="0.3">
      <c r="A1699" t="s">
        <v>8284</v>
      </c>
      <c r="B1699" t="s">
        <v>1</v>
      </c>
      <c r="C1699" t="s">
        <v>8285</v>
      </c>
      <c r="E1699" t="s">
        <v>8286</v>
      </c>
      <c r="F1699" t="s">
        <v>5</v>
      </c>
      <c r="G1699" t="s">
        <v>6</v>
      </c>
      <c r="L1699" t="s">
        <v>7</v>
      </c>
      <c r="M1699">
        <v>2014</v>
      </c>
      <c r="N1699" s="1">
        <v>41682</v>
      </c>
      <c r="O1699" t="s">
        <v>771</v>
      </c>
      <c r="P1699">
        <v>1</v>
      </c>
      <c r="S1699">
        <v>253.95</v>
      </c>
      <c r="T1699">
        <v>290</v>
      </c>
      <c r="U1699">
        <v>220</v>
      </c>
      <c r="V1699" t="s">
        <v>58</v>
      </c>
      <c r="W1699" t="s">
        <v>59</v>
      </c>
      <c r="X1699" t="s">
        <v>60</v>
      </c>
      <c r="Y1699" t="s">
        <v>145</v>
      </c>
      <c r="AF1699" t="s">
        <v>13</v>
      </c>
      <c r="AG1699" t="str">
        <f>HYPERLINK("https://doi.org/10.1515/9780748692385?locatt=mode:legacy")</f>
        <v>https://doi.org/10.1515/9780748692385?locatt=mode:legacy</v>
      </c>
      <c r="AH1699" t="str">
        <f>HYPERLINK("http://www.degruyter.com/isbn/9780748692385")</f>
        <v>http://www.degruyter.com/isbn/9780748692385</v>
      </c>
      <c r="AI1699" t="s">
        <v>34</v>
      </c>
      <c r="AL1699" t="s">
        <v>62</v>
      </c>
      <c r="AM1699">
        <v>1</v>
      </c>
      <c r="AN1699" s="2">
        <v>9780748692361</v>
      </c>
    </row>
    <row r="1700" spans="1:40" x14ac:dyDescent="0.3">
      <c r="A1700" t="s">
        <v>8287</v>
      </c>
      <c r="B1700" t="s">
        <v>1</v>
      </c>
      <c r="C1700" t="s">
        <v>8288</v>
      </c>
      <c r="E1700" t="s">
        <v>8289</v>
      </c>
      <c r="F1700" t="s">
        <v>5</v>
      </c>
      <c r="G1700" t="s">
        <v>6</v>
      </c>
      <c r="L1700" t="s">
        <v>7</v>
      </c>
      <c r="M1700">
        <v>2003</v>
      </c>
      <c r="N1700" s="1">
        <v>44607</v>
      </c>
      <c r="O1700" t="s">
        <v>398</v>
      </c>
      <c r="P1700">
        <v>1</v>
      </c>
      <c r="S1700">
        <v>217.95</v>
      </c>
      <c r="T1700">
        <v>250</v>
      </c>
      <c r="U1700">
        <v>190</v>
      </c>
      <c r="V1700" t="s">
        <v>58</v>
      </c>
      <c r="W1700" t="s">
        <v>1135</v>
      </c>
      <c r="X1700" t="s">
        <v>1136</v>
      </c>
      <c r="Y1700" t="s">
        <v>1137</v>
      </c>
      <c r="AF1700" t="s">
        <v>13</v>
      </c>
      <c r="AG1700" t="str">
        <f>HYPERLINK("https://doi.org/10.1515/9781474471565")</f>
        <v>https://doi.org/10.1515/9781474471565</v>
      </c>
      <c r="AH1700" t="str">
        <f>HYPERLINK("http://www.degruyter.com/isbn/9781474471565")</f>
        <v>http://www.degruyter.com/isbn/9781474471565</v>
      </c>
      <c r="AI1700" t="s">
        <v>68</v>
      </c>
      <c r="AL1700" t="s">
        <v>62</v>
      </c>
      <c r="AM1700">
        <v>1</v>
      </c>
      <c r="AN1700" s="2">
        <v>9780748615902</v>
      </c>
    </row>
    <row r="1701" spans="1:40" x14ac:dyDescent="0.3">
      <c r="A1701" t="s">
        <v>8290</v>
      </c>
      <c r="B1701" t="s">
        <v>1</v>
      </c>
      <c r="C1701" t="s">
        <v>8291</v>
      </c>
      <c r="E1701" t="s">
        <v>8292</v>
      </c>
      <c r="F1701" t="s">
        <v>5</v>
      </c>
      <c r="G1701" t="s">
        <v>6</v>
      </c>
      <c r="L1701" t="s">
        <v>7</v>
      </c>
      <c r="M1701">
        <v>1998</v>
      </c>
      <c r="N1701" s="1">
        <v>44656</v>
      </c>
      <c r="O1701" t="s">
        <v>8293</v>
      </c>
      <c r="P1701">
        <v>1</v>
      </c>
      <c r="Q1701" t="s">
        <v>6815</v>
      </c>
      <c r="S1701">
        <v>217.95</v>
      </c>
      <c r="T1701">
        <v>250</v>
      </c>
      <c r="U1701">
        <v>190</v>
      </c>
      <c r="V1701" t="s">
        <v>20</v>
      </c>
      <c r="W1701" t="s">
        <v>21</v>
      </c>
      <c r="X1701" t="s">
        <v>3445</v>
      </c>
      <c r="Y1701" t="s">
        <v>3446</v>
      </c>
      <c r="AF1701" t="s">
        <v>13</v>
      </c>
      <c r="AG1701" t="str">
        <f>HYPERLINK("https://doi.org/10.1515/9780585123455")</f>
        <v>https://doi.org/10.1515/9780585123455</v>
      </c>
      <c r="AH1701" t="str">
        <f>HYPERLINK("http://www.degruyter.com/isbn/9780585123455")</f>
        <v>http://www.degruyter.com/isbn/9780585123455</v>
      </c>
      <c r="AI1701" t="s">
        <v>24</v>
      </c>
      <c r="AL1701" t="s">
        <v>15</v>
      </c>
      <c r="AM1701">
        <v>1</v>
      </c>
      <c r="AN1701" s="2">
        <v>9781853312090</v>
      </c>
    </row>
    <row r="1702" spans="1:40" x14ac:dyDescent="0.3">
      <c r="A1702" t="s">
        <v>8294</v>
      </c>
      <c r="B1702" t="s">
        <v>1</v>
      </c>
      <c r="C1702" t="s">
        <v>8295</v>
      </c>
      <c r="D1702" t="s">
        <v>8296</v>
      </c>
      <c r="E1702" t="s">
        <v>8297</v>
      </c>
      <c r="F1702" t="s">
        <v>5</v>
      </c>
      <c r="G1702" t="s">
        <v>6</v>
      </c>
      <c r="L1702" t="s">
        <v>7</v>
      </c>
      <c r="M1702">
        <v>2016</v>
      </c>
      <c r="N1702" s="1">
        <v>42713</v>
      </c>
      <c r="O1702" t="s">
        <v>8298</v>
      </c>
      <c r="P1702">
        <v>1</v>
      </c>
      <c r="S1702">
        <v>217.95</v>
      </c>
      <c r="T1702">
        <v>250</v>
      </c>
      <c r="U1702">
        <v>190</v>
      </c>
      <c r="V1702" t="s">
        <v>42</v>
      </c>
      <c r="W1702" t="s">
        <v>43</v>
      </c>
      <c r="X1702" t="s">
        <v>44</v>
      </c>
      <c r="Y1702" t="s">
        <v>45</v>
      </c>
      <c r="AF1702" t="s">
        <v>13</v>
      </c>
      <c r="AG1702" t="str">
        <f>HYPERLINK("https://doi.org/10.1515/9781474406734")</f>
        <v>https://doi.org/10.1515/9781474406734</v>
      </c>
      <c r="AH1702" t="str">
        <f>HYPERLINK("http://www.degruyter.com/isbn/9781474406734")</f>
        <v>http://www.degruyter.com/isbn/9781474406734</v>
      </c>
      <c r="AI1702" t="s">
        <v>180</v>
      </c>
      <c r="AL1702" t="s">
        <v>47</v>
      </c>
      <c r="AM1702">
        <v>1</v>
      </c>
      <c r="AN1702" s="2">
        <v>9781474406727</v>
      </c>
    </row>
    <row r="1703" spans="1:40" x14ac:dyDescent="0.3">
      <c r="A1703" t="s">
        <v>8299</v>
      </c>
      <c r="B1703" t="s">
        <v>1</v>
      </c>
      <c r="C1703" t="s">
        <v>8300</v>
      </c>
      <c r="D1703" t="s">
        <v>27</v>
      </c>
      <c r="E1703" t="s">
        <v>8301</v>
      </c>
      <c r="F1703" t="s">
        <v>5</v>
      </c>
      <c r="G1703" t="s">
        <v>6</v>
      </c>
      <c r="L1703" t="s">
        <v>7</v>
      </c>
      <c r="M1703">
        <v>2019</v>
      </c>
      <c r="N1703" s="1">
        <v>44656</v>
      </c>
      <c r="O1703" t="s">
        <v>8302</v>
      </c>
      <c r="P1703">
        <v>1</v>
      </c>
      <c r="Q1703" t="s">
        <v>6923</v>
      </c>
      <c r="S1703">
        <v>243.95</v>
      </c>
      <c r="T1703">
        <v>280</v>
      </c>
      <c r="U1703">
        <v>210</v>
      </c>
      <c r="V1703" t="s">
        <v>20</v>
      </c>
      <c r="W1703" t="s">
        <v>21</v>
      </c>
      <c r="X1703" t="s">
        <v>4875</v>
      </c>
      <c r="Y1703" t="s">
        <v>4876</v>
      </c>
      <c r="AF1703" t="s">
        <v>13</v>
      </c>
      <c r="AG1703" t="str">
        <f>HYPERLINK("https://doi.org/10.1515/9781474416344")</f>
        <v>https://doi.org/10.1515/9781474416344</v>
      </c>
      <c r="AH1703" t="str">
        <f>HYPERLINK("http://www.degruyter.com/isbn/9781474416344")</f>
        <v>http://www.degruyter.com/isbn/9781474416344</v>
      </c>
      <c r="AI1703" t="s">
        <v>280</v>
      </c>
      <c r="AJ1703" t="s">
        <v>35</v>
      </c>
      <c r="AL1703" t="s">
        <v>1346</v>
      </c>
      <c r="AM1703">
        <v>1</v>
      </c>
      <c r="AN1703" s="2">
        <v>9781474416320</v>
      </c>
    </row>
    <row r="1704" spans="1:40" x14ac:dyDescent="0.3">
      <c r="A1704" t="s">
        <v>8303</v>
      </c>
      <c r="B1704" t="s">
        <v>1</v>
      </c>
      <c r="C1704" t="s">
        <v>8304</v>
      </c>
      <c r="E1704" t="s">
        <v>8305</v>
      </c>
      <c r="F1704" t="s">
        <v>5</v>
      </c>
      <c r="G1704" t="s">
        <v>6</v>
      </c>
      <c r="L1704" t="s">
        <v>7</v>
      </c>
      <c r="M1704">
        <v>2014</v>
      </c>
      <c r="N1704" s="1">
        <v>41743</v>
      </c>
      <c r="O1704" t="s">
        <v>7173</v>
      </c>
      <c r="P1704">
        <v>1</v>
      </c>
      <c r="Q1704" t="s">
        <v>7174</v>
      </c>
      <c r="S1704">
        <v>227.95</v>
      </c>
      <c r="T1704">
        <v>260</v>
      </c>
      <c r="U1704">
        <v>200</v>
      </c>
      <c r="V1704" t="s">
        <v>42</v>
      </c>
      <c r="W1704" t="s">
        <v>161</v>
      </c>
      <c r="X1704" t="s">
        <v>162</v>
      </c>
      <c r="Y1704" t="s">
        <v>896</v>
      </c>
      <c r="AF1704" t="s">
        <v>13</v>
      </c>
      <c r="AG1704" t="str">
        <f>HYPERLINK("https://doi.org/10.1515/9780748670178?locatt=mode:legacy")</f>
        <v>https://doi.org/10.1515/9780748670178?locatt=mode:legacy</v>
      </c>
      <c r="AH1704" t="str">
        <f>HYPERLINK("http://www.degruyter.com/isbn/9780748670178")</f>
        <v>http://www.degruyter.com/isbn/9780748670178</v>
      </c>
      <c r="AI1704" t="s">
        <v>7004</v>
      </c>
      <c r="AL1704" t="s">
        <v>47</v>
      </c>
      <c r="AM1704">
        <v>1</v>
      </c>
      <c r="AN1704" s="2">
        <v>9780748641048</v>
      </c>
    </row>
    <row r="1705" spans="1:40" x14ac:dyDescent="0.3">
      <c r="A1705" t="s">
        <v>8306</v>
      </c>
      <c r="B1705" t="s">
        <v>1</v>
      </c>
      <c r="C1705" t="s">
        <v>8307</v>
      </c>
      <c r="E1705" t="s">
        <v>8308</v>
      </c>
      <c r="F1705" t="s">
        <v>5</v>
      </c>
      <c r="G1705" t="s">
        <v>6</v>
      </c>
      <c r="L1705" t="s">
        <v>7</v>
      </c>
      <c r="M1705">
        <v>2021</v>
      </c>
      <c r="N1705" s="1">
        <v>44644</v>
      </c>
      <c r="O1705" t="s">
        <v>8309</v>
      </c>
      <c r="P1705">
        <v>1</v>
      </c>
      <c r="S1705">
        <v>243.95</v>
      </c>
      <c r="T1705">
        <v>280</v>
      </c>
      <c r="U1705">
        <v>210</v>
      </c>
      <c r="V1705" t="s">
        <v>42</v>
      </c>
      <c r="W1705" t="s">
        <v>290</v>
      </c>
      <c r="X1705" t="s">
        <v>290</v>
      </c>
      <c r="Y1705" t="s">
        <v>515</v>
      </c>
      <c r="AF1705" t="s">
        <v>13</v>
      </c>
      <c r="AG1705" t="str">
        <f>HYPERLINK("https://doi.org/10.1515/9781474461108")</f>
        <v>https://doi.org/10.1515/9781474461108</v>
      </c>
      <c r="AH1705" t="str">
        <f>HYPERLINK("http://www.degruyter.com/isbn/9781474461108")</f>
        <v>http://www.degruyter.com/isbn/9781474461108</v>
      </c>
      <c r="AI1705" t="s">
        <v>1561</v>
      </c>
      <c r="AL1705" t="s">
        <v>47</v>
      </c>
      <c r="AM1705">
        <v>1</v>
      </c>
      <c r="AN1705" s="2">
        <v>9781474461085</v>
      </c>
    </row>
    <row r="1706" spans="1:40" x14ac:dyDescent="0.3">
      <c r="A1706" t="s">
        <v>8310</v>
      </c>
      <c r="B1706" t="s">
        <v>1</v>
      </c>
      <c r="C1706" t="s">
        <v>8311</v>
      </c>
      <c r="E1706" t="s">
        <v>8312</v>
      </c>
      <c r="F1706" t="s">
        <v>5</v>
      </c>
      <c r="G1706" t="s">
        <v>6</v>
      </c>
      <c r="L1706" t="s">
        <v>7</v>
      </c>
      <c r="M1706">
        <v>2019</v>
      </c>
      <c r="N1706" s="1">
        <v>44644</v>
      </c>
      <c r="O1706" t="s">
        <v>8313</v>
      </c>
      <c r="P1706">
        <v>1</v>
      </c>
      <c r="S1706">
        <v>217.95</v>
      </c>
      <c r="T1706">
        <v>250</v>
      </c>
      <c r="U1706">
        <v>190</v>
      </c>
      <c r="V1706" t="s">
        <v>98</v>
      </c>
      <c r="W1706" t="s">
        <v>99</v>
      </c>
      <c r="X1706" t="s">
        <v>386</v>
      </c>
      <c r="Y1706" t="s">
        <v>387</v>
      </c>
      <c r="AF1706" t="s">
        <v>13</v>
      </c>
      <c r="AG1706" t="str">
        <f>HYPERLINK("https://doi.org/10.1515/9781474430555?locatt=mode:legacy")</f>
        <v>https://doi.org/10.1515/9781474430555?locatt=mode:legacy</v>
      </c>
      <c r="AH1706" t="str">
        <f>HYPERLINK("http://www.degruyter.com/isbn/9781474430555")</f>
        <v>http://www.degruyter.com/isbn/9781474430555</v>
      </c>
      <c r="AI1706" t="s">
        <v>280</v>
      </c>
      <c r="AL1706" t="s">
        <v>102</v>
      </c>
      <c r="AM1706">
        <v>1</v>
      </c>
      <c r="AN1706" s="2">
        <v>9781474430531</v>
      </c>
    </row>
    <row r="1707" spans="1:40" x14ac:dyDescent="0.3">
      <c r="A1707" t="s">
        <v>8314</v>
      </c>
      <c r="B1707" t="s">
        <v>1</v>
      </c>
      <c r="C1707" t="s">
        <v>8315</v>
      </c>
      <c r="E1707" t="s">
        <v>8316</v>
      </c>
      <c r="F1707" t="s">
        <v>5</v>
      </c>
      <c r="G1707" t="s">
        <v>6</v>
      </c>
      <c r="L1707" t="s">
        <v>7</v>
      </c>
      <c r="M1707">
        <v>2007</v>
      </c>
      <c r="N1707" s="1">
        <v>39232</v>
      </c>
      <c r="O1707" t="s">
        <v>2752</v>
      </c>
      <c r="P1707">
        <v>1</v>
      </c>
      <c r="Q1707" t="s">
        <v>8317</v>
      </c>
      <c r="S1707">
        <v>217.95</v>
      </c>
      <c r="T1707">
        <v>250</v>
      </c>
      <c r="U1707">
        <v>190</v>
      </c>
      <c r="V1707" t="s">
        <v>42</v>
      </c>
      <c r="W1707" t="s">
        <v>43</v>
      </c>
      <c r="X1707" t="s">
        <v>44</v>
      </c>
      <c r="Y1707" t="s">
        <v>45</v>
      </c>
      <c r="AF1707" t="s">
        <v>13</v>
      </c>
      <c r="AG1707" t="str">
        <f>HYPERLINK("https://doi.org/10.1515/9780748629282")</f>
        <v>https://doi.org/10.1515/9780748629282</v>
      </c>
      <c r="AH1707" t="str">
        <f>HYPERLINK("http://www.degruyter.com/isbn/9780748629282")</f>
        <v>http://www.degruyter.com/isbn/9780748629282</v>
      </c>
      <c r="AI1707" t="s">
        <v>68</v>
      </c>
      <c r="AL1707" t="s">
        <v>47</v>
      </c>
      <c r="AM1707">
        <v>1</v>
      </c>
      <c r="AN1707" s="2">
        <v>9780748620715</v>
      </c>
    </row>
    <row r="1708" spans="1:40" x14ac:dyDescent="0.3">
      <c r="A1708" t="s">
        <v>8318</v>
      </c>
      <c r="B1708" t="s">
        <v>1</v>
      </c>
      <c r="C1708" t="s">
        <v>8319</v>
      </c>
      <c r="E1708" t="s">
        <v>8320</v>
      </c>
      <c r="F1708" t="s">
        <v>5</v>
      </c>
      <c r="G1708" t="s">
        <v>6</v>
      </c>
      <c r="L1708" t="s">
        <v>7</v>
      </c>
      <c r="M1708">
        <v>2000</v>
      </c>
      <c r="N1708" s="1">
        <v>44607</v>
      </c>
      <c r="O1708" t="s">
        <v>8321</v>
      </c>
      <c r="P1708">
        <v>1</v>
      </c>
      <c r="S1708">
        <v>217.95</v>
      </c>
      <c r="T1708">
        <v>250</v>
      </c>
      <c r="U1708">
        <v>190</v>
      </c>
      <c r="V1708" t="s">
        <v>58</v>
      </c>
      <c r="W1708" t="s">
        <v>129</v>
      </c>
      <c r="X1708" t="s">
        <v>130</v>
      </c>
      <c r="Y1708" t="s">
        <v>8252</v>
      </c>
      <c r="AF1708" t="s">
        <v>13</v>
      </c>
      <c r="AG1708" t="str">
        <f>HYPERLINK("https://doi.org/10.1515/9781474471084")</f>
        <v>https://doi.org/10.1515/9781474471084</v>
      </c>
      <c r="AH1708" t="str">
        <f>HYPERLINK("http://www.degruyter.com/isbn/9781474471084")</f>
        <v>http://www.degruyter.com/isbn/9781474471084</v>
      </c>
      <c r="AI1708" t="s">
        <v>68</v>
      </c>
      <c r="AL1708" t="s">
        <v>62</v>
      </c>
      <c r="AM1708">
        <v>1</v>
      </c>
      <c r="AN1708" s="2">
        <v>9780748611799</v>
      </c>
    </row>
    <row r="1709" spans="1:40" x14ac:dyDescent="0.3">
      <c r="A1709" t="s">
        <v>8322</v>
      </c>
      <c r="B1709" t="s">
        <v>1</v>
      </c>
      <c r="C1709" t="s">
        <v>8323</v>
      </c>
      <c r="D1709" t="s">
        <v>8324</v>
      </c>
      <c r="E1709" t="s">
        <v>8325</v>
      </c>
      <c r="F1709" t="s">
        <v>5</v>
      </c>
      <c r="G1709" t="s">
        <v>6</v>
      </c>
      <c r="L1709" t="s">
        <v>7</v>
      </c>
      <c r="M1709">
        <v>2018</v>
      </c>
      <c r="N1709" s="1">
        <v>44656</v>
      </c>
      <c r="O1709" t="s">
        <v>8326</v>
      </c>
      <c r="P1709">
        <v>1</v>
      </c>
      <c r="S1709">
        <v>253.95</v>
      </c>
      <c r="T1709">
        <v>290</v>
      </c>
      <c r="U1709">
        <v>220</v>
      </c>
      <c r="V1709" t="s">
        <v>20</v>
      </c>
      <c r="W1709" t="s">
        <v>21</v>
      </c>
      <c r="X1709" t="s">
        <v>22</v>
      </c>
      <c r="Y1709" t="s">
        <v>23</v>
      </c>
      <c r="AF1709" t="s">
        <v>13</v>
      </c>
      <c r="AG1709" t="str">
        <f>HYPERLINK("https://doi.org/10.1515/9781474432771")</f>
        <v>https://doi.org/10.1515/9781474432771</v>
      </c>
      <c r="AH1709" t="str">
        <f>HYPERLINK("http://www.degruyter.com/isbn/9781474432771")</f>
        <v>http://www.degruyter.com/isbn/9781474432771</v>
      </c>
      <c r="AI1709" t="s">
        <v>46</v>
      </c>
      <c r="AL1709" t="s">
        <v>15</v>
      </c>
      <c r="AM1709">
        <v>1</v>
      </c>
      <c r="AN1709" s="2">
        <v>9781474432757</v>
      </c>
    </row>
    <row r="1710" spans="1:40" x14ac:dyDescent="0.3">
      <c r="A1710" t="s">
        <v>8327</v>
      </c>
      <c r="B1710" t="s">
        <v>1</v>
      </c>
      <c r="C1710" t="s">
        <v>8328</v>
      </c>
      <c r="D1710" t="s">
        <v>8329</v>
      </c>
      <c r="E1710" t="s">
        <v>8330</v>
      </c>
      <c r="F1710" t="s">
        <v>5</v>
      </c>
      <c r="G1710" t="s">
        <v>6</v>
      </c>
      <c r="L1710" t="s">
        <v>7</v>
      </c>
      <c r="M1710">
        <v>2018</v>
      </c>
      <c r="N1710" s="1">
        <v>44644</v>
      </c>
      <c r="O1710" t="s">
        <v>8331</v>
      </c>
      <c r="P1710">
        <v>1</v>
      </c>
      <c r="S1710">
        <v>253.95</v>
      </c>
      <c r="T1710">
        <v>290</v>
      </c>
      <c r="U1710">
        <v>220</v>
      </c>
      <c r="V1710" t="s">
        <v>79</v>
      </c>
      <c r="W1710" t="s">
        <v>783</v>
      </c>
      <c r="X1710" t="s">
        <v>783</v>
      </c>
      <c r="Y1710" t="s">
        <v>784</v>
      </c>
      <c r="AF1710" t="s">
        <v>13</v>
      </c>
      <c r="AG1710" t="str">
        <f>HYPERLINK("https://doi.org/10.1515/9781474422970")</f>
        <v>https://doi.org/10.1515/9781474422970</v>
      </c>
      <c r="AH1710" t="str">
        <f>HYPERLINK("http://www.degruyter.com/isbn/9781474422970")</f>
        <v>http://www.degruyter.com/isbn/9781474422970</v>
      </c>
      <c r="AI1710" t="s">
        <v>46</v>
      </c>
      <c r="AL1710" t="s">
        <v>83</v>
      </c>
      <c r="AM1710">
        <v>1</v>
      </c>
      <c r="AN1710" s="2">
        <v>9781474422963</v>
      </c>
    </row>
    <row r="1711" spans="1:40" x14ac:dyDescent="0.3">
      <c r="A1711" t="s">
        <v>8332</v>
      </c>
      <c r="B1711" t="s">
        <v>1</v>
      </c>
      <c r="C1711" t="s">
        <v>8333</v>
      </c>
      <c r="D1711" t="s">
        <v>8334</v>
      </c>
      <c r="E1711" t="s">
        <v>8335</v>
      </c>
      <c r="F1711" t="s">
        <v>5</v>
      </c>
      <c r="G1711" t="s">
        <v>6</v>
      </c>
      <c r="L1711" t="s">
        <v>7</v>
      </c>
      <c r="M1711">
        <v>2010</v>
      </c>
      <c r="N1711" s="1">
        <v>40276</v>
      </c>
      <c r="O1711" t="s">
        <v>8336</v>
      </c>
      <c r="P1711">
        <v>1</v>
      </c>
      <c r="Q1711" t="s">
        <v>6606</v>
      </c>
      <c r="S1711">
        <v>227.95</v>
      </c>
      <c r="T1711">
        <v>260</v>
      </c>
      <c r="U1711">
        <v>200</v>
      </c>
      <c r="V1711" t="s">
        <v>79</v>
      </c>
      <c r="W1711" t="s">
        <v>209</v>
      </c>
      <c r="X1711" t="s">
        <v>209</v>
      </c>
      <c r="Y1711" t="s">
        <v>510</v>
      </c>
      <c r="AF1711" t="s">
        <v>13</v>
      </c>
      <c r="AG1711" t="str">
        <f>HYPERLINK("https://www.degruyter.com/isbn/9781474470759")</f>
        <v>https://www.degruyter.com/isbn/9781474470759</v>
      </c>
      <c r="AH1711" t="str">
        <f>HYPERLINK("http://www.degruyter.com/isbn/9781474470759")</f>
        <v>http://www.degruyter.com/isbn/9781474470759</v>
      </c>
      <c r="AI1711" t="s">
        <v>68</v>
      </c>
      <c r="AL1711" t="s">
        <v>83</v>
      </c>
      <c r="AM1711">
        <v>1</v>
      </c>
      <c r="AN1711" s="2">
        <v>9780748638826</v>
      </c>
    </row>
    <row r="1712" spans="1:40" x14ac:dyDescent="0.3">
      <c r="A1712" t="s">
        <v>8337</v>
      </c>
      <c r="B1712" t="s">
        <v>1</v>
      </c>
      <c r="C1712" t="s">
        <v>8338</v>
      </c>
      <c r="D1712" t="s">
        <v>8339</v>
      </c>
      <c r="E1712" t="s">
        <v>8340</v>
      </c>
      <c r="F1712" t="s">
        <v>5</v>
      </c>
      <c r="G1712" t="s">
        <v>6</v>
      </c>
      <c r="L1712" t="s">
        <v>7</v>
      </c>
      <c r="M1712">
        <v>2019</v>
      </c>
      <c r="N1712" s="1">
        <v>44644</v>
      </c>
      <c r="O1712" t="s">
        <v>8341</v>
      </c>
      <c r="P1712">
        <v>1</v>
      </c>
      <c r="Q1712" t="s">
        <v>7283</v>
      </c>
      <c r="S1712">
        <v>217.95</v>
      </c>
      <c r="T1712">
        <v>250</v>
      </c>
      <c r="U1712">
        <v>190</v>
      </c>
      <c r="V1712" t="s">
        <v>305</v>
      </c>
      <c r="W1712" t="s">
        <v>8342</v>
      </c>
      <c r="X1712" t="s">
        <v>8342</v>
      </c>
      <c r="Y1712" t="s">
        <v>8343</v>
      </c>
      <c r="AF1712" t="s">
        <v>13</v>
      </c>
      <c r="AG1712" t="str">
        <f>HYPERLINK("https://doi.org/10.1515/9781474416801?locatt=mode:legacy")</f>
        <v>https://doi.org/10.1515/9781474416801?locatt=mode:legacy</v>
      </c>
      <c r="AH1712" t="str">
        <f>HYPERLINK("http://www.degruyter.com/isbn/9781474416801")</f>
        <v>http://www.degruyter.com/isbn/9781474416801</v>
      </c>
      <c r="AI1712" t="s">
        <v>2067</v>
      </c>
      <c r="AL1712" t="s">
        <v>308</v>
      </c>
      <c r="AM1712">
        <v>1</v>
      </c>
      <c r="AN1712" s="2">
        <v>9781474416795</v>
      </c>
    </row>
    <row r="1713" spans="1:40" x14ac:dyDescent="0.3">
      <c r="A1713" t="s">
        <v>8344</v>
      </c>
      <c r="B1713" t="s">
        <v>1</v>
      </c>
      <c r="C1713" t="s">
        <v>8345</v>
      </c>
      <c r="D1713" t="s">
        <v>8346</v>
      </c>
      <c r="E1713" t="s">
        <v>8347</v>
      </c>
      <c r="F1713" t="s">
        <v>5</v>
      </c>
      <c r="G1713" t="s">
        <v>6</v>
      </c>
      <c r="L1713" t="s">
        <v>7</v>
      </c>
      <c r="M1713">
        <v>2000</v>
      </c>
      <c r="N1713" s="1">
        <v>36784</v>
      </c>
      <c r="O1713" t="s">
        <v>8348</v>
      </c>
      <c r="P1713">
        <v>1</v>
      </c>
      <c r="S1713">
        <v>217.95</v>
      </c>
      <c r="T1713">
        <v>250</v>
      </c>
      <c r="U1713">
        <v>190</v>
      </c>
      <c r="V1713" t="s">
        <v>42</v>
      </c>
      <c r="W1713" t="s">
        <v>116</v>
      </c>
      <c r="X1713" t="s">
        <v>116</v>
      </c>
      <c r="Y1713" t="s">
        <v>117</v>
      </c>
      <c r="AF1713" t="s">
        <v>13</v>
      </c>
      <c r="AG1713" t="str">
        <f>HYPERLINK("https://doi.org/10.1515/9780585450827")</f>
        <v>https://doi.org/10.1515/9780585450827</v>
      </c>
      <c r="AH1713" t="str">
        <f>HYPERLINK("http://www.degruyter.com/isbn/9780585450827")</f>
        <v>http://www.degruyter.com/isbn/9780585450827</v>
      </c>
      <c r="AI1713" t="s">
        <v>68</v>
      </c>
      <c r="AL1713" t="s">
        <v>47</v>
      </c>
      <c r="AM1713">
        <v>1</v>
      </c>
      <c r="AN1713" s="2">
        <v>9780748611812</v>
      </c>
    </row>
    <row r="1714" spans="1:40" x14ac:dyDescent="0.3">
      <c r="A1714" t="s">
        <v>8349</v>
      </c>
      <c r="B1714" t="s">
        <v>1</v>
      </c>
      <c r="C1714" t="s">
        <v>8350</v>
      </c>
      <c r="D1714" t="s">
        <v>8351</v>
      </c>
      <c r="E1714" t="s">
        <v>8352</v>
      </c>
      <c r="F1714" t="s">
        <v>5</v>
      </c>
      <c r="G1714" t="s">
        <v>6</v>
      </c>
      <c r="L1714" t="s">
        <v>7</v>
      </c>
      <c r="M1714">
        <v>2014</v>
      </c>
      <c r="N1714" s="1">
        <v>44634</v>
      </c>
      <c r="O1714" t="s">
        <v>8353</v>
      </c>
      <c r="P1714">
        <v>1</v>
      </c>
      <c r="S1714">
        <v>217.95</v>
      </c>
      <c r="T1714">
        <v>250</v>
      </c>
      <c r="U1714">
        <v>190</v>
      </c>
      <c r="V1714" t="s">
        <v>42</v>
      </c>
      <c r="W1714" t="s">
        <v>107</v>
      </c>
      <c r="X1714" t="s">
        <v>108</v>
      </c>
      <c r="Y1714" t="s">
        <v>952</v>
      </c>
      <c r="AF1714" t="s">
        <v>13</v>
      </c>
      <c r="AG1714" t="str">
        <f>HYPERLINK("https://doi.org/10.1515/9781474464253")</f>
        <v>https://doi.org/10.1515/9781474464253</v>
      </c>
      <c r="AH1714" t="str">
        <f>HYPERLINK("http://www.degruyter.com/isbn/9781474464253")</f>
        <v>http://www.degruyter.com/isbn/9781474464253</v>
      </c>
      <c r="AI1714" t="s">
        <v>34</v>
      </c>
      <c r="AL1714" t="s">
        <v>47</v>
      </c>
      <c r="AM1714">
        <v>1</v>
      </c>
      <c r="AN1714" s="2">
        <v>9780748698349</v>
      </c>
    </row>
    <row r="1715" spans="1:40" x14ac:dyDescent="0.3">
      <c r="A1715" t="s">
        <v>8354</v>
      </c>
      <c r="B1715" t="s">
        <v>1</v>
      </c>
      <c r="C1715" t="s">
        <v>8355</v>
      </c>
      <c r="E1715" t="s">
        <v>8356</v>
      </c>
      <c r="F1715" t="s">
        <v>5</v>
      </c>
      <c r="G1715" t="s">
        <v>6</v>
      </c>
      <c r="L1715" t="s">
        <v>7</v>
      </c>
      <c r="M1715">
        <v>2007</v>
      </c>
      <c r="N1715" s="1">
        <v>39190</v>
      </c>
      <c r="O1715" t="s">
        <v>8357</v>
      </c>
      <c r="P1715">
        <v>1</v>
      </c>
      <c r="S1715">
        <v>295.95</v>
      </c>
      <c r="T1715">
        <v>340</v>
      </c>
      <c r="U1715">
        <v>260</v>
      </c>
      <c r="V1715" t="s">
        <v>42</v>
      </c>
      <c r="W1715" t="s">
        <v>116</v>
      </c>
      <c r="X1715" t="s">
        <v>116</v>
      </c>
      <c r="Y1715" t="s">
        <v>117</v>
      </c>
      <c r="AF1715" t="s">
        <v>13</v>
      </c>
      <c r="AG1715" t="str">
        <f>HYPERLINK("https://doi.org/10.1515/9780748629541?locatt=mode:legacy")</f>
        <v>https://doi.org/10.1515/9780748629541?locatt=mode:legacy</v>
      </c>
      <c r="AH1715" t="str">
        <f>HYPERLINK("http://www.degruyter.com/isbn/9780748629541")</f>
        <v>http://www.degruyter.com/isbn/9780748629541</v>
      </c>
      <c r="AI1715" t="s">
        <v>2534</v>
      </c>
      <c r="AL1715" t="s">
        <v>47</v>
      </c>
      <c r="AM1715">
        <v>1</v>
      </c>
      <c r="AN1715" s="2">
        <v>9780748621736</v>
      </c>
    </row>
    <row r="1716" spans="1:40" x14ac:dyDescent="0.3">
      <c r="A1716" t="s">
        <v>8358</v>
      </c>
      <c r="B1716" t="s">
        <v>1</v>
      </c>
      <c r="C1716" t="s">
        <v>8359</v>
      </c>
      <c r="D1716" t="s">
        <v>8360</v>
      </c>
      <c r="E1716" t="s">
        <v>8361</v>
      </c>
      <c r="F1716" t="s">
        <v>5</v>
      </c>
      <c r="G1716" t="s">
        <v>6</v>
      </c>
      <c r="L1716" t="s">
        <v>7</v>
      </c>
      <c r="M1716">
        <v>2018</v>
      </c>
      <c r="N1716" s="1">
        <v>44656</v>
      </c>
      <c r="O1716" t="s">
        <v>8362</v>
      </c>
      <c r="P1716">
        <v>1</v>
      </c>
      <c r="S1716">
        <v>217.95</v>
      </c>
      <c r="T1716">
        <v>250</v>
      </c>
      <c r="U1716">
        <v>190</v>
      </c>
      <c r="V1716" t="s">
        <v>42</v>
      </c>
      <c r="W1716" t="s">
        <v>161</v>
      </c>
      <c r="X1716" t="s">
        <v>162</v>
      </c>
      <c r="Y1716" t="s">
        <v>393</v>
      </c>
      <c r="AF1716" t="s">
        <v>13</v>
      </c>
      <c r="AG1716" t="str">
        <f>HYPERLINK("https://doi.org/10.1515/9781474406536?locatt=mode:legacy")</f>
        <v>https://doi.org/10.1515/9781474406536?locatt=mode:legacy</v>
      </c>
      <c r="AH1716" t="str">
        <f>HYPERLINK("http://www.degruyter.com/isbn/9781474406536")</f>
        <v>http://www.degruyter.com/isbn/9781474406536</v>
      </c>
      <c r="AI1716" t="s">
        <v>46</v>
      </c>
      <c r="AL1716" t="s">
        <v>47</v>
      </c>
      <c r="AM1716">
        <v>1</v>
      </c>
      <c r="AN1716" s="2">
        <v>9781474406529</v>
      </c>
    </row>
    <row r="1717" spans="1:40" x14ac:dyDescent="0.3">
      <c r="A1717" t="s">
        <v>8363</v>
      </c>
      <c r="B1717" t="s">
        <v>1</v>
      </c>
      <c r="C1717" t="s">
        <v>8364</v>
      </c>
      <c r="D1717" t="s">
        <v>8365</v>
      </c>
      <c r="E1717" t="s">
        <v>8366</v>
      </c>
      <c r="F1717" t="s">
        <v>5</v>
      </c>
      <c r="G1717" t="s">
        <v>6</v>
      </c>
      <c r="L1717" t="s">
        <v>7</v>
      </c>
      <c r="M1717">
        <v>2019</v>
      </c>
      <c r="N1717" s="1">
        <v>44644</v>
      </c>
      <c r="O1717" t="s">
        <v>8367</v>
      </c>
      <c r="P1717">
        <v>1</v>
      </c>
      <c r="S1717">
        <v>227.95</v>
      </c>
      <c r="T1717">
        <v>260</v>
      </c>
      <c r="U1717">
        <v>200</v>
      </c>
      <c r="V1717" t="s">
        <v>42</v>
      </c>
      <c r="W1717" t="s">
        <v>740</v>
      </c>
      <c r="X1717" t="s">
        <v>6670</v>
      </c>
      <c r="Y1717" t="s">
        <v>6671</v>
      </c>
      <c r="AF1717" t="s">
        <v>13</v>
      </c>
      <c r="AG1717" t="str">
        <f>HYPERLINK("https://doi.org/10.1515/9781474424660")</f>
        <v>https://doi.org/10.1515/9781474424660</v>
      </c>
      <c r="AH1717" t="str">
        <f>HYPERLINK("http://www.degruyter.com/isbn/9781474424660")</f>
        <v>http://www.degruyter.com/isbn/9781474424660</v>
      </c>
      <c r="AI1717" t="s">
        <v>280</v>
      </c>
      <c r="AL1717" t="s">
        <v>47</v>
      </c>
      <c r="AM1717">
        <v>1</v>
      </c>
      <c r="AN1717" s="2">
        <v>9781474424653</v>
      </c>
    </row>
    <row r="1718" spans="1:40" x14ac:dyDescent="0.3">
      <c r="A1718" t="s">
        <v>8368</v>
      </c>
      <c r="B1718" t="s">
        <v>1</v>
      </c>
      <c r="C1718" t="s">
        <v>8369</v>
      </c>
      <c r="E1718" t="s">
        <v>8370</v>
      </c>
      <c r="F1718" t="s">
        <v>5</v>
      </c>
      <c r="G1718" t="s">
        <v>6</v>
      </c>
      <c r="L1718" t="s">
        <v>7</v>
      </c>
      <c r="M1718">
        <v>2003</v>
      </c>
      <c r="N1718" s="1">
        <v>44634</v>
      </c>
      <c r="O1718" t="s">
        <v>1650</v>
      </c>
      <c r="P1718">
        <v>1</v>
      </c>
      <c r="S1718">
        <v>217.95</v>
      </c>
      <c r="T1718">
        <v>250</v>
      </c>
      <c r="U1718">
        <v>190</v>
      </c>
      <c r="V1718" t="s">
        <v>42</v>
      </c>
      <c r="W1718" t="s">
        <v>290</v>
      </c>
      <c r="X1718" t="s">
        <v>290</v>
      </c>
      <c r="Y1718" t="s">
        <v>515</v>
      </c>
      <c r="AF1718" t="s">
        <v>13</v>
      </c>
      <c r="AG1718" t="str">
        <f>HYPERLINK("https://doi.org/10.1515/9781474469401")</f>
        <v>https://doi.org/10.1515/9781474469401</v>
      </c>
      <c r="AH1718" t="str">
        <f>HYPERLINK("http://www.degruyter.com/isbn/9781474469401")</f>
        <v>http://www.degruyter.com/isbn/9781474469401</v>
      </c>
      <c r="AI1718" t="s">
        <v>68</v>
      </c>
      <c r="AL1718" t="s">
        <v>47</v>
      </c>
      <c r="AM1718">
        <v>1</v>
      </c>
      <c r="AN1718" s="2">
        <v>9780748619085</v>
      </c>
    </row>
    <row r="1719" spans="1:40" x14ac:dyDescent="0.3">
      <c r="A1719" t="s">
        <v>8371</v>
      </c>
      <c r="B1719" t="s">
        <v>1</v>
      </c>
      <c r="C1719" t="s">
        <v>8372</v>
      </c>
      <c r="E1719" t="s">
        <v>8373</v>
      </c>
      <c r="F1719" t="s">
        <v>5</v>
      </c>
      <c r="G1719" t="s">
        <v>6</v>
      </c>
      <c r="L1719" t="s">
        <v>7</v>
      </c>
      <c r="M1719">
        <v>2019</v>
      </c>
      <c r="N1719" s="1">
        <v>44634</v>
      </c>
      <c r="O1719" t="s">
        <v>8374</v>
      </c>
      <c r="P1719">
        <v>1</v>
      </c>
      <c r="Q1719" t="s">
        <v>7187</v>
      </c>
      <c r="S1719">
        <v>217.95</v>
      </c>
      <c r="T1719">
        <v>250</v>
      </c>
      <c r="U1719">
        <v>190</v>
      </c>
      <c r="V1719" t="s">
        <v>98</v>
      </c>
      <c r="W1719" t="s">
        <v>99</v>
      </c>
      <c r="X1719" t="s">
        <v>386</v>
      </c>
      <c r="Y1719" t="s">
        <v>387</v>
      </c>
      <c r="AF1719" t="s">
        <v>13</v>
      </c>
      <c r="AG1719" t="str">
        <f>HYPERLINK("https://doi.org/10.1515/9781474464499")</f>
        <v>https://doi.org/10.1515/9781474464499</v>
      </c>
      <c r="AH1719" t="str">
        <f>HYPERLINK("http://www.degruyter.com/isbn/9781474464499")</f>
        <v>http://www.degruyter.com/isbn/9781474464499</v>
      </c>
      <c r="AI1719" t="s">
        <v>280</v>
      </c>
      <c r="AL1719" t="s">
        <v>102</v>
      </c>
      <c r="AM1719">
        <v>1</v>
      </c>
      <c r="AN1719" s="2">
        <v>9781474446327</v>
      </c>
    </row>
    <row r="1720" spans="1:40" x14ac:dyDescent="0.3">
      <c r="A1720" t="s">
        <v>8375</v>
      </c>
      <c r="B1720" t="s">
        <v>1</v>
      </c>
      <c r="C1720" t="s">
        <v>8376</v>
      </c>
      <c r="D1720" t="s">
        <v>8377</v>
      </c>
      <c r="E1720" t="s">
        <v>8378</v>
      </c>
      <c r="F1720" t="s">
        <v>5</v>
      </c>
      <c r="G1720" t="s">
        <v>6</v>
      </c>
      <c r="L1720" t="s">
        <v>7</v>
      </c>
      <c r="M1720">
        <v>2012</v>
      </c>
      <c r="N1720" s="1">
        <v>41050</v>
      </c>
      <c r="O1720" t="s">
        <v>8379</v>
      </c>
      <c r="P1720">
        <v>1</v>
      </c>
      <c r="S1720">
        <v>217.95</v>
      </c>
      <c r="T1720">
        <v>250</v>
      </c>
      <c r="U1720">
        <v>190</v>
      </c>
      <c r="V1720" t="s">
        <v>42</v>
      </c>
      <c r="W1720" t="s">
        <v>43</v>
      </c>
      <c r="X1720" t="s">
        <v>44</v>
      </c>
      <c r="Y1720" t="s">
        <v>45</v>
      </c>
      <c r="AF1720" t="s">
        <v>13</v>
      </c>
      <c r="AG1720" t="str">
        <f>HYPERLINK("https://doi.org/10.1515/9780748644261")</f>
        <v>https://doi.org/10.1515/9780748644261</v>
      </c>
      <c r="AH1720" t="str">
        <f>HYPERLINK("http://www.degruyter.com/isbn/9780748644261")</f>
        <v>http://www.degruyter.com/isbn/9780748644261</v>
      </c>
      <c r="AI1720" t="s">
        <v>8380</v>
      </c>
      <c r="AL1720" t="s">
        <v>47</v>
      </c>
      <c r="AM1720">
        <v>1</v>
      </c>
      <c r="AN1720" s="2">
        <v>9780748644254</v>
      </c>
    </row>
    <row r="1721" spans="1:40" x14ac:dyDescent="0.3">
      <c r="A1721" t="s">
        <v>8381</v>
      </c>
      <c r="B1721" t="s">
        <v>1</v>
      </c>
      <c r="C1721" t="s">
        <v>8382</v>
      </c>
      <c r="D1721" t="s">
        <v>8383</v>
      </c>
      <c r="E1721" t="s">
        <v>8384</v>
      </c>
      <c r="F1721" t="s">
        <v>5</v>
      </c>
      <c r="G1721" t="s">
        <v>6</v>
      </c>
      <c r="L1721" t="s">
        <v>7</v>
      </c>
      <c r="M1721">
        <v>2020</v>
      </c>
      <c r="N1721" s="1">
        <v>44644</v>
      </c>
      <c r="O1721" t="s">
        <v>8385</v>
      </c>
      <c r="P1721">
        <v>1</v>
      </c>
      <c r="S1721">
        <v>253.95</v>
      </c>
      <c r="T1721">
        <v>290</v>
      </c>
      <c r="U1721">
        <v>220</v>
      </c>
      <c r="V1721" t="s">
        <v>847</v>
      </c>
      <c r="W1721" t="s">
        <v>848</v>
      </c>
      <c r="X1721" t="s">
        <v>20</v>
      </c>
      <c r="Y1721" t="s">
        <v>3205</v>
      </c>
      <c r="AF1721" t="s">
        <v>13</v>
      </c>
      <c r="AG1721" t="str">
        <f>HYPERLINK("https://www.degruyter.com/isbn/9780748699315")</f>
        <v>https://www.degruyter.com/isbn/9780748699315</v>
      </c>
      <c r="AH1721" t="str">
        <f>HYPERLINK("http://www.degruyter.com/isbn/9780748699315")</f>
        <v>http://www.degruyter.com/isbn/9780748699315</v>
      </c>
      <c r="AI1721" t="s">
        <v>3672</v>
      </c>
      <c r="AL1721" t="s">
        <v>1070</v>
      </c>
      <c r="AM1721">
        <v>1</v>
      </c>
      <c r="AN1721" s="2">
        <v>9780748699308</v>
      </c>
    </row>
    <row r="1722" spans="1:40" x14ac:dyDescent="0.3">
      <c r="A1722" t="s">
        <v>8386</v>
      </c>
      <c r="B1722" t="s">
        <v>1</v>
      </c>
      <c r="C1722" t="s">
        <v>8387</v>
      </c>
      <c r="D1722" t="s">
        <v>8388</v>
      </c>
      <c r="E1722" t="s">
        <v>8389</v>
      </c>
      <c r="F1722" t="s">
        <v>5</v>
      </c>
      <c r="G1722" t="s">
        <v>6</v>
      </c>
      <c r="L1722" t="s">
        <v>7</v>
      </c>
      <c r="M1722">
        <v>2017</v>
      </c>
      <c r="N1722" s="1">
        <v>43087</v>
      </c>
      <c r="O1722" t="s">
        <v>8390</v>
      </c>
      <c r="P1722">
        <v>1</v>
      </c>
      <c r="Q1722" t="s">
        <v>8391</v>
      </c>
      <c r="S1722">
        <v>253.95</v>
      </c>
      <c r="T1722">
        <v>290</v>
      </c>
      <c r="U1722">
        <v>220</v>
      </c>
      <c r="V1722" t="s">
        <v>98</v>
      </c>
      <c r="W1722" t="s">
        <v>99</v>
      </c>
      <c r="X1722" t="s">
        <v>386</v>
      </c>
      <c r="Y1722" t="s">
        <v>387</v>
      </c>
      <c r="AF1722" t="s">
        <v>13</v>
      </c>
      <c r="AG1722" t="str">
        <f>HYPERLINK("https://doi.org/10.1515/9781474420396")</f>
        <v>https://doi.org/10.1515/9781474420396</v>
      </c>
      <c r="AH1722" t="str">
        <f>HYPERLINK("http://www.degruyter.com/isbn/9781474420396")</f>
        <v>http://www.degruyter.com/isbn/9781474420396</v>
      </c>
      <c r="AI1722" t="s">
        <v>222</v>
      </c>
      <c r="AL1722" t="s">
        <v>102</v>
      </c>
      <c r="AM1722">
        <v>1</v>
      </c>
      <c r="AN1722" s="2">
        <v>9781474420372</v>
      </c>
    </row>
    <row r="1723" spans="1:40" x14ac:dyDescent="0.3">
      <c r="A1723" t="s">
        <v>8392</v>
      </c>
      <c r="B1723" t="s">
        <v>1</v>
      </c>
      <c r="C1723" t="s">
        <v>8393</v>
      </c>
      <c r="D1723" t="s">
        <v>8394</v>
      </c>
      <c r="E1723" t="s">
        <v>8395</v>
      </c>
      <c r="F1723" t="s">
        <v>5</v>
      </c>
      <c r="G1723" t="s">
        <v>6</v>
      </c>
      <c r="L1723" t="s">
        <v>7</v>
      </c>
      <c r="M1723">
        <v>2007</v>
      </c>
      <c r="N1723" s="1">
        <v>39405</v>
      </c>
      <c r="O1723" t="s">
        <v>8396</v>
      </c>
      <c r="P1723">
        <v>1</v>
      </c>
      <c r="Q1723" t="s">
        <v>7052</v>
      </c>
      <c r="S1723">
        <v>227.95</v>
      </c>
      <c r="T1723">
        <v>260</v>
      </c>
      <c r="U1723">
        <v>200</v>
      </c>
      <c r="V1723" t="s">
        <v>42</v>
      </c>
      <c r="W1723" t="s">
        <v>107</v>
      </c>
      <c r="X1723" t="s">
        <v>108</v>
      </c>
      <c r="Y1723" t="s">
        <v>221</v>
      </c>
      <c r="AF1723" t="s">
        <v>13</v>
      </c>
      <c r="AG1723" t="str">
        <f>HYPERLINK("https://doi.org/10.1515/9780748631018?locatt=mode:legacy")</f>
        <v>https://doi.org/10.1515/9780748631018?locatt=mode:legacy</v>
      </c>
      <c r="AH1723" t="str">
        <f>HYPERLINK("http://www.degruyter.com/isbn/9780748631018")</f>
        <v>http://www.degruyter.com/isbn/9780748631018</v>
      </c>
      <c r="AI1723" t="s">
        <v>68</v>
      </c>
      <c r="AL1723" t="s">
        <v>47</v>
      </c>
      <c r="AM1723">
        <v>1</v>
      </c>
      <c r="AN1723" s="2">
        <v>9780748625482</v>
      </c>
    </row>
    <row r="1724" spans="1:40" x14ac:dyDescent="0.3">
      <c r="A1724" t="s">
        <v>8397</v>
      </c>
      <c r="B1724" t="s">
        <v>1</v>
      </c>
      <c r="C1724" t="s">
        <v>8398</v>
      </c>
      <c r="D1724" t="s">
        <v>8399</v>
      </c>
      <c r="E1724" t="s">
        <v>8400</v>
      </c>
      <c r="F1724" t="s">
        <v>5</v>
      </c>
      <c r="G1724" t="s">
        <v>6</v>
      </c>
      <c r="L1724" t="s">
        <v>7</v>
      </c>
      <c r="M1724">
        <v>2019</v>
      </c>
      <c r="N1724" s="1">
        <v>44644</v>
      </c>
      <c r="O1724" t="s">
        <v>8401</v>
      </c>
      <c r="P1724">
        <v>1</v>
      </c>
      <c r="S1724">
        <v>253.95</v>
      </c>
      <c r="T1724">
        <v>290</v>
      </c>
      <c r="U1724">
        <v>220</v>
      </c>
      <c r="V1724" t="s">
        <v>20</v>
      </c>
      <c r="W1724" t="s">
        <v>21</v>
      </c>
      <c r="X1724" t="s">
        <v>458</v>
      </c>
      <c r="Y1724" t="s">
        <v>459</v>
      </c>
      <c r="AF1724" t="s">
        <v>13</v>
      </c>
      <c r="AG1724" t="str">
        <f>HYPERLINK("https://doi.org/10.1515/9781474436816?locatt=mode:legacy")</f>
        <v>https://doi.org/10.1515/9781474436816?locatt=mode:legacy</v>
      </c>
      <c r="AH1724" t="str">
        <f>HYPERLINK("http://www.degruyter.com/isbn/9781474436816")</f>
        <v>http://www.degruyter.com/isbn/9781474436816</v>
      </c>
      <c r="AI1724" t="s">
        <v>280</v>
      </c>
      <c r="AL1724" t="s">
        <v>15</v>
      </c>
      <c r="AM1724">
        <v>1</v>
      </c>
      <c r="AN1724" s="2">
        <v>9781474436793</v>
      </c>
    </row>
    <row r="1725" spans="1:40" x14ac:dyDescent="0.3">
      <c r="A1725" t="s">
        <v>8402</v>
      </c>
      <c r="B1725" t="s">
        <v>1</v>
      </c>
      <c r="C1725" t="s">
        <v>6983</v>
      </c>
      <c r="D1725" t="s">
        <v>8403</v>
      </c>
      <c r="E1725" t="s">
        <v>6985</v>
      </c>
      <c r="F1725" t="s">
        <v>5</v>
      </c>
      <c r="G1725" t="s">
        <v>6</v>
      </c>
      <c r="L1725" t="s">
        <v>7</v>
      </c>
      <c r="M1725">
        <v>2018</v>
      </c>
      <c r="N1725" s="1">
        <v>44656</v>
      </c>
      <c r="O1725" t="s">
        <v>8404</v>
      </c>
      <c r="P1725">
        <v>1</v>
      </c>
      <c r="Q1725" t="s">
        <v>6987</v>
      </c>
      <c r="S1725">
        <v>227.95</v>
      </c>
      <c r="T1725">
        <v>260</v>
      </c>
      <c r="U1725">
        <v>200</v>
      </c>
      <c r="V1725" t="s">
        <v>9</v>
      </c>
      <c r="W1725" t="s">
        <v>10</v>
      </c>
      <c r="X1725" t="s">
        <v>11</v>
      </c>
      <c r="Y1725" t="s">
        <v>52</v>
      </c>
      <c r="AF1725" t="s">
        <v>13</v>
      </c>
      <c r="AG1725" t="str">
        <f>HYPERLINK("https://www.degruyter.com/isbn/9781474428743")</f>
        <v>https://www.degruyter.com/isbn/9781474428743</v>
      </c>
      <c r="AH1725" t="str">
        <f>HYPERLINK("http://www.degruyter.com/isbn/9781474428743")</f>
        <v>http://www.degruyter.com/isbn/9781474428743</v>
      </c>
      <c r="AI1725" t="s">
        <v>46</v>
      </c>
      <c r="AL1725" t="s">
        <v>15</v>
      </c>
      <c r="AM1725">
        <v>1</v>
      </c>
      <c r="AN1725" s="2">
        <v>9781474428729</v>
      </c>
    </row>
    <row r="1726" spans="1:40" x14ac:dyDescent="0.3">
      <c r="A1726" t="s">
        <v>8405</v>
      </c>
      <c r="B1726" t="s">
        <v>1</v>
      </c>
      <c r="C1726" t="s">
        <v>8406</v>
      </c>
      <c r="E1726" t="s">
        <v>8407</v>
      </c>
      <c r="F1726" t="s">
        <v>5</v>
      </c>
      <c r="G1726" t="s">
        <v>6</v>
      </c>
      <c r="L1726" t="s">
        <v>7</v>
      </c>
      <c r="M1726">
        <v>2011</v>
      </c>
      <c r="N1726" s="1">
        <v>40847</v>
      </c>
      <c r="O1726" t="s">
        <v>3595</v>
      </c>
      <c r="P1726">
        <v>1</v>
      </c>
      <c r="S1726">
        <v>139.94999999999999</v>
      </c>
      <c r="T1726">
        <v>160</v>
      </c>
      <c r="U1726">
        <v>120</v>
      </c>
      <c r="V1726" t="s">
        <v>268</v>
      </c>
      <c r="W1726" t="s">
        <v>269</v>
      </c>
      <c r="X1726" t="s">
        <v>269</v>
      </c>
      <c r="Y1726" t="s">
        <v>411</v>
      </c>
      <c r="AF1726" t="s">
        <v>13</v>
      </c>
      <c r="AG1726" t="str">
        <f>HYPERLINK("https://doi.org/10.1515/9780748699490?locatt=mode:legacy")</f>
        <v>https://doi.org/10.1515/9780748699490?locatt=mode:legacy</v>
      </c>
      <c r="AH1726" t="str">
        <f>HYPERLINK("http://www.degruyter.com/isbn/9780748699490")</f>
        <v>http://www.degruyter.com/isbn/9780748699490</v>
      </c>
      <c r="AI1726" t="s">
        <v>412</v>
      </c>
      <c r="AL1726" t="s">
        <v>272</v>
      </c>
      <c r="AM1726">
        <v>1</v>
      </c>
      <c r="AN1726" s="2">
        <v>9781845861193</v>
      </c>
    </row>
    <row r="1727" spans="1:40" x14ac:dyDescent="0.3">
      <c r="A1727" t="s">
        <v>8408</v>
      </c>
      <c r="B1727" t="s">
        <v>1</v>
      </c>
      <c r="C1727" t="s">
        <v>8409</v>
      </c>
      <c r="D1727" t="s">
        <v>27</v>
      </c>
      <c r="E1727" t="s">
        <v>8410</v>
      </c>
      <c r="F1727" t="s">
        <v>5</v>
      </c>
      <c r="G1727" t="s">
        <v>6</v>
      </c>
      <c r="L1727" t="s">
        <v>7</v>
      </c>
      <c r="M1727">
        <v>2018</v>
      </c>
      <c r="N1727" s="1">
        <v>44656</v>
      </c>
      <c r="O1727" t="s">
        <v>8411</v>
      </c>
      <c r="P1727">
        <v>1</v>
      </c>
      <c r="Q1727" t="s">
        <v>8412</v>
      </c>
      <c r="S1727">
        <v>209.95</v>
      </c>
      <c r="T1727">
        <v>240</v>
      </c>
      <c r="U1727">
        <v>180</v>
      </c>
      <c r="V1727" t="s">
        <v>42</v>
      </c>
      <c r="W1727" t="s">
        <v>107</v>
      </c>
      <c r="X1727" t="s">
        <v>108</v>
      </c>
      <c r="Y1727" t="s">
        <v>109</v>
      </c>
      <c r="AF1727" t="s">
        <v>13</v>
      </c>
      <c r="AG1727" t="str">
        <f>HYPERLINK("https://doi.org/10.1515/9781474419574")</f>
        <v>https://doi.org/10.1515/9781474419574</v>
      </c>
      <c r="AH1727" t="str">
        <f>HYPERLINK("http://www.degruyter.com/isbn/9781474419574")</f>
        <v>http://www.degruyter.com/isbn/9781474419574</v>
      </c>
      <c r="AI1727" t="s">
        <v>46</v>
      </c>
      <c r="AL1727" t="s">
        <v>47</v>
      </c>
      <c r="AM1727">
        <v>1</v>
      </c>
      <c r="AN1727" s="2">
        <v>9781474419550</v>
      </c>
    </row>
    <row r="1728" spans="1:40" x14ac:dyDescent="0.3">
      <c r="A1728" t="s">
        <v>8413</v>
      </c>
      <c r="B1728" t="s">
        <v>1</v>
      </c>
      <c r="C1728" t="s">
        <v>8414</v>
      </c>
      <c r="D1728" t="s">
        <v>8415</v>
      </c>
      <c r="E1728" t="s">
        <v>8416</v>
      </c>
      <c r="F1728" t="s">
        <v>5</v>
      </c>
      <c r="G1728" t="s">
        <v>6</v>
      </c>
      <c r="L1728" t="s">
        <v>7</v>
      </c>
      <c r="M1728">
        <v>2012</v>
      </c>
      <c r="N1728" s="1">
        <v>41003</v>
      </c>
      <c r="O1728" t="s">
        <v>8417</v>
      </c>
      <c r="P1728">
        <v>1</v>
      </c>
      <c r="Q1728" t="s">
        <v>6539</v>
      </c>
      <c r="S1728">
        <v>227.95</v>
      </c>
      <c r="T1728">
        <v>260</v>
      </c>
      <c r="U1728">
        <v>200</v>
      </c>
      <c r="V1728" t="s">
        <v>42</v>
      </c>
      <c r="W1728" t="s">
        <v>107</v>
      </c>
      <c r="X1728" t="s">
        <v>108</v>
      </c>
      <c r="Y1728" t="s">
        <v>109</v>
      </c>
      <c r="AF1728" t="s">
        <v>13</v>
      </c>
      <c r="AG1728" t="str">
        <f>HYPERLINK("https://doi.org/10.1515/9780748650668")</f>
        <v>https://doi.org/10.1515/9780748650668</v>
      </c>
      <c r="AH1728" t="str">
        <f>HYPERLINK("http://www.degruyter.com/isbn/9780748650668")</f>
        <v>http://www.degruyter.com/isbn/9780748650668</v>
      </c>
      <c r="AI1728" t="s">
        <v>68</v>
      </c>
      <c r="AL1728" t="s">
        <v>47</v>
      </c>
      <c r="AM1728">
        <v>1</v>
      </c>
      <c r="AN1728" s="2">
        <v>9780748639656</v>
      </c>
    </row>
    <row r="1729" spans="1:40" x14ac:dyDescent="0.3">
      <c r="A1729" t="s">
        <v>8418</v>
      </c>
      <c r="B1729" t="s">
        <v>1</v>
      </c>
      <c r="C1729" t="s">
        <v>8419</v>
      </c>
      <c r="D1729" t="s">
        <v>8420</v>
      </c>
      <c r="E1729" t="s">
        <v>8421</v>
      </c>
      <c r="F1729" t="s">
        <v>5</v>
      </c>
      <c r="G1729" t="s">
        <v>6</v>
      </c>
      <c r="L1729" t="s">
        <v>7</v>
      </c>
      <c r="M1729">
        <v>2004</v>
      </c>
      <c r="N1729" s="1">
        <v>38260</v>
      </c>
      <c r="O1729" t="s">
        <v>8422</v>
      </c>
      <c r="P1729">
        <v>1</v>
      </c>
      <c r="S1729">
        <v>243.95</v>
      </c>
      <c r="T1729">
        <v>280</v>
      </c>
      <c r="U1729">
        <v>210</v>
      </c>
      <c r="V1729" t="s">
        <v>98</v>
      </c>
      <c r="W1729" t="s">
        <v>99</v>
      </c>
      <c r="X1729" t="s">
        <v>386</v>
      </c>
      <c r="Y1729" t="s">
        <v>387</v>
      </c>
      <c r="AF1729" t="s">
        <v>13</v>
      </c>
      <c r="AG1729" t="str">
        <f>HYPERLINK("https://doi.org/10.1515/9781474466011")</f>
        <v>https://doi.org/10.1515/9781474466011</v>
      </c>
      <c r="AH1729" t="str">
        <f>HYPERLINK("http://www.degruyter.com/isbn/9781474466011")</f>
        <v>http://www.degruyter.com/isbn/9781474466011</v>
      </c>
      <c r="AI1729" t="s">
        <v>68</v>
      </c>
      <c r="AL1729" t="s">
        <v>102</v>
      </c>
      <c r="AM1729">
        <v>1</v>
      </c>
      <c r="AN1729" s="2">
        <v>9780748614745</v>
      </c>
    </row>
    <row r="1730" spans="1:40" x14ac:dyDescent="0.3">
      <c r="A1730" t="s">
        <v>8423</v>
      </c>
      <c r="B1730" t="s">
        <v>1</v>
      </c>
      <c r="C1730" t="s">
        <v>8424</v>
      </c>
      <c r="D1730" t="s">
        <v>8425</v>
      </c>
      <c r="E1730" t="s">
        <v>8426</v>
      </c>
      <c r="F1730" t="s">
        <v>5</v>
      </c>
      <c r="G1730" t="s">
        <v>6</v>
      </c>
      <c r="L1730" t="s">
        <v>7</v>
      </c>
      <c r="M1730">
        <v>2020</v>
      </c>
      <c r="N1730" s="1">
        <v>44644</v>
      </c>
      <c r="O1730" t="s">
        <v>8427</v>
      </c>
      <c r="P1730">
        <v>1</v>
      </c>
      <c r="Q1730" t="s">
        <v>6858</v>
      </c>
      <c r="S1730">
        <v>253.95</v>
      </c>
      <c r="T1730">
        <v>290</v>
      </c>
      <c r="U1730">
        <v>220</v>
      </c>
      <c r="V1730" t="s">
        <v>58</v>
      </c>
      <c r="W1730" t="s">
        <v>59</v>
      </c>
      <c r="X1730" t="s">
        <v>60</v>
      </c>
      <c r="Y1730" t="s">
        <v>169</v>
      </c>
      <c r="AF1730" t="s">
        <v>13</v>
      </c>
      <c r="AG1730" t="str">
        <f>HYPERLINK("https://doi.org/10.1515/9781474424813?locatt=mode:legacy")</f>
        <v>https://doi.org/10.1515/9781474424813?locatt=mode:legacy</v>
      </c>
      <c r="AH1730" t="str">
        <f>HYPERLINK("http://www.degruyter.com/isbn/9781474424813")</f>
        <v>http://www.degruyter.com/isbn/9781474424813</v>
      </c>
      <c r="AI1730" t="s">
        <v>14</v>
      </c>
      <c r="AL1730" t="s">
        <v>62</v>
      </c>
      <c r="AM1730">
        <v>1</v>
      </c>
      <c r="AN1730" s="2">
        <v>9781474424806</v>
      </c>
    </row>
    <row r="1731" spans="1:40" x14ac:dyDescent="0.3">
      <c r="A1731" t="s">
        <v>8428</v>
      </c>
      <c r="B1731" t="s">
        <v>1</v>
      </c>
      <c r="C1731" t="s">
        <v>6983</v>
      </c>
      <c r="D1731" t="s">
        <v>8429</v>
      </c>
      <c r="E1731" t="s">
        <v>6985</v>
      </c>
      <c r="F1731" t="s">
        <v>5</v>
      </c>
      <c r="G1731" t="s">
        <v>6</v>
      </c>
      <c r="L1731" t="s">
        <v>7</v>
      </c>
      <c r="M1731">
        <v>2016</v>
      </c>
      <c r="N1731" s="1">
        <v>42503</v>
      </c>
      <c r="O1731" t="s">
        <v>8430</v>
      </c>
      <c r="P1731">
        <v>1</v>
      </c>
      <c r="Q1731" t="s">
        <v>7655</v>
      </c>
      <c r="S1731">
        <v>227.95</v>
      </c>
      <c r="T1731">
        <v>260</v>
      </c>
      <c r="U1731">
        <v>200</v>
      </c>
      <c r="V1731" t="s">
        <v>9</v>
      </c>
      <c r="W1731" t="s">
        <v>10</v>
      </c>
      <c r="X1731" t="s">
        <v>11</v>
      </c>
      <c r="Y1731" t="s">
        <v>52</v>
      </c>
      <c r="AF1731" t="s">
        <v>13</v>
      </c>
      <c r="AG1731" t="str">
        <f>HYPERLINK("https://www.degruyter.com/isbn/9781474403023")</f>
        <v>https://www.degruyter.com/isbn/9781474403023</v>
      </c>
      <c r="AH1731" t="str">
        <f>HYPERLINK("http://www.degruyter.com/isbn/9781474403023")</f>
        <v>http://www.degruyter.com/isbn/9781474403023</v>
      </c>
      <c r="AI1731" t="s">
        <v>180</v>
      </c>
      <c r="AL1731" t="s">
        <v>15</v>
      </c>
      <c r="AM1731">
        <v>1</v>
      </c>
      <c r="AN1731" s="2">
        <v>9781474403016</v>
      </c>
    </row>
    <row r="1732" spans="1:40" x14ac:dyDescent="0.3">
      <c r="A1732" t="s">
        <v>8431</v>
      </c>
      <c r="B1732" t="s">
        <v>1</v>
      </c>
      <c r="C1732" t="s">
        <v>8432</v>
      </c>
      <c r="E1732" t="s">
        <v>8433</v>
      </c>
      <c r="F1732" t="s">
        <v>5</v>
      </c>
      <c r="G1732" t="s">
        <v>6</v>
      </c>
      <c r="L1732" t="s">
        <v>7</v>
      </c>
      <c r="M1732">
        <v>2005</v>
      </c>
      <c r="N1732" s="1">
        <v>38377</v>
      </c>
      <c r="O1732" t="s">
        <v>8434</v>
      </c>
      <c r="P1732">
        <v>1</v>
      </c>
      <c r="S1732">
        <v>227.95</v>
      </c>
      <c r="T1732">
        <v>260</v>
      </c>
      <c r="U1732">
        <v>200</v>
      </c>
      <c r="V1732" t="s">
        <v>42</v>
      </c>
      <c r="W1732" t="s">
        <v>116</v>
      </c>
      <c r="X1732" t="s">
        <v>116</v>
      </c>
      <c r="Y1732" t="s">
        <v>117</v>
      </c>
      <c r="AF1732" t="s">
        <v>13</v>
      </c>
      <c r="AG1732" t="str">
        <f>HYPERLINK("https://doi.org/10.1515/9781474468183")</f>
        <v>https://doi.org/10.1515/9781474468183</v>
      </c>
      <c r="AH1732" t="str">
        <f>HYPERLINK("http://www.degruyter.com/isbn/9781474468183")</f>
        <v>http://www.degruyter.com/isbn/9781474468183</v>
      </c>
      <c r="AI1732" t="s">
        <v>68</v>
      </c>
      <c r="AL1732" t="s">
        <v>47</v>
      </c>
      <c r="AM1732">
        <v>1</v>
      </c>
      <c r="AN1732" s="2">
        <v>9780748617425</v>
      </c>
    </row>
    <row r="1733" spans="1:40" x14ac:dyDescent="0.3">
      <c r="A1733" t="s">
        <v>8435</v>
      </c>
      <c r="B1733" t="s">
        <v>1</v>
      </c>
      <c r="C1733" t="s">
        <v>8436</v>
      </c>
      <c r="D1733" t="s">
        <v>8437</v>
      </c>
      <c r="E1733" t="s">
        <v>8438</v>
      </c>
      <c r="F1733" t="s">
        <v>5</v>
      </c>
      <c r="G1733" t="s">
        <v>6</v>
      </c>
      <c r="L1733" t="s">
        <v>7</v>
      </c>
      <c r="M1733">
        <v>2011</v>
      </c>
      <c r="N1733" s="1">
        <v>40589</v>
      </c>
      <c r="O1733" t="s">
        <v>8439</v>
      </c>
      <c r="P1733">
        <v>1</v>
      </c>
      <c r="Q1733" t="s">
        <v>6659</v>
      </c>
      <c r="S1733">
        <v>253.95</v>
      </c>
      <c r="T1733">
        <v>290</v>
      </c>
      <c r="U1733">
        <v>220</v>
      </c>
      <c r="V1733" t="s">
        <v>268</v>
      </c>
      <c r="W1733" t="s">
        <v>269</v>
      </c>
      <c r="X1733" t="s">
        <v>269</v>
      </c>
      <c r="Y1733" t="s">
        <v>5838</v>
      </c>
      <c r="AF1733" t="s">
        <v>13</v>
      </c>
      <c r="AG1733" t="str">
        <f>HYPERLINK("https://doi.org/10.1515/9780748645435?locatt=mode:legacy")</f>
        <v>https://doi.org/10.1515/9780748645435?locatt=mode:legacy</v>
      </c>
      <c r="AH1733" t="str">
        <f>HYPERLINK("http://www.degruyter.com/isbn/9780748645435")</f>
        <v>http://www.degruyter.com/isbn/9780748645435</v>
      </c>
      <c r="AI1733" t="s">
        <v>412</v>
      </c>
      <c r="AL1733" t="s">
        <v>272</v>
      </c>
      <c r="AM1733">
        <v>1</v>
      </c>
      <c r="AN1733" s="2">
        <v>9780748640195</v>
      </c>
    </row>
    <row r="1734" spans="1:40" x14ac:dyDescent="0.3">
      <c r="A1734" t="s">
        <v>8440</v>
      </c>
      <c r="B1734" t="s">
        <v>1</v>
      </c>
      <c r="C1734" t="s">
        <v>8441</v>
      </c>
      <c r="D1734" t="s">
        <v>8442</v>
      </c>
      <c r="E1734" t="s">
        <v>8443</v>
      </c>
      <c r="F1734" t="s">
        <v>5</v>
      </c>
      <c r="G1734" t="s">
        <v>6</v>
      </c>
      <c r="K1734" t="s">
        <v>929</v>
      </c>
      <c r="L1734" t="s">
        <v>7</v>
      </c>
      <c r="M1734">
        <v>2016</v>
      </c>
      <c r="N1734" s="1">
        <v>42709</v>
      </c>
      <c r="O1734" t="s">
        <v>8444</v>
      </c>
      <c r="P1734">
        <v>1</v>
      </c>
      <c r="V1734" t="s">
        <v>79</v>
      </c>
      <c r="W1734" t="s">
        <v>227</v>
      </c>
      <c r="X1734" t="s">
        <v>8445</v>
      </c>
      <c r="Y1734" t="s">
        <v>1951</v>
      </c>
      <c r="AF1734" t="s">
        <v>13</v>
      </c>
      <c r="AG1734" t="str">
        <f>HYPERLINK("https://doi.org/10.1515/9781474431200")</f>
        <v>https://doi.org/10.1515/9781474431200</v>
      </c>
      <c r="AH1734" t="str">
        <f>HYPERLINK("http://www.degruyter.com/isbn/9781474431200")</f>
        <v>http://www.degruyter.com/isbn/9781474431200</v>
      </c>
      <c r="AI1734" t="s">
        <v>180</v>
      </c>
      <c r="AM1734">
        <v>1</v>
      </c>
      <c r="AN1734" s="2"/>
    </row>
    <row r="1735" spans="1:40" x14ac:dyDescent="0.3">
      <c r="A1735" t="s">
        <v>8446</v>
      </c>
      <c r="B1735" t="s">
        <v>1</v>
      </c>
      <c r="C1735" t="s">
        <v>6983</v>
      </c>
      <c r="D1735" t="s">
        <v>8447</v>
      </c>
      <c r="E1735" t="s">
        <v>6985</v>
      </c>
      <c r="F1735" t="s">
        <v>5</v>
      </c>
      <c r="G1735" t="s">
        <v>6</v>
      </c>
      <c r="L1735" t="s">
        <v>7</v>
      </c>
      <c r="M1735">
        <v>2020</v>
      </c>
      <c r="N1735" s="1">
        <v>44656</v>
      </c>
      <c r="O1735" t="s">
        <v>8448</v>
      </c>
      <c r="P1735">
        <v>1</v>
      </c>
      <c r="Q1735" t="s">
        <v>7655</v>
      </c>
      <c r="S1735">
        <v>227.95</v>
      </c>
      <c r="T1735">
        <v>260</v>
      </c>
      <c r="U1735">
        <v>200</v>
      </c>
      <c r="V1735" t="s">
        <v>9</v>
      </c>
      <c r="W1735" t="s">
        <v>10</v>
      </c>
      <c r="X1735" t="s">
        <v>11</v>
      </c>
      <c r="Y1735" t="s">
        <v>12</v>
      </c>
      <c r="AF1735" t="s">
        <v>13</v>
      </c>
      <c r="AG1735" t="str">
        <f>HYPERLINK("https://www.degruyter.com/isbn/9781474462051")</f>
        <v>https://www.degruyter.com/isbn/9781474462051</v>
      </c>
      <c r="AH1735" t="str">
        <f>HYPERLINK("http://www.degruyter.com/isbn/9781474462051")</f>
        <v>http://www.degruyter.com/isbn/9781474462051</v>
      </c>
      <c r="AI1735" t="s">
        <v>14</v>
      </c>
      <c r="AL1735" t="s">
        <v>15</v>
      </c>
      <c r="AM1735">
        <v>1</v>
      </c>
      <c r="AN1735" s="2">
        <v>9781474462037</v>
      </c>
    </row>
    <row r="1736" spans="1:40" x14ac:dyDescent="0.3">
      <c r="A1736" t="s">
        <v>8449</v>
      </c>
      <c r="B1736" t="s">
        <v>1</v>
      </c>
      <c r="C1736" t="s">
        <v>8450</v>
      </c>
      <c r="E1736" t="s">
        <v>8451</v>
      </c>
      <c r="F1736" t="s">
        <v>5</v>
      </c>
      <c r="G1736" t="s">
        <v>6</v>
      </c>
      <c r="L1736" t="s">
        <v>7</v>
      </c>
      <c r="M1736">
        <v>2019</v>
      </c>
      <c r="N1736" s="1">
        <v>44656</v>
      </c>
      <c r="O1736" t="s">
        <v>150</v>
      </c>
      <c r="P1736">
        <v>1</v>
      </c>
      <c r="S1736">
        <v>217.95</v>
      </c>
      <c r="T1736">
        <v>250</v>
      </c>
      <c r="U1736">
        <v>190</v>
      </c>
      <c r="V1736" t="s">
        <v>42</v>
      </c>
      <c r="W1736" t="s">
        <v>107</v>
      </c>
      <c r="X1736" t="s">
        <v>108</v>
      </c>
      <c r="Y1736" t="s">
        <v>109</v>
      </c>
      <c r="AF1736" t="s">
        <v>13</v>
      </c>
      <c r="AG1736" t="str">
        <f>HYPERLINK("https://doi.org/10.1515/9781474447225")</f>
        <v>https://doi.org/10.1515/9781474447225</v>
      </c>
      <c r="AH1736" t="str">
        <f>HYPERLINK("http://www.degruyter.com/isbn/9781474447225")</f>
        <v>http://www.degruyter.com/isbn/9781474447225</v>
      </c>
      <c r="AI1736" t="s">
        <v>280</v>
      </c>
      <c r="AL1736" t="s">
        <v>47</v>
      </c>
      <c r="AM1736">
        <v>1</v>
      </c>
      <c r="AN1736" s="2">
        <v>9781474447201</v>
      </c>
    </row>
    <row r="1737" spans="1:40" x14ac:dyDescent="0.3">
      <c r="A1737" t="s">
        <v>8452</v>
      </c>
      <c r="B1737" t="s">
        <v>1</v>
      </c>
      <c r="C1737" t="s">
        <v>8453</v>
      </c>
      <c r="E1737" t="s">
        <v>8454</v>
      </c>
      <c r="F1737" t="s">
        <v>5</v>
      </c>
      <c r="G1737" t="s">
        <v>6</v>
      </c>
      <c r="L1737" t="s">
        <v>7</v>
      </c>
      <c r="M1737">
        <v>2001</v>
      </c>
      <c r="N1737" s="1">
        <v>37069</v>
      </c>
      <c r="O1737" t="s">
        <v>8455</v>
      </c>
      <c r="P1737">
        <v>1</v>
      </c>
      <c r="Q1737" t="s">
        <v>8456</v>
      </c>
      <c r="S1737">
        <v>261.95</v>
      </c>
      <c r="T1737">
        <v>300</v>
      </c>
      <c r="U1737">
        <v>230</v>
      </c>
      <c r="V1737" t="s">
        <v>495</v>
      </c>
      <c r="W1737" t="s">
        <v>496</v>
      </c>
      <c r="X1737" t="s">
        <v>496</v>
      </c>
      <c r="Y1737" t="s">
        <v>497</v>
      </c>
      <c r="AF1737" t="s">
        <v>13</v>
      </c>
      <c r="AG1737" t="str">
        <f>HYPERLINK("https://doi.org/10.1515/9781474400442")</f>
        <v>https://doi.org/10.1515/9781474400442</v>
      </c>
      <c r="AH1737" t="str">
        <f>HYPERLINK("http://www.degruyter.com/isbn/9781474400442")</f>
        <v>http://www.degruyter.com/isbn/9781474400442</v>
      </c>
      <c r="AI1737" t="s">
        <v>68</v>
      </c>
      <c r="AL1737" t="s">
        <v>498</v>
      </c>
      <c r="AM1737">
        <v>1</v>
      </c>
      <c r="AN1737" s="2">
        <v>9780748614653</v>
      </c>
    </row>
    <row r="1738" spans="1:40" x14ac:dyDescent="0.3">
      <c r="A1738" t="s">
        <v>8457</v>
      </c>
      <c r="B1738" t="s">
        <v>1</v>
      </c>
      <c r="C1738" t="s">
        <v>8458</v>
      </c>
      <c r="E1738" t="s">
        <v>8459</v>
      </c>
      <c r="F1738" t="s">
        <v>5</v>
      </c>
      <c r="G1738" t="s">
        <v>6</v>
      </c>
      <c r="L1738" t="s">
        <v>7</v>
      </c>
      <c r="M1738">
        <v>2020</v>
      </c>
      <c r="N1738" s="1">
        <v>44644</v>
      </c>
      <c r="O1738" t="s">
        <v>8460</v>
      </c>
      <c r="P1738">
        <v>1</v>
      </c>
      <c r="Q1738" t="s">
        <v>8461</v>
      </c>
      <c r="S1738">
        <v>217.95</v>
      </c>
      <c r="T1738">
        <v>250</v>
      </c>
      <c r="U1738">
        <v>190</v>
      </c>
      <c r="V1738" t="s">
        <v>42</v>
      </c>
      <c r="W1738" t="s">
        <v>107</v>
      </c>
      <c r="X1738" t="s">
        <v>108</v>
      </c>
      <c r="Y1738" t="s">
        <v>109</v>
      </c>
      <c r="AF1738" t="s">
        <v>13</v>
      </c>
      <c r="AG1738" t="str">
        <f>HYPERLINK("https://doi.org/10.1515/9781474480512")</f>
        <v>https://doi.org/10.1515/9781474480512</v>
      </c>
      <c r="AH1738" t="str">
        <f>HYPERLINK("http://www.degruyter.com/isbn/9781474480512")</f>
        <v>http://www.degruyter.com/isbn/9781474480512</v>
      </c>
      <c r="AI1738" t="s">
        <v>14</v>
      </c>
      <c r="AL1738" t="s">
        <v>47</v>
      </c>
      <c r="AM1738">
        <v>1</v>
      </c>
      <c r="AN1738" s="2">
        <v>9781474480499</v>
      </c>
    </row>
    <row r="1739" spans="1:40" x14ac:dyDescent="0.3">
      <c r="A1739" t="s">
        <v>8462</v>
      </c>
      <c r="B1739" t="s">
        <v>1</v>
      </c>
      <c r="C1739" t="s">
        <v>8463</v>
      </c>
      <c r="D1739" t="s">
        <v>8464</v>
      </c>
      <c r="E1739" t="s">
        <v>8465</v>
      </c>
      <c r="F1739" t="s">
        <v>5</v>
      </c>
      <c r="G1739" t="s">
        <v>6</v>
      </c>
      <c r="L1739" t="s">
        <v>7</v>
      </c>
      <c r="M1739">
        <v>2007</v>
      </c>
      <c r="N1739" s="1">
        <v>39400</v>
      </c>
      <c r="O1739" t="s">
        <v>8466</v>
      </c>
      <c r="P1739">
        <v>1</v>
      </c>
      <c r="Q1739" t="s">
        <v>7521</v>
      </c>
      <c r="S1739">
        <v>217.95</v>
      </c>
      <c r="T1739">
        <v>250</v>
      </c>
      <c r="U1739">
        <v>190</v>
      </c>
      <c r="V1739" t="s">
        <v>449</v>
      </c>
      <c r="W1739" t="s">
        <v>450</v>
      </c>
      <c r="X1739" t="s">
        <v>450</v>
      </c>
      <c r="Y1739" t="s">
        <v>451</v>
      </c>
      <c r="AF1739" t="s">
        <v>13</v>
      </c>
      <c r="AG1739" t="str">
        <f>HYPERLINK("https://doi.org/10.1515/9780748630905?locatt=mode:legacy")</f>
        <v>https://doi.org/10.1515/9780748630905?locatt=mode:legacy</v>
      </c>
      <c r="AH1739" t="str">
        <f>HYPERLINK("http://www.degruyter.com/isbn/9780748630905")</f>
        <v>http://www.degruyter.com/isbn/9780748630905</v>
      </c>
      <c r="AI1739" t="s">
        <v>8467</v>
      </c>
      <c r="AL1739" t="s">
        <v>308</v>
      </c>
      <c r="AM1739">
        <v>1</v>
      </c>
      <c r="AN1739" s="2">
        <v>9780748625345</v>
      </c>
    </row>
    <row r="1740" spans="1:40" x14ac:dyDescent="0.3">
      <c r="A1740" t="s">
        <v>8468</v>
      </c>
      <c r="B1740" t="s">
        <v>1</v>
      </c>
      <c r="C1740" t="s">
        <v>8469</v>
      </c>
      <c r="E1740" t="s">
        <v>8470</v>
      </c>
      <c r="F1740" t="s">
        <v>5</v>
      </c>
      <c r="G1740" t="s">
        <v>6</v>
      </c>
      <c r="L1740" t="s">
        <v>7</v>
      </c>
      <c r="M1740">
        <v>2012</v>
      </c>
      <c r="N1740" s="1">
        <v>41127</v>
      </c>
      <c r="O1740" t="s">
        <v>8471</v>
      </c>
      <c r="P1740">
        <v>1</v>
      </c>
      <c r="Q1740" t="s">
        <v>7362</v>
      </c>
      <c r="S1740">
        <v>253.95</v>
      </c>
      <c r="T1740">
        <v>290</v>
      </c>
      <c r="U1740">
        <v>220</v>
      </c>
      <c r="V1740" t="s">
        <v>6821</v>
      </c>
      <c r="W1740" t="s">
        <v>8472</v>
      </c>
      <c r="X1740" t="s">
        <v>8473</v>
      </c>
      <c r="Y1740" t="s">
        <v>8474</v>
      </c>
      <c r="AF1740" t="s">
        <v>13</v>
      </c>
      <c r="AG1740" t="str">
        <f>HYPERLINK("https://doi.org/10.1515/9780748646937?locatt=mode:legacy")</f>
        <v>https://doi.org/10.1515/9780748646937?locatt=mode:legacy</v>
      </c>
      <c r="AH1740" t="str">
        <f>HYPERLINK("http://www.degruyter.com/isbn/9780748646937")</f>
        <v>http://www.degruyter.com/isbn/9780748646937</v>
      </c>
      <c r="AI1740" t="s">
        <v>68</v>
      </c>
      <c r="AL1740" t="s">
        <v>6824</v>
      </c>
      <c r="AM1740">
        <v>1</v>
      </c>
      <c r="AN1740" s="2">
        <v>9780748646920</v>
      </c>
    </row>
    <row r="1741" spans="1:40" x14ac:dyDescent="0.3">
      <c r="A1741" t="s">
        <v>8475</v>
      </c>
      <c r="B1741" t="s">
        <v>1</v>
      </c>
      <c r="C1741" t="s">
        <v>8476</v>
      </c>
      <c r="D1741" t="s">
        <v>8477</v>
      </c>
      <c r="E1741" t="s">
        <v>8478</v>
      </c>
      <c r="F1741" t="s">
        <v>5</v>
      </c>
      <c r="G1741" t="s">
        <v>6</v>
      </c>
      <c r="L1741" t="s">
        <v>7</v>
      </c>
      <c r="M1741">
        <v>2007</v>
      </c>
      <c r="N1741" s="1">
        <v>39218</v>
      </c>
      <c r="O1741" t="s">
        <v>8479</v>
      </c>
      <c r="P1741">
        <v>1</v>
      </c>
      <c r="Q1741" t="s">
        <v>6929</v>
      </c>
      <c r="S1741">
        <v>243.95</v>
      </c>
      <c r="T1741">
        <v>280</v>
      </c>
      <c r="U1741">
        <v>210</v>
      </c>
      <c r="V1741" t="s">
        <v>20</v>
      </c>
      <c r="W1741" t="s">
        <v>21</v>
      </c>
      <c r="X1741" t="s">
        <v>3919</v>
      </c>
      <c r="Y1741" t="s">
        <v>4359</v>
      </c>
      <c r="AF1741" t="s">
        <v>13</v>
      </c>
      <c r="AG1741" t="str">
        <f>HYPERLINK("https://doi.org/10.1515/9780748631735")</f>
        <v>https://doi.org/10.1515/9780748631735</v>
      </c>
      <c r="AH1741" t="str">
        <f>HYPERLINK("http://www.degruyter.com/isbn/9780748631735")</f>
        <v>http://www.degruyter.com/isbn/9780748631735</v>
      </c>
      <c r="AI1741" t="s">
        <v>68</v>
      </c>
      <c r="AL1741" t="s">
        <v>15</v>
      </c>
      <c r="AM1741">
        <v>1</v>
      </c>
      <c r="AN1741" s="2">
        <v>9780748627868</v>
      </c>
    </row>
    <row r="1742" spans="1:40" x14ac:dyDescent="0.3">
      <c r="A1742" t="s">
        <v>8480</v>
      </c>
      <c r="B1742" t="s">
        <v>1</v>
      </c>
      <c r="C1742" t="s">
        <v>8481</v>
      </c>
      <c r="E1742" t="s">
        <v>8482</v>
      </c>
      <c r="F1742" t="s">
        <v>5</v>
      </c>
      <c r="G1742" t="s">
        <v>6</v>
      </c>
      <c r="L1742" t="s">
        <v>7</v>
      </c>
      <c r="M1742">
        <v>2018</v>
      </c>
      <c r="N1742" s="1">
        <v>44644</v>
      </c>
      <c r="O1742" t="s">
        <v>8483</v>
      </c>
      <c r="P1742">
        <v>1</v>
      </c>
      <c r="Q1742" t="s">
        <v>7973</v>
      </c>
      <c r="S1742">
        <v>261.95</v>
      </c>
      <c r="T1742">
        <v>300</v>
      </c>
      <c r="U1742">
        <v>230</v>
      </c>
      <c r="V1742" t="s">
        <v>329</v>
      </c>
      <c r="W1742" t="s">
        <v>330</v>
      </c>
      <c r="X1742" t="s">
        <v>331</v>
      </c>
      <c r="Y1742" t="s">
        <v>4770</v>
      </c>
      <c r="AF1742" t="s">
        <v>13</v>
      </c>
      <c r="AG1742" t="str">
        <f>HYPERLINK("https://doi.org/10.1515/9781474421782?locatt=mode:legacy")</f>
        <v>https://doi.org/10.1515/9781474421782?locatt=mode:legacy</v>
      </c>
      <c r="AH1742" t="str">
        <f>HYPERLINK("http://www.degruyter.com/isbn/9781474421782")</f>
        <v>http://www.degruyter.com/isbn/9781474421782</v>
      </c>
      <c r="AI1742" t="s">
        <v>46</v>
      </c>
      <c r="AL1742" t="s">
        <v>333</v>
      </c>
      <c r="AM1742">
        <v>1</v>
      </c>
      <c r="AN1742" s="2">
        <v>9781474421775</v>
      </c>
    </row>
    <row r="1743" spans="1:40" x14ac:dyDescent="0.3">
      <c r="A1743" t="s">
        <v>8484</v>
      </c>
      <c r="B1743" t="s">
        <v>1</v>
      </c>
      <c r="C1743" t="s">
        <v>8485</v>
      </c>
      <c r="D1743" t="s">
        <v>8486</v>
      </c>
      <c r="E1743" t="s">
        <v>8487</v>
      </c>
      <c r="F1743" t="s">
        <v>5</v>
      </c>
      <c r="G1743" t="s">
        <v>6</v>
      </c>
      <c r="L1743" t="s">
        <v>7</v>
      </c>
      <c r="M1743">
        <v>2019</v>
      </c>
      <c r="N1743" s="1">
        <v>44592</v>
      </c>
      <c r="O1743" t="s">
        <v>8488</v>
      </c>
      <c r="P1743">
        <v>1</v>
      </c>
      <c r="Q1743" t="s">
        <v>8096</v>
      </c>
      <c r="S1743">
        <v>227.95</v>
      </c>
      <c r="T1743">
        <v>260</v>
      </c>
      <c r="U1743">
        <v>200</v>
      </c>
      <c r="V1743" t="s">
        <v>42</v>
      </c>
      <c r="W1743" t="s">
        <v>116</v>
      </c>
      <c r="X1743" t="s">
        <v>116</v>
      </c>
      <c r="Y1743" t="s">
        <v>117</v>
      </c>
      <c r="AF1743" t="s">
        <v>13</v>
      </c>
      <c r="AG1743" t="str">
        <f>HYPERLINK("https://doi.org/10.1515/9780748633494")</f>
        <v>https://doi.org/10.1515/9780748633494</v>
      </c>
      <c r="AH1743" t="str">
        <f>HYPERLINK("http://www.degruyter.com/isbn/9780748633494")</f>
        <v>http://www.degruyter.com/isbn/9780748633494</v>
      </c>
      <c r="AI1743" t="s">
        <v>280</v>
      </c>
      <c r="AL1743" t="s">
        <v>47</v>
      </c>
      <c r="AM1743">
        <v>1</v>
      </c>
      <c r="AN1743" s="2">
        <v>9780748633470</v>
      </c>
    </row>
    <row r="1744" spans="1:40" x14ac:dyDescent="0.3">
      <c r="A1744" t="s">
        <v>8489</v>
      </c>
      <c r="B1744" t="s">
        <v>1</v>
      </c>
      <c r="C1744" t="s">
        <v>8490</v>
      </c>
      <c r="D1744" t="s">
        <v>8491</v>
      </c>
      <c r="E1744" t="s">
        <v>8492</v>
      </c>
      <c r="F1744" t="s">
        <v>5</v>
      </c>
      <c r="G1744" t="s">
        <v>6</v>
      </c>
      <c r="L1744" t="s">
        <v>7</v>
      </c>
      <c r="M1744">
        <v>2019</v>
      </c>
      <c r="N1744" s="1">
        <v>44644</v>
      </c>
      <c r="O1744" t="s">
        <v>8493</v>
      </c>
      <c r="P1744">
        <v>1</v>
      </c>
      <c r="Q1744" t="s">
        <v>5764</v>
      </c>
      <c r="S1744">
        <v>217.95</v>
      </c>
      <c r="T1744">
        <v>250</v>
      </c>
      <c r="U1744">
        <v>190</v>
      </c>
      <c r="V1744" t="s">
        <v>9</v>
      </c>
      <c r="W1744" t="s">
        <v>10</v>
      </c>
      <c r="X1744" t="s">
        <v>11</v>
      </c>
      <c r="Y1744" t="s">
        <v>52</v>
      </c>
      <c r="AF1744" t="s">
        <v>13</v>
      </c>
      <c r="AG1744" t="str">
        <f>HYPERLINK("https://doi.org/10.1515/9781474446068?locatt=mode:legacy")</f>
        <v>https://doi.org/10.1515/9781474446068?locatt=mode:legacy</v>
      </c>
      <c r="AH1744" t="str">
        <f>HYPERLINK("http://www.degruyter.com/isbn/9781474446068")</f>
        <v>http://www.degruyter.com/isbn/9781474446068</v>
      </c>
      <c r="AI1744" t="s">
        <v>280</v>
      </c>
      <c r="AL1744" t="s">
        <v>15</v>
      </c>
      <c r="AM1744">
        <v>1</v>
      </c>
      <c r="AN1744" s="2">
        <v>9781474446044</v>
      </c>
    </row>
    <row r="1745" spans="1:40" x14ac:dyDescent="0.3">
      <c r="A1745" t="s">
        <v>8494</v>
      </c>
      <c r="B1745" t="s">
        <v>1</v>
      </c>
      <c r="C1745" t="s">
        <v>8495</v>
      </c>
      <c r="D1745" t="s">
        <v>8496</v>
      </c>
      <c r="E1745" t="s">
        <v>8497</v>
      </c>
      <c r="F1745" t="s">
        <v>5</v>
      </c>
      <c r="G1745" t="s">
        <v>6</v>
      </c>
      <c r="L1745" t="s">
        <v>7</v>
      </c>
      <c r="M1745">
        <v>2019</v>
      </c>
      <c r="N1745" s="1">
        <v>44656</v>
      </c>
      <c r="O1745" t="s">
        <v>4499</v>
      </c>
      <c r="P1745">
        <v>1</v>
      </c>
      <c r="Q1745" t="s">
        <v>6815</v>
      </c>
      <c r="S1745">
        <v>217.95</v>
      </c>
      <c r="T1745">
        <v>250</v>
      </c>
      <c r="U1745">
        <v>190</v>
      </c>
      <c r="V1745" t="s">
        <v>42</v>
      </c>
      <c r="W1745" t="s">
        <v>107</v>
      </c>
      <c r="X1745" t="s">
        <v>108</v>
      </c>
      <c r="Y1745" t="s">
        <v>221</v>
      </c>
      <c r="AF1745" t="s">
        <v>13</v>
      </c>
      <c r="AG1745" t="str">
        <f>HYPERLINK("https://doi.org/10.1515/9781474403986")</f>
        <v>https://doi.org/10.1515/9781474403986</v>
      </c>
      <c r="AH1745" t="str">
        <f>HYPERLINK("http://www.degruyter.com/isbn/9781474403986")</f>
        <v>http://www.degruyter.com/isbn/9781474403986</v>
      </c>
      <c r="AI1745" t="s">
        <v>280</v>
      </c>
      <c r="AL1745" t="s">
        <v>47</v>
      </c>
      <c r="AM1745">
        <v>1</v>
      </c>
      <c r="AN1745" s="2">
        <v>9781474403962</v>
      </c>
    </row>
    <row r="1746" spans="1:40" x14ac:dyDescent="0.3">
      <c r="A1746" t="s">
        <v>8498</v>
      </c>
      <c r="B1746" t="s">
        <v>1</v>
      </c>
      <c r="C1746" t="s">
        <v>8499</v>
      </c>
      <c r="D1746" t="s">
        <v>8500</v>
      </c>
      <c r="E1746" t="s">
        <v>8501</v>
      </c>
      <c r="F1746" t="s">
        <v>5</v>
      </c>
      <c r="G1746" t="s">
        <v>6</v>
      </c>
      <c r="L1746" t="s">
        <v>7</v>
      </c>
      <c r="M1746">
        <v>2017</v>
      </c>
      <c r="N1746" s="1">
        <v>42824</v>
      </c>
      <c r="O1746" t="s">
        <v>144</v>
      </c>
      <c r="P1746">
        <v>1</v>
      </c>
      <c r="S1746">
        <v>253.95</v>
      </c>
      <c r="T1746">
        <v>290</v>
      </c>
      <c r="U1746">
        <v>220</v>
      </c>
      <c r="V1746" t="s">
        <v>58</v>
      </c>
      <c r="W1746" t="s">
        <v>59</v>
      </c>
      <c r="X1746" t="s">
        <v>60</v>
      </c>
      <c r="Y1746" t="s">
        <v>8502</v>
      </c>
      <c r="AF1746" t="s">
        <v>13</v>
      </c>
      <c r="AG1746" t="str">
        <f>HYPERLINK("https://doi.org/10.1515/9781474416443")</f>
        <v>https://doi.org/10.1515/9781474416443</v>
      </c>
      <c r="AH1746" t="str">
        <f>HYPERLINK("http://www.degruyter.com/isbn/9781474416443")</f>
        <v>http://www.degruyter.com/isbn/9781474416443</v>
      </c>
      <c r="AI1746" t="s">
        <v>222</v>
      </c>
      <c r="AL1746" t="s">
        <v>62</v>
      </c>
      <c r="AM1746">
        <v>1</v>
      </c>
      <c r="AN1746" s="2">
        <v>9781474416429</v>
      </c>
    </row>
    <row r="1747" spans="1:40" x14ac:dyDescent="0.3">
      <c r="A1747" t="s">
        <v>8503</v>
      </c>
      <c r="B1747" t="s">
        <v>1</v>
      </c>
      <c r="C1747" t="s">
        <v>6983</v>
      </c>
      <c r="D1747" t="s">
        <v>8504</v>
      </c>
      <c r="E1747" t="s">
        <v>6985</v>
      </c>
      <c r="F1747" t="s">
        <v>5</v>
      </c>
      <c r="G1747" t="s">
        <v>6</v>
      </c>
      <c r="L1747" t="s">
        <v>7</v>
      </c>
      <c r="M1747">
        <v>2019</v>
      </c>
      <c r="N1747" s="1">
        <v>44656</v>
      </c>
      <c r="O1747" t="s">
        <v>8505</v>
      </c>
      <c r="P1747">
        <v>1</v>
      </c>
      <c r="Q1747" t="s">
        <v>7655</v>
      </c>
      <c r="S1747">
        <v>227.95</v>
      </c>
      <c r="T1747">
        <v>260</v>
      </c>
      <c r="U1747">
        <v>200</v>
      </c>
      <c r="V1747" t="s">
        <v>9</v>
      </c>
      <c r="W1747" t="s">
        <v>10</v>
      </c>
      <c r="X1747" t="s">
        <v>11</v>
      </c>
      <c r="Y1747" t="s">
        <v>52</v>
      </c>
      <c r="AF1747" t="s">
        <v>13</v>
      </c>
      <c r="AG1747" t="str">
        <f>HYPERLINK("https://www.degruyter.com/isbn/9781474447638")</f>
        <v>https://www.degruyter.com/isbn/9781474447638</v>
      </c>
      <c r="AH1747" t="str">
        <f>HYPERLINK("http://www.degruyter.com/isbn/9781474447638")</f>
        <v>http://www.degruyter.com/isbn/9781474447638</v>
      </c>
      <c r="AI1747" t="s">
        <v>280</v>
      </c>
      <c r="AL1747" t="s">
        <v>15</v>
      </c>
      <c r="AM1747">
        <v>1</v>
      </c>
      <c r="AN1747" s="2">
        <v>9781474447621</v>
      </c>
    </row>
    <row r="1748" spans="1:40" x14ac:dyDescent="0.3">
      <c r="A1748" t="s">
        <v>8506</v>
      </c>
      <c r="B1748" t="s">
        <v>1</v>
      </c>
      <c r="C1748" t="s">
        <v>8507</v>
      </c>
      <c r="D1748" t="s">
        <v>8508</v>
      </c>
      <c r="E1748" t="s">
        <v>8509</v>
      </c>
      <c r="F1748" t="s">
        <v>5</v>
      </c>
      <c r="G1748" t="s">
        <v>6</v>
      </c>
      <c r="L1748" t="s">
        <v>7</v>
      </c>
      <c r="M1748">
        <v>2016</v>
      </c>
      <c r="N1748" s="1">
        <v>42562</v>
      </c>
      <c r="O1748" t="s">
        <v>8510</v>
      </c>
      <c r="P1748">
        <v>1</v>
      </c>
      <c r="S1748">
        <v>217.95</v>
      </c>
      <c r="T1748">
        <v>250</v>
      </c>
      <c r="U1748">
        <v>190</v>
      </c>
      <c r="V1748" t="s">
        <v>42</v>
      </c>
      <c r="W1748" t="s">
        <v>107</v>
      </c>
      <c r="X1748" t="s">
        <v>108</v>
      </c>
      <c r="Y1748" t="s">
        <v>109</v>
      </c>
      <c r="AF1748" t="s">
        <v>13</v>
      </c>
      <c r="AG1748" t="str">
        <f>HYPERLINK("https://doi.org/10.1515/9780748690855")</f>
        <v>https://doi.org/10.1515/9780748690855</v>
      </c>
      <c r="AH1748" t="str">
        <f>HYPERLINK("http://www.degruyter.com/isbn/9780748690855")</f>
        <v>http://www.degruyter.com/isbn/9780748690855</v>
      </c>
      <c r="AI1748" t="s">
        <v>180</v>
      </c>
      <c r="AL1748" t="s">
        <v>47</v>
      </c>
      <c r="AM1748">
        <v>1</v>
      </c>
      <c r="AN1748" s="2">
        <v>9780748690848</v>
      </c>
    </row>
    <row r="1749" spans="1:40" x14ac:dyDescent="0.3">
      <c r="A1749" t="s">
        <v>8511</v>
      </c>
      <c r="B1749" t="s">
        <v>1</v>
      </c>
      <c r="C1749" t="s">
        <v>8512</v>
      </c>
      <c r="D1749" t="s">
        <v>8513</v>
      </c>
      <c r="E1749" t="s">
        <v>8514</v>
      </c>
      <c r="F1749" t="s">
        <v>5</v>
      </c>
      <c r="G1749" t="s">
        <v>6</v>
      </c>
      <c r="L1749" t="s">
        <v>7</v>
      </c>
      <c r="M1749">
        <v>2016</v>
      </c>
      <c r="N1749" s="1">
        <v>42562</v>
      </c>
      <c r="O1749" t="s">
        <v>8515</v>
      </c>
      <c r="P1749">
        <v>1</v>
      </c>
      <c r="Q1749" t="s">
        <v>7019</v>
      </c>
      <c r="S1749">
        <v>217.95</v>
      </c>
      <c r="T1749">
        <v>250</v>
      </c>
      <c r="U1749">
        <v>190</v>
      </c>
      <c r="V1749" t="s">
        <v>42</v>
      </c>
      <c r="W1749" t="s">
        <v>116</v>
      </c>
      <c r="X1749" t="s">
        <v>116</v>
      </c>
      <c r="Y1749" t="s">
        <v>117</v>
      </c>
      <c r="AF1749" t="s">
        <v>13</v>
      </c>
      <c r="AG1749" t="str">
        <f>HYPERLINK("https://doi.org/10.1515/9781474409438?locatt=mode:legacy")</f>
        <v>https://doi.org/10.1515/9781474409438?locatt=mode:legacy</v>
      </c>
      <c r="AH1749" t="str">
        <f>HYPERLINK("http://www.degruyter.com/isbn/9781474409438")</f>
        <v>http://www.degruyter.com/isbn/9781474409438</v>
      </c>
      <c r="AI1749" t="s">
        <v>180</v>
      </c>
      <c r="AL1749" t="s">
        <v>47</v>
      </c>
      <c r="AM1749">
        <v>1</v>
      </c>
      <c r="AN1749" s="2">
        <v>9781474409421</v>
      </c>
    </row>
    <row r="1750" spans="1:40" x14ac:dyDescent="0.3">
      <c r="A1750" t="s">
        <v>8516</v>
      </c>
      <c r="B1750" t="s">
        <v>1</v>
      </c>
      <c r="C1750" t="s">
        <v>8517</v>
      </c>
      <c r="D1750" t="s">
        <v>8518</v>
      </c>
      <c r="E1750" t="s">
        <v>8519</v>
      </c>
      <c r="F1750" t="s">
        <v>5</v>
      </c>
      <c r="G1750" t="s">
        <v>6</v>
      </c>
      <c r="L1750" t="s">
        <v>7</v>
      </c>
      <c r="M1750">
        <v>2020</v>
      </c>
      <c r="N1750" s="1">
        <v>44656</v>
      </c>
      <c r="O1750" t="s">
        <v>8520</v>
      </c>
      <c r="P1750">
        <v>1</v>
      </c>
      <c r="S1750">
        <v>227.95</v>
      </c>
      <c r="T1750">
        <v>260</v>
      </c>
      <c r="U1750">
        <v>200</v>
      </c>
      <c r="V1750" t="s">
        <v>58</v>
      </c>
      <c r="W1750" t="s">
        <v>59</v>
      </c>
      <c r="X1750" t="s">
        <v>60</v>
      </c>
      <c r="Y1750" t="s">
        <v>1171</v>
      </c>
      <c r="AF1750" t="s">
        <v>13</v>
      </c>
      <c r="AG1750" t="str">
        <f>HYPERLINK("https://doi.org/10.1515/9781474443098")</f>
        <v>https://doi.org/10.1515/9781474443098</v>
      </c>
      <c r="AH1750" t="str">
        <f>HYPERLINK("http://www.degruyter.com/isbn/9781474443098")</f>
        <v>http://www.degruyter.com/isbn/9781474443098</v>
      </c>
      <c r="AI1750" t="s">
        <v>14</v>
      </c>
      <c r="AL1750" t="s">
        <v>62</v>
      </c>
      <c r="AM1750">
        <v>1</v>
      </c>
      <c r="AN1750" s="2">
        <v>9781474443074</v>
      </c>
    </row>
    <row r="1751" spans="1:40" x14ac:dyDescent="0.3">
      <c r="A1751" t="s">
        <v>8521</v>
      </c>
      <c r="B1751" t="s">
        <v>1</v>
      </c>
      <c r="C1751" t="s">
        <v>8522</v>
      </c>
      <c r="D1751" t="s">
        <v>8523</v>
      </c>
      <c r="E1751" t="s">
        <v>8524</v>
      </c>
      <c r="F1751" t="s">
        <v>5</v>
      </c>
      <c r="G1751" t="s">
        <v>6</v>
      </c>
      <c r="L1751" t="s">
        <v>7</v>
      </c>
      <c r="M1751">
        <v>2020</v>
      </c>
      <c r="N1751" s="1">
        <v>44656</v>
      </c>
      <c r="O1751" t="s">
        <v>8525</v>
      </c>
      <c r="P1751">
        <v>1</v>
      </c>
      <c r="S1751">
        <v>209.95</v>
      </c>
      <c r="T1751">
        <v>240</v>
      </c>
      <c r="U1751">
        <v>180</v>
      </c>
      <c r="V1751" t="s">
        <v>98</v>
      </c>
      <c r="W1751" t="s">
        <v>256</v>
      </c>
      <c r="X1751" t="s">
        <v>257</v>
      </c>
      <c r="Y1751" t="s">
        <v>258</v>
      </c>
      <c r="AF1751" t="s">
        <v>13</v>
      </c>
      <c r="AG1751" t="str">
        <f>HYPERLINK("https://doi.org/10.1515/9781474426275")</f>
        <v>https://doi.org/10.1515/9781474426275</v>
      </c>
      <c r="AH1751" t="str">
        <f>HYPERLINK("http://www.degruyter.com/isbn/9781474426275")</f>
        <v>http://www.degruyter.com/isbn/9781474426275</v>
      </c>
      <c r="AI1751" t="s">
        <v>14</v>
      </c>
      <c r="AL1751" t="s">
        <v>102</v>
      </c>
      <c r="AM1751">
        <v>1</v>
      </c>
      <c r="AN1751" s="2">
        <v>9781474426251</v>
      </c>
    </row>
    <row r="1752" spans="1:40" x14ac:dyDescent="0.3">
      <c r="A1752" t="s">
        <v>8526</v>
      </c>
      <c r="B1752" t="s">
        <v>1</v>
      </c>
      <c r="C1752" t="s">
        <v>8527</v>
      </c>
      <c r="E1752" t="s">
        <v>8528</v>
      </c>
      <c r="F1752" t="s">
        <v>5</v>
      </c>
      <c r="G1752" t="s">
        <v>6</v>
      </c>
      <c r="L1752" t="s">
        <v>7</v>
      </c>
      <c r="M1752">
        <v>2014</v>
      </c>
      <c r="N1752" s="1">
        <v>41920</v>
      </c>
      <c r="O1752" t="s">
        <v>8529</v>
      </c>
      <c r="P1752">
        <v>1</v>
      </c>
      <c r="S1752">
        <v>217.95</v>
      </c>
      <c r="T1752">
        <v>250</v>
      </c>
      <c r="U1752">
        <v>190</v>
      </c>
      <c r="V1752" t="s">
        <v>42</v>
      </c>
      <c r="W1752" t="s">
        <v>107</v>
      </c>
      <c r="X1752" t="s">
        <v>108</v>
      </c>
      <c r="Y1752" t="s">
        <v>109</v>
      </c>
      <c r="AF1752" t="s">
        <v>13</v>
      </c>
      <c r="AG1752" t="str">
        <f>HYPERLINK("https://doi.org/10.1515/9780748690992?locatt=mode:legacy")</f>
        <v>https://doi.org/10.1515/9780748690992?locatt=mode:legacy</v>
      </c>
      <c r="AH1752" t="str">
        <f>HYPERLINK("http://www.degruyter.com/isbn/9780748690992")</f>
        <v>http://www.degruyter.com/isbn/9780748690992</v>
      </c>
      <c r="AI1752" t="s">
        <v>34</v>
      </c>
      <c r="AL1752" t="s">
        <v>47</v>
      </c>
      <c r="AM1752">
        <v>1</v>
      </c>
      <c r="AN1752" s="2">
        <v>9780748690985</v>
      </c>
    </row>
    <row r="1753" spans="1:40" x14ac:dyDescent="0.3">
      <c r="A1753" t="s">
        <v>8530</v>
      </c>
      <c r="B1753" t="s">
        <v>1</v>
      </c>
      <c r="C1753" t="s">
        <v>8531</v>
      </c>
      <c r="E1753" t="s">
        <v>8532</v>
      </c>
      <c r="F1753" t="s">
        <v>5</v>
      </c>
      <c r="G1753" t="s">
        <v>6</v>
      </c>
      <c r="L1753" t="s">
        <v>7</v>
      </c>
      <c r="M1753">
        <v>2003</v>
      </c>
      <c r="N1753" s="1">
        <v>44607</v>
      </c>
      <c r="O1753" t="s">
        <v>6575</v>
      </c>
      <c r="P1753">
        <v>1</v>
      </c>
      <c r="Q1753" t="s">
        <v>6820</v>
      </c>
      <c r="S1753">
        <v>217.95</v>
      </c>
      <c r="T1753">
        <v>250</v>
      </c>
      <c r="U1753">
        <v>190</v>
      </c>
      <c r="V1753" t="s">
        <v>79</v>
      </c>
      <c r="W1753" t="s">
        <v>227</v>
      </c>
      <c r="X1753" t="s">
        <v>234</v>
      </c>
      <c r="Y1753" t="s">
        <v>355</v>
      </c>
      <c r="AF1753" t="s">
        <v>13</v>
      </c>
      <c r="AG1753" t="str">
        <f>HYPERLINK("https://doi.org/10.1515/9781474465533")</f>
        <v>https://doi.org/10.1515/9781474465533</v>
      </c>
      <c r="AH1753" t="str">
        <f>HYPERLINK("http://www.degruyter.com/isbn/9781474465533")</f>
        <v>http://www.degruyter.com/isbn/9781474465533</v>
      </c>
      <c r="AI1753" t="s">
        <v>68</v>
      </c>
      <c r="AL1753" t="s">
        <v>83</v>
      </c>
      <c r="AM1753">
        <v>1</v>
      </c>
      <c r="AN1753" s="2">
        <v>9780748616572</v>
      </c>
    </row>
    <row r="1754" spans="1:40" x14ac:dyDescent="0.3">
      <c r="A1754" t="s">
        <v>8533</v>
      </c>
      <c r="B1754" t="s">
        <v>1</v>
      </c>
      <c r="C1754" t="s">
        <v>8534</v>
      </c>
      <c r="E1754" t="s">
        <v>8535</v>
      </c>
      <c r="F1754" t="s">
        <v>5</v>
      </c>
      <c r="G1754" t="s">
        <v>6</v>
      </c>
      <c r="L1754" t="s">
        <v>7</v>
      </c>
      <c r="M1754">
        <v>2018</v>
      </c>
      <c r="N1754" s="1">
        <v>44656</v>
      </c>
      <c r="O1754" t="s">
        <v>8536</v>
      </c>
      <c r="P1754">
        <v>1</v>
      </c>
      <c r="Q1754" t="s">
        <v>8537</v>
      </c>
      <c r="S1754">
        <v>191.95</v>
      </c>
      <c r="T1754">
        <v>220</v>
      </c>
      <c r="U1754">
        <v>170</v>
      </c>
      <c r="V1754" t="s">
        <v>42</v>
      </c>
      <c r="W1754" t="s">
        <v>116</v>
      </c>
      <c r="X1754" t="s">
        <v>116</v>
      </c>
      <c r="Y1754" t="s">
        <v>117</v>
      </c>
      <c r="AF1754" t="s">
        <v>13</v>
      </c>
      <c r="AG1754" t="str">
        <f>HYPERLINK("https://doi.org/10.1515/9781474405546")</f>
        <v>https://doi.org/10.1515/9781474405546</v>
      </c>
      <c r="AH1754" t="str">
        <f>HYPERLINK("http://www.degruyter.com/isbn/9781474405546")</f>
        <v>http://www.degruyter.com/isbn/9781474405546</v>
      </c>
      <c r="AI1754" t="s">
        <v>46</v>
      </c>
      <c r="AL1754" t="s">
        <v>47</v>
      </c>
      <c r="AM1754">
        <v>1</v>
      </c>
      <c r="AN1754" s="2">
        <v>9781474405522</v>
      </c>
    </row>
    <row r="1755" spans="1:40" x14ac:dyDescent="0.3">
      <c r="A1755" t="s">
        <v>8538</v>
      </c>
      <c r="B1755" t="s">
        <v>1</v>
      </c>
      <c r="C1755" t="s">
        <v>8539</v>
      </c>
      <c r="D1755" t="s">
        <v>2122</v>
      </c>
      <c r="E1755" t="s">
        <v>8540</v>
      </c>
      <c r="F1755" t="s">
        <v>5</v>
      </c>
      <c r="G1755" t="s">
        <v>6</v>
      </c>
      <c r="L1755" t="s">
        <v>7</v>
      </c>
      <c r="M1755">
        <v>2007</v>
      </c>
      <c r="N1755" s="1">
        <v>39373</v>
      </c>
      <c r="O1755" t="s">
        <v>8541</v>
      </c>
      <c r="P1755">
        <v>1</v>
      </c>
      <c r="S1755">
        <v>217.95</v>
      </c>
      <c r="T1755">
        <v>250</v>
      </c>
      <c r="U1755">
        <v>190</v>
      </c>
      <c r="V1755" t="s">
        <v>9</v>
      </c>
      <c r="W1755" t="s">
        <v>10</v>
      </c>
      <c r="X1755" t="s">
        <v>11</v>
      </c>
      <c r="Y1755" t="s">
        <v>3792</v>
      </c>
      <c r="AF1755" t="s">
        <v>13</v>
      </c>
      <c r="AG1755" t="str">
        <f>HYPERLINK("https://doi.org/10.1515/9780748629688?locatt=mode:legacy")</f>
        <v>https://doi.org/10.1515/9780748629688?locatt=mode:legacy</v>
      </c>
      <c r="AH1755" t="str">
        <f>HYPERLINK("http://www.degruyter.com/isbn/9780748629688")</f>
        <v>http://www.degruyter.com/isbn/9780748629688</v>
      </c>
      <c r="AI1755" t="s">
        <v>68</v>
      </c>
      <c r="AL1755" t="s">
        <v>15</v>
      </c>
      <c r="AM1755">
        <v>1</v>
      </c>
      <c r="AN1755" s="2">
        <v>9780748622306</v>
      </c>
    </row>
    <row r="1756" spans="1:40" x14ac:dyDescent="0.3">
      <c r="A1756" t="s">
        <v>8542</v>
      </c>
      <c r="B1756" t="s">
        <v>1</v>
      </c>
      <c r="C1756" t="s">
        <v>8543</v>
      </c>
      <c r="D1756" t="s">
        <v>8544</v>
      </c>
      <c r="E1756" t="s">
        <v>8545</v>
      </c>
      <c r="F1756" t="s">
        <v>5</v>
      </c>
      <c r="G1756" t="s">
        <v>6</v>
      </c>
      <c r="L1756" t="s">
        <v>7</v>
      </c>
      <c r="M1756">
        <v>2010</v>
      </c>
      <c r="N1756" s="1">
        <v>40329</v>
      </c>
      <c r="O1756" t="s">
        <v>8546</v>
      </c>
      <c r="P1756">
        <v>1</v>
      </c>
      <c r="Q1756" t="s">
        <v>7052</v>
      </c>
      <c r="S1756">
        <v>227.95</v>
      </c>
      <c r="T1756">
        <v>260</v>
      </c>
      <c r="U1756">
        <v>200</v>
      </c>
      <c r="V1756" t="s">
        <v>42</v>
      </c>
      <c r="W1756" t="s">
        <v>116</v>
      </c>
      <c r="X1756" t="s">
        <v>116</v>
      </c>
      <c r="Y1756" t="s">
        <v>117</v>
      </c>
      <c r="AF1756" t="s">
        <v>13</v>
      </c>
      <c r="AG1756" t="str">
        <f>HYPERLINK("https://doi.org/10.1515/9780748636457")</f>
        <v>https://doi.org/10.1515/9780748636457</v>
      </c>
      <c r="AH1756" t="str">
        <f>HYPERLINK("http://www.degruyter.com/isbn/9780748636457")</f>
        <v>http://www.degruyter.com/isbn/9780748636457</v>
      </c>
      <c r="AI1756" t="s">
        <v>68</v>
      </c>
      <c r="AL1756" t="s">
        <v>47</v>
      </c>
      <c r="AM1756">
        <v>1</v>
      </c>
      <c r="AN1756" s="2">
        <v>9780748636440</v>
      </c>
    </row>
    <row r="1757" spans="1:40" x14ac:dyDescent="0.3">
      <c r="A1757" t="s">
        <v>8547</v>
      </c>
      <c r="B1757" t="s">
        <v>1</v>
      </c>
      <c r="C1757" t="s">
        <v>8548</v>
      </c>
      <c r="E1757" t="s">
        <v>8549</v>
      </c>
      <c r="F1757" t="s">
        <v>5</v>
      </c>
      <c r="G1757" t="s">
        <v>6</v>
      </c>
      <c r="L1757" t="s">
        <v>7</v>
      </c>
      <c r="M1757">
        <v>2011</v>
      </c>
      <c r="N1757" s="1">
        <v>40680</v>
      </c>
      <c r="O1757" t="s">
        <v>1981</v>
      </c>
      <c r="P1757">
        <v>1</v>
      </c>
      <c r="Q1757" t="s">
        <v>7047</v>
      </c>
      <c r="S1757">
        <v>191.95</v>
      </c>
      <c r="T1757">
        <v>220</v>
      </c>
      <c r="U1757">
        <v>170</v>
      </c>
      <c r="V1757" t="s">
        <v>42</v>
      </c>
      <c r="W1757" t="s">
        <v>107</v>
      </c>
      <c r="X1757" t="s">
        <v>108</v>
      </c>
      <c r="Y1757" t="s">
        <v>952</v>
      </c>
      <c r="AF1757" t="s">
        <v>13</v>
      </c>
      <c r="AG1757" t="str">
        <f>HYPERLINK("https://doi.org/10.1515/9780748646357")</f>
        <v>https://doi.org/10.1515/9780748646357</v>
      </c>
      <c r="AH1757" t="str">
        <f>HYPERLINK("http://www.degruyter.com/isbn/9780748646357")</f>
        <v>http://www.degruyter.com/isbn/9780748646357</v>
      </c>
      <c r="AI1757" t="s">
        <v>68</v>
      </c>
      <c r="AL1757" t="s">
        <v>47</v>
      </c>
      <c r="AM1757">
        <v>1</v>
      </c>
      <c r="AN1757" s="2">
        <v>9780748638451</v>
      </c>
    </row>
    <row r="1758" spans="1:40" x14ac:dyDescent="0.3">
      <c r="A1758" t="s">
        <v>8550</v>
      </c>
      <c r="B1758" t="s">
        <v>1</v>
      </c>
      <c r="C1758" t="s">
        <v>8551</v>
      </c>
      <c r="E1758" t="s">
        <v>8552</v>
      </c>
      <c r="F1758" t="s">
        <v>5</v>
      </c>
      <c r="G1758" t="s">
        <v>6</v>
      </c>
      <c r="L1758" t="s">
        <v>7</v>
      </c>
      <c r="M1758">
        <v>2018</v>
      </c>
      <c r="N1758" s="1">
        <v>44656</v>
      </c>
      <c r="O1758" t="s">
        <v>8553</v>
      </c>
      <c r="P1758">
        <v>1</v>
      </c>
      <c r="Q1758" t="s">
        <v>8554</v>
      </c>
      <c r="S1758">
        <v>331.95</v>
      </c>
      <c r="T1758">
        <v>380</v>
      </c>
      <c r="U1758">
        <v>290</v>
      </c>
      <c r="V1758" t="s">
        <v>329</v>
      </c>
      <c r="W1758" t="s">
        <v>330</v>
      </c>
      <c r="X1758" t="s">
        <v>331</v>
      </c>
      <c r="Y1758" t="s">
        <v>4770</v>
      </c>
      <c r="AF1758" t="s">
        <v>13</v>
      </c>
      <c r="AG1758" t="str">
        <f>HYPERLINK("https://doi.org/10.1515/9781474429764")</f>
        <v>https://doi.org/10.1515/9781474429764</v>
      </c>
      <c r="AH1758" t="str">
        <f>HYPERLINK("http://www.degruyter.com/isbn/9781474429764")</f>
        <v>http://www.degruyter.com/isbn/9781474429764</v>
      </c>
      <c r="AI1758" t="s">
        <v>46</v>
      </c>
      <c r="AL1758" t="s">
        <v>333</v>
      </c>
      <c r="AM1758">
        <v>1</v>
      </c>
      <c r="AN1758" s="2">
        <v>9781474429740</v>
      </c>
    </row>
    <row r="1759" spans="1:40" x14ac:dyDescent="0.3">
      <c r="A1759" t="s">
        <v>8555</v>
      </c>
      <c r="B1759" t="s">
        <v>1</v>
      </c>
      <c r="C1759" t="s">
        <v>8556</v>
      </c>
      <c r="E1759" t="s">
        <v>8557</v>
      </c>
      <c r="F1759" t="s">
        <v>5</v>
      </c>
      <c r="G1759" t="s">
        <v>6</v>
      </c>
      <c r="L1759" t="s">
        <v>7</v>
      </c>
      <c r="M1759">
        <v>2015</v>
      </c>
      <c r="N1759" s="1">
        <v>42027</v>
      </c>
      <c r="O1759" t="s">
        <v>5816</v>
      </c>
      <c r="P1759">
        <v>1</v>
      </c>
      <c r="Q1759" t="s">
        <v>8558</v>
      </c>
      <c r="S1759">
        <v>243.95</v>
      </c>
      <c r="T1759">
        <v>280</v>
      </c>
      <c r="U1759">
        <v>210</v>
      </c>
      <c r="V1759" t="s">
        <v>89</v>
      </c>
      <c r="W1759" t="s">
        <v>90</v>
      </c>
      <c r="X1759" t="s">
        <v>91</v>
      </c>
      <c r="Y1759" t="s">
        <v>1914</v>
      </c>
      <c r="AF1759" t="s">
        <v>13</v>
      </c>
      <c r="AG1759" t="str">
        <f>HYPERLINK("https://doi.org/10.1515/9780748638277")</f>
        <v>https://doi.org/10.1515/9780748638277</v>
      </c>
      <c r="AH1759" t="str">
        <f>HYPERLINK("http://www.degruyter.com/isbn/9780748638277")</f>
        <v>http://www.degruyter.com/isbn/9780748638277</v>
      </c>
      <c r="AI1759" t="s">
        <v>34</v>
      </c>
      <c r="AL1759" t="s">
        <v>83</v>
      </c>
      <c r="AM1759">
        <v>1</v>
      </c>
      <c r="AN1759" s="2">
        <v>9780748638253</v>
      </c>
    </row>
    <row r="1760" spans="1:40" x14ac:dyDescent="0.3">
      <c r="A1760" t="s">
        <v>8559</v>
      </c>
      <c r="B1760" t="s">
        <v>1</v>
      </c>
      <c r="C1760" t="s">
        <v>8560</v>
      </c>
      <c r="E1760" t="s">
        <v>8561</v>
      </c>
      <c r="F1760" t="s">
        <v>5</v>
      </c>
      <c r="G1760" t="s">
        <v>6</v>
      </c>
      <c r="L1760" t="s">
        <v>7</v>
      </c>
      <c r="M1760">
        <v>1992</v>
      </c>
      <c r="N1760" s="1">
        <v>44719</v>
      </c>
      <c r="O1760" t="s">
        <v>8562</v>
      </c>
      <c r="P1760">
        <v>1</v>
      </c>
      <c r="Q1760" t="s">
        <v>8563</v>
      </c>
      <c r="S1760">
        <v>217.95</v>
      </c>
      <c r="T1760">
        <v>250</v>
      </c>
      <c r="U1760">
        <v>190</v>
      </c>
      <c r="V1760" t="s">
        <v>58</v>
      </c>
      <c r="W1760" t="s">
        <v>59</v>
      </c>
      <c r="X1760" t="s">
        <v>60</v>
      </c>
      <c r="Y1760" t="s">
        <v>8564</v>
      </c>
      <c r="AF1760" t="s">
        <v>13</v>
      </c>
      <c r="AG1760" t="str">
        <f>HYPERLINK("https://doi.org/10.1515/9781474465663")</f>
        <v>https://doi.org/10.1515/9781474465663</v>
      </c>
      <c r="AH1760" t="str">
        <f>HYPERLINK("http://www.degruyter.com/isbn/9781474465663")</f>
        <v>http://www.degruyter.com/isbn/9781474465663</v>
      </c>
      <c r="AI1760" t="s">
        <v>24</v>
      </c>
      <c r="AL1760" t="s">
        <v>62</v>
      </c>
      <c r="AM1760">
        <v>1</v>
      </c>
      <c r="AN1760" s="2">
        <v>9780748603831</v>
      </c>
    </row>
    <row r="1761" spans="1:40" x14ac:dyDescent="0.3">
      <c r="A1761" t="s">
        <v>8565</v>
      </c>
      <c r="B1761" t="s">
        <v>1</v>
      </c>
      <c r="C1761" t="s">
        <v>8566</v>
      </c>
      <c r="D1761" t="s">
        <v>8567</v>
      </c>
      <c r="E1761" t="s">
        <v>8568</v>
      </c>
      <c r="F1761" t="s">
        <v>5</v>
      </c>
      <c r="G1761" t="s">
        <v>6</v>
      </c>
      <c r="L1761" t="s">
        <v>7</v>
      </c>
      <c r="M1761">
        <v>2007</v>
      </c>
      <c r="N1761" s="1">
        <v>39412</v>
      </c>
      <c r="O1761" t="s">
        <v>8569</v>
      </c>
      <c r="P1761">
        <v>1</v>
      </c>
      <c r="Q1761" t="s">
        <v>8570</v>
      </c>
      <c r="S1761">
        <v>217.95</v>
      </c>
      <c r="T1761">
        <v>250</v>
      </c>
      <c r="U1761">
        <v>190</v>
      </c>
      <c r="V1761" t="s">
        <v>9</v>
      </c>
      <c r="W1761" t="s">
        <v>10</v>
      </c>
      <c r="X1761" t="s">
        <v>8571</v>
      </c>
      <c r="Y1761" t="s">
        <v>8572</v>
      </c>
      <c r="AF1761" t="s">
        <v>13</v>
      </c>
      <c r="AG1761" t="str">
        <f>HYPERLINK("https://doi.org/10.1515/9780748679607")</f>
        <v>https://doi.org/10.1515/9780748679607</v>
      </c>
      <c r="AH1761" t="str">
        <f>HYPERLINK("http://www.degruyter.com/isbn/9780748679607")</f>
        <v>http://www.degruyter.com/isbn/9780748679607</v>
      </c>
      <c r="AI1761" t="s">
        <v>68</v>
      </c>
      <c r="AL1761" t="s">
        <v>15</v>
      </c>
      <c r="AM1761">
        <v>1</v>
      </c>
      <c r="AN1761" s="2">
        <v>9780748635849</v>
      </c>
    </row>
    <row r="1762" spans="1:40" x14ac:dyDescent="0.3">
      <c r="A1762" t="s">
        <v>8573</v>
      </c>
      <c r="B1762" t="s">
        <v>1</v>
      </c>
      <c r="C1762" t="s">
        <v>8574</v>
      </c>
      <c r="E1762" t="s">
        <v>8575</v>
      </c>
      <c r="F1762" t="s">
        <v>5</v>
      </c>
      <c r="G1762" t="s">
        <v>6</v>
      </c>
      <c r="L1762" t="s">
        <v>7</v>
      </c>
      <c r="M1762">
        <v>2007</v>
      </c>
      <c r="N1762" s="1">
        <v>39108</v>
      </c>
      <c r="O1762" t="s">
        <v>8576</v>
      </c>
      <c r="P1762">
        <v>1</v>
      </c>
      <c r="Q1762" t="s">
        <v>6923</v>
      </c>
      <c r="S1762">
        <v>253.95</v>
      </c>
      <c r="T1762">
        <v>290</v>
      </c>
      <c r="U1762">
        <v>220</v>
      </c>
      <c r="V1762" t="s">
        <v>89</v>
      </c>
      <c r="W1762" t="s">
        <v>90</v>
      </c>
      <c r="X1762" t="s">
        <v>91</v>
      </c>
      <c r="Y1762" t="s">
        <v>717</v>
      </c>
      <c r="AF1762" t="s">
        <v>13</v>
      </c>
      <c r="AG1762" t="str">
        <f>HYPERLINK("https://doi.org/10.1515/9780748629244")</f>
        <v>https://doi.org/10.1515/9780748629244</v>
      </c>
      <c r="AH1762" t="str">
        <f>HYPERLINK("http://www.degruyter.com/isbn/9780748629244")</f>
        <v>http://www.degruyter.com/isbn/9780748629244</v>
      </c>
      <c r="AI1762" t="s">
        <v>68</v>
      </c>
      <c r="AL1762" t="s">
        <v>83</v>
      </c>
      <c r="AM1762">
        <v>1</v>
      </c>
      <c r="AN1762" s="2">
        <v>9780748620661</v>
      </c>
    </row>
    <row r="1763" spans="1:40" x14ac:dyDescent="0.3">
      <c r="A1763" t="s">
        <v>8577</v>
      </c>
      <c r="B1763" t="s">
        <v>1</v>
      </c>
      <c r="C1763" t="s">
        <v>8578</v>
      </c>
      <c r="D1763" t="s">
        <v>8579</v>
      </c>
      <c r="E1763" t="s">
        <v>8580</v>
      </c>
      <c r="F1763" t="s">
        <v>5</v>
      </c>
      <c r="G1763" t="s">
        <v>6</v>
      </c>
      <c r="L1763" t="s">
        <v>7</v>
      </c>
      <c r="M1763">
        <v>2020</v>
      </c>
      <c r="N1763" s="1">
        <v>44656</v>
      </c>
      <c r="O1763" t="s">
        <v>8581</v>
      </c>
      <c r="P1763">
        <v>1</v>
      </c>
      <c r="Q1763" t="s">
        <v>5754</v>
      </c>
      <c r="S1763">
        <v>261.95</v>
      </c>
      <c r="T1763">
        <v>300</v>
      </c>
      <c r="U1763">
        <v>230</v>
      </c>
      <c r="V1763" t="s">
        <v>79</v>
      </c>
      <c r="W1763" t="s">
        <v>209</v>
      </c>
      <c r="X1763" t="s">
        <v>209</v>
      </c>
      <c r="Y1763" t="s">
        <v>699</v>
      </c>
      <c r="AF1763" t="s">
        <v>13</v>
      </c>
      <c r="AG1763" t="str">
        <f>HYPERLINK("https://doi.org/10.1515/9781474466738")</f>
        <v>https://doi.org/10.1515/9781474466738</v>
      </c>
      <c r="AH1763" t="str">
        <f>HYPERLINK("http://www.degruyter.com/isbn/9781474466738")</f>
        <v>http://www.degruyter.com/isbn/9781474466738</v>
      </c>
      <c r="AI1763" t="s">
        <v>14</v>
      </c>
      <c r="AL1763" t="s">
        <v>83</v>
      </c>
      <c r="AM1763">
        <v>1</v>
      </c>
      <c r="AN1763" s="2">
        <v>9781474466714</v>
      </c>
    </row>
    <row r="1764" spans="1:40" x14ac:dyDescent="0.3">
      <c r="A1764" t="s">
        <v>8582</v>
      </c>
      <c r="B1764" t="s">
        <v>1</v>
      </c>
      <c r="C1764" t="s">
        <v>8583</v>
      </c>
      <c r="D1764" t="s">
        <v>8584</v>
      </c>
      <c r="E1764" t="s">
        <v>8585</v>
      </c>
      <c r="F1764" t="s">
        <v>5</v>
      </c>
      <c r="G1764" t="s">
        <v>6</v>
      </c>
      <c r="L1764" t="s">
        <v>7</v>
      </c>
      <c r="M1764">
        <v>2015</v>
      </c>
      <c r="N1764" s="1">
        <v>42045</v>
      </c>
      <c r="O1764" t="s">
        <v>8586</v>
      </c>
      <c r="P1764">
        <v>1</v>
      </c>
      <c r="Q1764" t="s">
        <v>8587</v>
      </c>
      <c r="S1764">
        <v>243.95</v>
      </c>
      <c r="T1764">
        <v>280</v>
      </c>
      <c r="U1764">
        <v>210</v>
      </c>
      <c r="V1764" t="s">
        <v>20</v>
      </c>
      <c r="W1764" t="s">
        <v>21</v>
      </c>
      <c r="X1764" t="s">
        <v>839</v>
      </c>
      <c r="Y1764" t="s">
        <v>1850</v>
      </c>
      <c r="AF1764" t="s">
        <v>13</v>
      </c>
      <c r="AG1764" t="str">
        <f>HYPERLINK("https://doi.org/10.1515/9780748693481")</f>
        <v>https://doi.org/10.1515/9780748693481</v>
      </c>
      <c r="AH1764" t="str">
        <f>HYPERLINK("http://www.degruyter.com/isbn/9780748693481")</f>
        <v>http://www.degruyter.com/isbn/9780748693481</v>
      </c>
      <c r="AI1764" t="s">
        <v>34</v>
      </c>
      <c r="AL1764" t="s">
        <v>15</v>
      </c>
      <c r="AM1764">
        <v>1</v>
      </c>
      <c r="AN1764" s="2">
        <v>9780748693337</v>
      </c>
    </row>
    <row r="1765" spans="1:40" x14ac:dyDescent="0.3">
      <c r="A1765" t="s">
        <v>8588</v>
      </c>
      <c r="B1765" t="s">
        <v>1</v>
      </c>
      <c r="C1765" t="s">
        <v>8589</v>
      </c>
      <c r="E1765" t="s">
        <v>8590</v>
      </c>
      <c r="F1765" t="s">
        <v>5</v>
      </c>
      <c r="G1765" t="s">
        <v>6</v>
      </c>
      <c r="L1765" t="s">
        <v>7</v>
      </c>
      <c r="M1765">
        <v>2018</v>
      </c>
      <c r="N1765" s="1">
        <v>44644</v>
      </c>
      <c r="O1765" t="s">
        <v>8591</v>
      </c>
      <c r="P1765">
        <v>1</v>
      </c>
      <c r="Q1765" t="s">
        <v>8558</v>
      </c>
      <c r="S1765">
        <v>243.95</v>
      </c>
      <c r="T1765">
        <v>280</v>
      </c>
      <c r="U1765">
        <v>210</v>
      </c>
      <c r="V1765" t="s">
        <v>20</v>
      </c>
      <c r="W1765" t="s">
        <v>21</v>
      </c>
      <c r="X1765" t="s">
        <v>839</v>
      </c>
      <c r="Y1765" t="s">
        <v>1850</v>
      </c>
      <c r="AF1765" t="s">
        <v>13</v>
      </c>
      <c r="AG1765" t="str">
        <f>HYPERLINK("https://doi.org/10.1515/9781474417402")</f>
        <v>https://doi.org/10.1515/9781474417402</v>
      </c>
      <c r="AH1765" t="str">
        <f>HYPERLINK("http://www.degruyter.com/isbn/9781474417402")</f>
        <v>http://www.degruyter.com/isbn/9781474417402</v>
      </c>
      <c r="AI1765" t="s">
        <v>46</v>
      </c>
      <c r="AL1765" t="s">
        <v>15</v>
      </c>
      <c r="AM1765">
        <v>1</v>
      </c>
      <c r="AN1765" s="2">
        <v>9780748642373</v>
      </c>
    </row>
    <row r="1766" spans="1:40" x14ac:dyDescent="0.3">
      <c r="A1766" t="s">
        <v>8592</v>
      </c>
      <c r="B1766" t="s">
        <v>1</v>
      </c>
      <c r="C1766" t="s">
        <v>8593</v>
      </c>
      <c r="D1766" t="s">
        <v>8594</v>
      </c>
      <c r="E1766" t="s">
        <v>8595</v>
      </c>
      <c r="F1766" t="s">
        <v>5</v>
      </c>
      <c r="G1766" t="s">
        <v>6</v>
      </c>
      <c r="L1766" t="s">
        <v>7</v>
      </c>
      <c r="M1766">
        <v>1998</v>
      </c>
      <c r="N1766" s="1">
        <v>44599</v>
      </c>
      <c r="O1766" t="s">
        <v>8596</v>
      </c>
      <c r="P1766">
        <v>1</v>
      </c>
      <c r="S1766">
        <v>305.95</v>
      </c>
      <c r="T1766">
        <v>350</v>
      </c>
      <c r="U1766">
        <v>270</v>
      </c>
      <c r="V1766" t="s">
        <v>58</v>
      </c>
      <c r="W1766" t="s">
        <v>59</v>
      </c>
      <c r="X1766" t="s">
        <v>60</v>
      </c>
      <c r="Y1766" t="s">
        <v>169</v>
      </c>
      <c r="AF1766" t="s">
        <v>13</v>
      </c>
      <c r="AG1766" t="str">
        <f>HYPERLINK("https://doi.org/10.1515/9781474400732")</f>
        <v>https://doi.org/10.1515/9781474400732</v>
      </c>
      <c r="AH1766" t="str">
        <f>HYPERLINK("http://www.degruyter.com/isbn/9781474400732")</f>
        <v>http://www.degruyter.com/isbn/9781474400732</v>
      </c>
      <c r="AI1766" t="s">
        <v>24</v>
      </c>
      <c r="AL1766" t="s">
        <v>62</v>
      </c>
      <c r="AM1766">
        <v>1</v>
      </c>
      <c r="AN1766" s="2">
        <v>9781853312113</v>
      </c>
    </row>
    <row r="1767" spans="1:40" x14ac:dyDescent="0.3">
      <c r="A1767" t="s">
        <v>8597</v>
      </c>
      <c r="B1767" t="s">
        <v>1</v>
      </c>
      <c r="C1767" t="s">
        <v>8598</v>
      </c>
      <c r="E1767" t="s">
        <v>8599</v>
      </c>
      <c r="F1767" t="s">
        <v>5</v>
      </c>
      <c r="G1767" t="s">
        <v>6</v>
      </c>
      <c r="K1767" t="s">
        <v>929</v>
      </c>
      <c r="L1767" t="s">
        <v>7</v>
      </c>
      <c r="M1767">
        <v>2018</v>
      </c>
      <c r="N1767" s="1">
        <v>43418</v>
      </c>
      <c r="O1767" t="s">
        <v>8600</v>
      </c>
      <c r="P1767">
        <v>1</v>
      </c>
      <c r="Q1767" t="s">
        <v>8601</v>
      </c>
      <c r="V1767" t="s">
        <v>305</v>
      </c>
      <c r="W1767" t="s">
        <v>2566</v>
      </c>
      <c r="X1767" t="s">
        <v>2567</v>
      </c>
      <c r="Y1767" t="s">
        <v>4151</v>
      </c>
      <c r="AF1767" t="s">
        <v>13</v>
      </c>
      <c r="AG1767" t="str">
        <f>HYPERLINK("https://doi.org/10.1515/9781474430357")</f>
        <v>https://doi.org/10.1515/9781474430357</v>
      </c>
      <c r="AH1767" t="str">
        <f>HYPERLINK("http://www.degruyter.com/isbn/9781474430357")</f>
        <v>http://www.degruyter.com/isbn/9781474430357</v>
      </c>
      <c r="AI1767" t="s">
        <v>46</v>
      </c>
      <c r="AM1767">
        <v>1</v>
      </c>
      <c r="AN1767" s="2"/>
    </row>
    <row r="1768" spans="1:40" x14ac:dyDescent="0.3">
      <c r="A1768" t="s">
        <v>8602</v>
      </c>
      <c r="B1768" t="s">
        <v>1</v>
      </c>
      <c r="C1768" t="s">
        <v>8603</v>
      </c>
      <c r="D1768" t="s">
        <v>8604</v>
      </c>
      <c r="E1768" t="s">
        <v>8605</v>
      </c>
      <c r="F1768" t="s">
        <v>5</v>
      </c>
      <c r="G1768" t="s">
        <v>6</v>
      </c>
      <c r="L1768" t="s">
        <v>7</v>
      </c>
      <c r="M1768">
        <v>2020</v>
      </c>
      <c r="N1768" s="1">
        <v>44656</v>
      </c>
      <c r="O1768" t="s">
        <v>8606</v>
      </c>
      <c r="P1768">
        <v>1</v>
      </c>
      <c r="Q1768" t="s">
        <v>8607</v>
      </c>
      <c r="S1768">
        <v>217.95</v>
      </c>
      <c r="T1768">
        <v>250</v>
      </c>
      <c r="U1768">
        <v>190</v>
      </c>
      <c r="V1768" t="s">
        <v>20</v>
      </c>
      <c r="W1768" t="s">
        <v>470</v>
      </c>
      <c r="X1768" t="s">
        <v>1269</v>
      </c>
      <c r="Y1768" t="s">
        <v>6700</v>
      </c>
      <c r="AF1768" t="s">
        <v>13</v>
      </c>
      <c r="AG1768" t="str">
        <f>HYPERLINK("https://doi.org/10.1515/9781474479356")</f>
        <v>https://doi.org/10.1515/9781474479356</v>
      </c>
      <c r="AH1768" t="str">
        <f>HYPERLINK("http://www.degruyter.com/isbn/9781474479356")</f>
        <v>http://www.degruyter.com/isbn/9781474479356</v>
      </c>
      <c r="AI1768" t="s">
        <v>14</v>
      </c>
      <c r="AL1768" t="s">
        <v>15</v>
      </c>
      <c r="AM1768">
        <v>1</v>
      </c>
      <c r="AN1768" s="2">
        <v>9781474479325</v>
      </c>
    </row>
    <row r="1769" spans="1:40" x14ac:dyDescent="0.3">
      <c r="A1769" t="s">
        <v>8608</v>
      </c>
      <c r="B1769" t="s">
        <v>1</v>
      </c>
      <c r="C1769" t="s">
        <v>8609</v>
      </c>
      <c r="E1769" t="s">
        <v>8610</v>
      </c>
      <c r="F1769" t="s">
        <v>5</v>
      </c>
      <c r="G1769" t="s">
        <v>6</v>
      </c>
      <c r="L1769" t="s">
        <v>7</v>
      </c>
      <c r="M1769">
        <v>2015</v>
      </c>
      <c r="N1769" s="1">
        <v>42257</v>
      </c>
      <c r="O1769" t="s">
        <v>8611</v>
      </c>
      <c r="P1769">
        <v>1</v>
      </c>
      <c r="Q1769" t="s">
        <v>7810</v>
      </c>
      <c r="S1769">
        <v>253.95</v>
      </c>
      <c r="T1769">
        <v>290</v>
      </c>
      <c r="U1769">
        <v>220</v>
      </c>
      <c r="V1769" t="s">
        <v>79</v>
      </c>
      <c r="W1769" t="s">
        <v>209</v>
      </c>
      <c r="X1769" t="s">
        <v>209</v>
      </c>
      <c r="Y1769" t="s">
        <v>699</v>
      </c>
      <c r="AF1769" t="s">
        <v>13</v>
      </c>
      <c r="AG1769" t="str">
        <f>HYPERLINK("https://doi.org/10.1515/9780748699810")</f>
        <v>https://doi.org/10.1515/9780748699810</v>
      </c>
      <c r="AH1769" t="str">
        <f>HYPERLINK("http://www.degruyter.com/isbn/9780748699810")</f>
        <v>http://www.degruyter.com/isbn/9780748699810</v>
      </c>
      <c r="AI1769" t="s">
        <v>34</v>
      </c>
      <c r="AL1769" t="s">
        <v>83</v>
      </c>
      <c r="AM1769">
        <v>1</v>
      </c>
      <c r="AN1769" s="2">
        <v>9780748699803</v>
      </c>
    </row>
    <row r="1770" spans="1:40" x14ac:dyDescent="0.3">
      <c r="A1770" t="s">
        <v>8612</v>
      </c>
      <c r="B1770" t="s">
        <v>1</v>
      </c>
      <c r="C1770" t="s">
        <v>8613</v>
      </c>
      <c r="D1770" t="s">
        <v>8614</v>
      </c>
      <c r="E1770" t="s">
        <v>8615</v>
      </c>
      <c r="F1770" t="s">
        <v>5</v>
      </c>
      <c r="G1770" t="s">
        <v>6</v>
      </c>
      <c r="L1770" t="s">
        <v>7</v>
      </c>
      <c r="M1770">
        <v>2020</v>
      </c>
      <c r="N1770" s="1">
        <v>44644</v>
      </c>
      <c r="O1770" t="s">
        <v>8616</v>
      </c>
      <c r="P1770">
        <v>1</v>
      </c>
      <c r="S1770">
        <v>217.95</v>
      </c>
      <c r="T1770">
        <v>250</v>
      </c>
      <c r="U1770">
        <v>190</v>
      </c>
      <c r="V1770" t="s">
        <v>9</v>
      </c>
      <c r="W1770" t="s">
        <v>10</v>
      </c>
      <c r="X1770" t="s">
        <v>11</v>
      </c>
      <c r="Y1770" t="s">
        <v>52</v>
      </c>
      <c r="AF1770" t="s">
        <v>13</v>
      </c>
      <c r="AG1770" t="str">
        <f>HYPERLINK("https://doi.org/10.1515/9781474456371")</f>
        <v>https://doi.org/10.1515/9781474456371</v>
      </c>
      <c r="AH1770" t="str">
        <f>HYPERLINK("http://www.degruyter.com/isbn/9781474456371")</f>
        <v>http://www.degruyter.com/isbn/9781474456371</v>
      </c>
      <c r="AI1770" t="s">
        <v>14</v>
      </c>
      <c r="AL1770" t="s">
        <v>15</v>
      </c>
      <c r="AM1770">
        <v>1</v>
      </c>
      <c r="AN1770" s="2">
        <v>9781474456357</v>
      </c>
    </row>
    <row r="1771" spans="1:40" x14ac:dyDescent="0.3">
      <c r="A1771" t="s">
        <v>8617</v>
      </c>
      <c r="B1771" t="s">
        <v>1</v>
      </c>
      <c r="C1771" t="s">
        <v>8618</v>
      </c>
      <c r="D1771" t="s">
        <v>27</v>
      </c>
      <c r="E1771" t="s">
        <v>8619</v>
      </c>
      <c r="F1771" t="s">
        <v>5</v>
      </c>
      <c r="G1771" t="s">
        <v>6</v>
      </c>
      <c r="L1771" t="s">
        <v>7</v>
      </c>
      <c r="M1771">
        <v>2004</v>
      </c>
      <c r="N1771" s="1">
        <v>38128</v>
      </c>
      <c r="O1771" t="s">
        <v>8620</v>
      </c>
      <c r="P1771">
        <v>1</v>
      </c>
      <c r="Q1771" t="s">
        <v>6923</v>
      </c>
      <c r="S1771">
        <v>253.95</v>
      </c>
      <c r="T1771">
        <v>290</v>
      </c>
      <c r="U1771">
        <v>220</v>
      </c>
      <c r="V1771" t="s">
        <v>305</v>
      </c>
      <c r="W1771" t="s">
        <v>306</v>
      </c>
      <c r="X1771" t="s">
        <v>306</v>
      </c>
      <c r="Y1771" t="s">
        <v>5099</v>
      </c>
      <c r="AF1771" t="s">
        <v>13</v>
      </c>
      <c r="AG1771" t="str">
        <f>HYPERLINK("https://doi.org/10.1515/9781474470179")</f>
        <v>https://doi.org/10.1515/9781474470179</v>
      </c>
      <c r="AH1771" t="str">
        <f>HYPERLINK("http://www.degruyter.com/isbn/9781474470179")</f>
        <v>http://www.degruyter.com/isbn/9781474470179</v>
      </c>
      <c r="AI1771" t="s">
        <v>68</v>
      </c>
      <c r="AL1771" t="s">
        <v>308</v>
      </c>
      <c r="AM1771">
        <v>1</v>
      </c>
      <c r="AN1771" s="2">
        <v>9780748617340</v>
      </c>
    </row>
    <row r="1772" spans="1:40" x14ac:dyDescent="0.3">
      <c r="A1772" t="s">
        <v>8621</v>
      </c>
      <c r="B1772" t="s">
        <v>1</v>
      </c>
      <c r="C1772" t="s">
        <v>8622</v>
      </c>
      <c r="E1772" t="s">
        <v>8623</v>
      </c>
      <c r="F1772" t="s">
        <v>5</v>
      </c>
      <c r="G1772" t="s">
        <v>6</v>
      </c>
      <c r="L1772" t="s">
        <v>7</v>
      </c>
      <c r="M1772">
        <v>2018</v>
      </c>
      <c r="N1772" s="1">
        <v>44644</v>
      </c>
      <c r="O1772" t="s">
        <v>8624</v>
      </c>
      <c r="P1772">
        <v>1</v>
      </c>
      <c r="S1772">
        <v>217.95</v>
      </c>
      <c r="T1772">
        <v>250</v>
      </c>
      <c r="U1772">
        <v>190</v>
      </c>
      <c r="V1772" t="s">
        <v>42</v>
      </c>
      <c r="W1772" t="s">
        <v>43</v>
      </c>
      <c r="X1772" t="s">
        <v>44</v>
      </c>
      <c r="Y1772" t="s">
        <v>45</v>
      </c>
      <c r="AF1772" t="s">
        <v>13</v>
      </c>
      <c r="AG1772" t="str">
        <f>HYPERLINK("https://doi.org/10.1515/9781474423793?locatt=mode:legacy")</f>
        <v>https://doi.org/10.1515/9781474423793?locatt=mode:legacy</v>
      </c>
      <c r="AH1772" t="str">
        <f>HYPERLINK("http://www.degruyter.com/isbn/9781474423793")</f>
        <v>http://www.degruyter.com/isbn/9781474423793</v>
      </c>
      <c r="AI1772" t="s">
        <v>7628</v>
      </c>
      <c r="AL1772" t="s">
        <v>47</v>
      </c>
      <c r="AM1772">
        <v>1</v>
      </c>
      <c r="AN1772" s="2">
        <v>9781474423786</v>
      </c>
    </row>
    <row r="1773" spans="1:40" x14ac:dyDescent="0.3">
      <c r="A1773" t="s">
        <v>8625</v>
      </c>
      <c r="B1773" t="s">
        <v>1</v>
      </c>
      <c r="C1773" t="s">
        <v>8626</v>
      </c>
      <c r="D1773" t="s">
        <v>8627</v>
      </c>
      <c r="E1773" t="s">
        <v>8628</v>
      </c>
      <c r="F1773" t="s">
        <v>5</v>
      </c>
      <c r="G1773" t="s">
        <v>6</v>
      </c>
      <c r="L1773" t="s">
        <v>7</v>
      </c>
      <c r="M1773">
        <v>2006</v>
      </c>
      <c r="N1773" s="1">
        <v>38957</v>
      </c>
      <c r="O1773" t="s">
        <v>8629</v>
      </c>
      <c r="P1773">
        <v>1</v>
      </c>
      <c r="S1773">
        <v>227.95</v>
      </c>
      <c r="T1773">
        <v>260</v>
      </c>
      <c r="U1773">
        <v>200</v>
      </c>
      <c r="V1773" t="s">
        <v>42</v>
      </c>
      <c r="W1773" t="s">
        <v>740</v>
      </c>
      <c r="X1773" t="s">
        <v>741</v>
      </c>
      <c r="Y1773" t="s">
        <v>742</v>
      </c>
      <c r="AF1773" t="s">
        <v>13</v>
      </c>
      <c r="AG1773" t="str">
        <f>HYPERLINK("https://doi.org/10.1515/9780748630059")</f>
        <v>https://doi.org/10.1515/9780748630059</v>
      </c>
      <c r="AH1773" t="str">
        <f>HYPERLINK("http://www.degruyter.com/isbn/9780748630059")</f>
        <v>http://www.degruyter.com/isbn/9780748630059</v>
      </c>
      <c r="AI1773" t="s">
        <v>68</v>
      </c>
      <c r="AL1773" t="s">
        <v>47</v>
      </c>
      <c r="AM1773">
        <v>1</v>
      </c>
      <c r="AN1773" s="2">
        <v>9780748623341</v>
      </c>
    </row>
    <row r="1774" spans="1:40" x14ac:dyDescent="0.3">
      <c r="A1774" t="s">
        <v>8630</v>
      </c>
      <c r="B1774" t="s">
        <v>1</v>
      </c>
      <c r="C1774" t="s">
        <v>8631</v>
      </c>
      <c r="D1774" t="s">
        <v>8632</v>
      </c>
      <c r="E1774" t="s">
        <v>8633</v>
      </c>
      <c r="F1774" t="s">
        <v>5</v>
      </c>
      <c r="G1774" t="s">
        <v>6</v>
      </c>
      <c r="L1774" t="s">
        <v>7</v>
      </c>
      <c r="M1774">
        <v>2017</v>
      </c>
      <c r="N1774" s="1">
        <v>43087</v>
      </c>
      <c r="O1774" t="s">
        <v>8634</v>
      </c>
      <c r="P1774">
        <v>1</v>
      </c>
      <c r="Q1774" t="s">
        <v>8096</v>
      </c>
      <c r="S1774">
        <v>227.95</v>
      </c>
      <c r="T1774">
        <v>260</v>
      </c>
      <c r="U1774">
        <v>200</v>
      </c>
      <c r="V1774" t="s">
        <v>42</v>
      </c>
      <c r="W1774" t="s">
        <v>116</v>
      </c>
      <c r="X1774" t="s">
        <v>116</v>
      </c>
      <c r="Y1774" t="s">
        <v>117</v>
      </c>
      <c r="AF1774" t="s">
        <v>13</v>
      </c>
      <c r="AG1774" t="str">
        <f>HYPERLINK("https://doi.org/10.1515/9781474424783?locatt=mode:legacy")</f>
        <v>https://doi.org/10.1515/9781474424783?locatt=mode:legacy</v>
      </c>
      <c r="AH1774" t="str">
        <f>HYPERLINK("http://www.degruyter.com/isbn/9781474424783")</f>
        <v>http://www.degruyter.com/isbn/9781474424783</v>
      </c>
      <c r="AI1774" t="s">
        <v>222</v>
      </c>
      <c r="AL1774" t="s">
        <v>47</v>
      </c>
      <c r="AM1774">
        <v>1</v>
      </c>
      <c r="AN1774" s="2">
        <v>9781474424776</v>
      </c>
    </row>
    <row r="1775" spans="1:40" x14ac:dyDescent="0.3">
      <c r="A1775" t="s">
        <v>8635</v>
      </c>
      <c r="B1775" t="s">
        <v>1</v>
      </c>
      <c r="C1775" t="s">
        <v>8636</v>
      </c>
      <c r="D1775" t="s">
        <v>8637</v>
      </c>
      <c r="E1775" t="s">
        <v>8638</v>
      </c>
      <c r="F1775" t="s">
        <v>5</v>
      </c>
      <c r="G1775" t="s">
        <v>6</v>
      </c>
      <c r="L1775" t="s">
        <v>7</v>
      </c>
      <c r="M1775">
        <v>2016</v>
      </c>
      <c r="N1775" s="1">
        <v>42661</v>
      </c>
      <c r="O1775" t="s">
        <v>8639</v>
      </c>
      <c r="P1775">
        <v>1</v>
      </c>
      <c r="Q1775" t="s">
        <v>6606</v>
      </c>
      <c r="S1775">
        <v>253.95</v>
      </c>
      <c r="T1775">
        <v>290</v>
      </c>
      <c r="U1775">
        <v>220</v>
      </c>
      <c r="V1775" t="s">
        <v>79</v>
      </c>
      <c r="W1775" t="s">
        <v>123</v>
      </c>
      <c r="X1775" t="s">
        <v>123</v>
      </c>
      <c r="Y1775" t="s">
        <v>124</v>
      </c>
      <c r="AF1775" t="s">
        <v>13</v>
      </c>
      <c r="AG1775" t="str">
        <f>HYPERLINK("https://doi.org/10.1515/9781474414890")</f>
        <v>https://doi.org/10.1515/9781474414890</v>
      </c>
      <c r="AH1775" t="str">
        <f>HYPERLINK("http://www.degruyter.com/isbn/9781474414890")</f>
        <v>http://www.degruyter.com/isbn/9781474414890</v>
      </c>
      <c r="AI1775" t="s">
        <v>180</v>
      </c>
      <c r="AL1775" t="s">
        <v>83</v>
      </c>
      <c r="AM1775">
        <v>1</v>
      </c>
      <c r="AN1775" s="2">
        <v>9781474414883</v>
      </c>
    </row>
    <row r="1776" spans="1:40" x14ac:dyDescent="0.3">
      <c r="A1776" t="s">
        <v>8640</v>
      </c>
      <c r="B1776" t="s">
        <v>1</v>
      </c>
      <c r="C1776" t="s">
        <v>8641</v>
      </c>
      <c r="D1776" t="s">
        <v>8642</v>
      </c>
      <c r="E1776" t="s">
        <v>8643</v>
      </c>
      <c r="F1776" t="s">
        <v>5</v>
      </c>
      <c r="G1776" t="s">
        <v>6</v>
      </c>
      <c r="L1776" t="s">
        <v>7</v>
      </c>
      <c r="M1776">
        <v>2007</v>
      </c>
      <c r="N1776" s="1">
        <v>39414</v>
      </c>
      <c r="O1776" t="s">
        <v>8644</v>
      </c>
      <c r="P1776">
        <v>1</v>
      </c>
      <c r="Q1776" t="s">
        <v>7052</v>
      </c>
      <c r="S1776">
        <v>227.95</v>
      </c>
      <c r="T1776">
        <v>260</v>
      </c>
      <c r="U1776">
        <v>200</v>
      </c>
      <c r="V1776" t="s">
        <v>42</v>
      </c>
      <c r="W1776" t="s">
        <v>116</v>
      </c>
      <c r="X1776" t="s">
        <v>116</v>
      </c>
      <c r="Y1776" t="s">
        <v>3967</v>
      </c>
      <c r="AF1776" t="s">
        <v>13</v>
      </c>
      <c r="AG1776" t="str">
        <f>HYPERLINK("https://doi.org/10.1515/9780748630745?locatt=mode:legacy")</f>
        <v>https://doi.org/10.1515/9780748630745?locatt=mode:legacy</v>
      </c>
      <c r="AH1776" t="str">
        <f>HYPERLINK("http://www.degruyter.com/isbn/9780748630745")</f>
        <v>http://www.degruyter.com/isbn/9780748630745</v>
      </c>
      <c r="AI1776" t="s">
        <v>68</v>
      </c>
      <c r="AL1776" t="s">
        <v>47</v>
      </c>
      <c r="AM1776">
        <v>1</v>
      </c>
      <c r="AN1776" s="2">
        <v>9780748625086</v>
      </c>
    </row>
    <row r="1777" spans="1:40" x14ac:dyDescent="0.3">
      <c r="A1777" t="s">
        <v>8645</v>
      </c>
      <c r="B1777" t="s">
        <v>1</v>
      </c>
      <c r="C1777" t="s">
        <v>8646</v>
      </c>
      <c r="D1777" t="s">
        <v>8647</v>
      </c>
      <c r="E1777" t="s">
        <v>8648</v>
      </c>
      <c r="F1777" t="s">
        <v>5</v>
      </c>
      <c r="G1777" t="s">
        <v>6</v>
      </c>
      <c r="L1777" t="s">
        <v>7</v>
      </c>
      <c r="M1777">
        <v>2013</v>
      </c>
      <c r="N1777" s="1">
        <v>41619</v>
      </c>
      <c r="O1777" t="s">
        <v>8649</v>
      </c>
      <c r="P1777">
        <v>1</v>
      </c>
      <c r="Q1777" t="s">
        <v>8650</v>
      </c>
      <c r="S1777">
        <v>217.95</v>
      </c>
      <c r="T1777">
        <v>250</v>
      </c>
      <c r="U1777">
        <v>190</v>
      </c>
      <c r="V1777" t="s">
        <v>20</v>
      </c>
      <c r="W1777" t="s">
        <v>21</v>
      </c>
      <c r="X1777" t="s">
        <v>22</v>
      </c>
      <c r="Y1777" t="s">
        <v>23</v>
      </c>
      <c r="AF1777" t="s">
        <v>13</v>
      </c>
      <c r="AG1777" t="str">
        <f>HYPERLINK("https://doi.org/10.1515/9780748679935")</f>
        <v>https://doi.org/10.1515/9780748679935</v>
      </c>
      <c r="AH1777" t="str">
        <f>HYPERLINK("http://www.degruyter.com/isbn/9780748679935")</f>
        <v>http://www.degruyter.com/isbn/9780748679935</v>
      </c>
      <c r="AI1777" t="s">
        <v>68</v>
      </c>
      <c r="AL1777" t="s">
        <v>15</v>
      </c>
      <c r="AM1777">
        <v>1</v>
      </c>
      <c r="AN1777" s="2">
        <v>9780748679928</v>
      </c>
    </row>
    <row r="1778" spans="1:40" x14ac:dyDescent="0.3">
      <c r="A1778" t="s">
        <v>8651</v>
      </c>
      <c r="B1778" t="s">
        <v>1</v>
      </c>
      <c r="C1778" t="s">
        <v>8652</v>
      </c>
      <c r="E1778" t="s">
        <v>8653</v>
      </c>
      <c r="F1778" t="s">
        <v>5</v>
      </c>
      <c r="G1778" t="s">
        <v>6</v>
      </c>
      <c r="L1778" t="s">
        <v>7</v>
      </c>
      <c r="M1778">
        <v>2013</v>
      </c>
      <c r="N1778" s="1">
        <v>41290</v>
      </c>
      <c r="O1778" t="s">
        <v>8654</v>
      </c>
      <c r="P1778">
        <v>1</v>
      </c>
      <c r="Q1778" t="s">
        <v>7095</v>
      </c>
      <c r="S1778">
        <v>243.95</v>
      </c>
      <c r="T1778">
        <v>280</v>
      </c>
      <c r="U1778">
        <v>210</v>
      </c>
      <c r="V1778" t="s">
        <v>79</v>
      </c>
      <c r="W1778" t="s">
        <v>209</v>
      </c>
      <c r="X1778" t="s">
        <v>209</v>
      </c>
      <c r="Y1778" t="s">
        <v>510</v>
      </c>
      <c r="AF1778" t="s">
        <v>13</v>
      </c>
      <c r="AG1778" t="str">
        <f>HYPERLINK("https://doi.org/10.1515/9780748654468")</f>
        <v>https://doi.org/10.1515/9780748654468</v>
      </c>
      <c r="AH1778" t="str">
        <f>HYPERLINK("http://www.degruyter.com/isbn/9780748654468")</f>
        <v>http://www.degruyter.com/isbn/9780748654468</v>
      </c>
      <c r="AI1778" t="s">
        <v>68</v>
      </c>
      <c r="AL1778" t="s">
        <v>83</v>
      </c>
      <c r="AM1778">
        <v>1</v>
      </c>
      <c r="AN1778" s="2">
        <v>9780748654451</v>
      </c>
    </row>
    <row r="1779" spans="1:40" x14ac:dyDescent="0.3">
      <c r="A1779" t="s">
        <v>8655</v>
      </c>
      <c r="B1779" t="s">
        <v>1</v>
      </c>
      <c r="C1779" t="s">
        <v>8656</v>
      </c>
      <c r="E1779" t="s">
        <v>8657</v>
      </c>
      <c r="F1779" t="s">
        <v>5</v>
      </c>
      <c r="G1779" t="s">
        <v>6</v>
      </c>
      <c r="L1779" t="s">
        <v>7</v>
      </c>
      <c r="M1779">
        <v>2008</v>
      </c>
      <c r="N1779" s="1">
        <v>39622</v>
      </c>
      <c r="O1779" t="s">
        <v>8658</v>
      </c>
      <c r="P1779">
        <v>1</v>
      </c>
      <c r="Q1779" t="s">
        <v>7225</v>
      </c>
      <c r="S1779">
        <v>191.95</v>
      </c>
      <c r="T1779">
        <v>220</v>
      </c>
      <c r="U1779">
        <v>170</v>
      </c>
      <c r="V1779" t="s">
        <v>98</v>
      </c>
      <c r="W1779" t="s">
        <v>99</v>
      </c>
      <c r="X1779" t="s">
        <v>386</v>
      </c>
      <c r="Y1779" t="s">
        <v>387</v>
      </c>
      <c r="AF1779" t="s">
        <v>13</v>
      </c>
      <c r="AG1779" t="str">
        <f>HYPERLINK("https://doi.org/10.1515/9780748629671")</f>
        <v>https://doi.org/10.1515/9780748629671</v>
      </c>
      <c r="AH1779" t="str">
        <f>HYPERLINK("http://www.degruyter.com/isbn/9780748629671")</f>
        <v>http://www.degruyter.com/isbn/9780748629671</v>
      </c>
      <c r="AI1779" t="s">
        <v>68</v>
      </c>
      <c r="AL1779" t="s">
        <v>102</v>
      </c>
      <c r="AM1779">
        <v>1</v>
      </c>
      <c r="AN1779" s="2">
        <v>9780748624041</v>
      </c>
    </row>
    <row r="1780" spans="1:40" x14ac:dyDescent="0.3">
      <c r="A1780" t="s">
        <v>8659</v>
      </c>
      <c r="B1780" t="s">
        <v>1</v>
      </c>
      <c r="C1780" t="s">
        <v>8660</v>
      </c>
      <c r="E1780" t="s">
        <v>8661</v>
      </c>
      <c r="F1780" t="s">
        <v>5</v>
      </c>
      <c r="G1780" t="s">
        <v>6</v>
      </c>
      <c r="L1780" t="s">
        <v>7</v>
      </c>
      <c r="M1780">
        <v>2008</v>
      </c>
      <c r="N1780" s="1">
        <v>39800</v>
      </c>
      <c r="O1780" t="s">
        <v>8662</v>
      </c>
      <c r="P1780">
        <v>1</v>
      </c>
      <c r="S1780">
        <v>227.95</v>
      </c>
      <c r="T1780">
        <v>260</v>
      </c>
      <c r="U1780">
        <v>200</v>
      </c>
      <c r="V1780" t="s">
        <v>58</v>
      </c>
      <c r="W1780" t="s">
        <v>59</v>
      </c>
      <c r="X1780" t="s">
        <v>60</v>
      </c>
      <c r="Y1780" t="s">
        <v>169</v>
      </c>
      <c r="AF1780" t="s">
        <v>13</v>
      </c>
      <c r="AG1780" t="str">
        <f>HYPERLINK("https://doi.org/10.1515/9780748635313?locatt=mode:legacy")</f>
        <v>https://doi.org/10.1515/9780748635313?locatt=mode:legacy</v>
      </c>
      <c r="AH1780" t="str">
        <f>HYPERLINK("http://www.degruyter.com/isbn/9780748635313")</f>
        <v>http://www.degruyter.com/isbn/9780748635313</v>
      </c>
      <c r="AI1780" t="s">
        <v>68</v>
      </c>
      <c r="AL1780" t="s">
        <v>62</v>
      </c>
      <c r="AM1780">
        <v>1</v>
      </c>
      <c r="AN1780" s="2">
        <v>9780748635290</v>
      </c>
    </row>
    <row r="1781" spans="1:40" x14ac:dyDescent="0.3">
      <c r="A1781" t="s">
        <v>8663</v>
      </c>
      <c r="B1781" t="s">
        <v>1</v>
      </c>
      <c r="C1781" t="s">
        <v>8664</v>
      </c>
      <c r="D1781" t="s">
        <v>1146</v>
      </c>
      <c r="E1781" t="s">
        <v>8665</v>
      </c>
      <c r="F1781" t="s">
        <v>5</v>
      </c>
      <c r="G1781" t="s">
        <v>6</v>
      </c>
      <c r="L1781" t="s">
        <v>7</v>
      </c>
      <c r="M1781">
        <v>2007</v>
      </c>
      <c r="N1781" s="1">
        <v>39182</v>
      </c>
      <c r="O1781" t="s">
        <v>8666</v>
      </c>
      <c r="P1781">
        <v>1</v>
      </c>
      <c r="S1781">
        <v>279.95</v>
      </c>
      <c r="T1781">
        <v>320</v>
      </c>
      <c r="U1781">
        <v>240</v>
      </c>
      <c r="V1781" t="s">
        <v>42</v>
      </c>
      <c r="W1781" t="s">
        <v>116</v>
      </c>
      <c r="X1781" t="s">
        <v>116</v>
      </c>
      <c r="Y1781" t="s">
        <v>1129</v>
      </c>
      <c r="AF1781" t="s">
        <v>13</v>
      </c>
      <c r="AG1781" t="str">
        <f>HYPERLINK("https://doi.org/10.1515/9781474472197")</f>
        <v>https://doi.org/10.1515/9781474472197</v>
      </c>
      <c r="AH1781" t="str">
        <f>HYPERLINK("http://www.degruyter.com/isbn/9781474472197")</f>
        <v>http://www.degruyter.com/isbn/9781474472197</v>
      </c>
      <c r="AI1781" t="s">
        <v>68</v>
      </c>
      <c r="AL1781" t="s">
        <v>47</v>
      </c>
      <c r="AM1781">
        <v>1</v>
      </c>
      <c r="AN1781" s="2">
        <v>9780748625024</v>
      </c>
    </row>
    <row r="1782" spans="1:40" x14ac:dyDescent="0.3">
      <c r="A1782" t="s">
        <v>8667</v>
      </c>
      <c r="B1782" t="s">
        <v>1</v>
      </c>
      <c r="C1782" t="s">
        <v>8668</v>
      </c>
      <c r="D1782" t="s">
        <v>8669</v>
      </c>
      <c r="E1782" t="s">
        <v>8670</v>
      </c>
      <c r="F1782" t="s">
        <v>5</v>
      </c>
      <c r="G1782" t="s">
        <v>6</v>
      </c>
      <c r="L1782" t="s">
        <v>7</v>
      </c>
      <c r="M1782">
        <v>2014</v>
      </c>
      <c r="N1782" s="1">
        <v>41836</v>
      </c>
      <c r="O1782" t="s">
        <v>8671</v>
      </c>
      <c r="P1782">
        <v>1</v>
      </c>
      <c r="Q1782" t="s">
        <v>6894</v>
      </c>
      <c r="S1782">
        <v>253.95</v>
      </c>
      <c r="T1782">
        <v>290</v>
      </c>
      <c r="U1782">
        <v>220</v>
      </c>
      <c r="V1782" t="s">
        <v>30</v>
      </c>
      <c r="W1782" t="s">
        <v>2320</v>
      </c>
      <c r="X1782" t="s">
        <v>2320</v>
      </c>
      <c r="Y1782" t="s">
        <v>2321</v>
      </c>
      <c r="AF1782" t="s">
        <v>13</v>
      </c>
      <c r="AG1782" t="str">
        <f>HYPERLINK("https://doi.org/10.1515/9780748695713")</f>
        <v>https://doi.org/10.1515/9780748695713</v>
      </c>
      <c r="AH1782" t="str">
        <f>HYPERLINK("http://www.degruyter.com/isbn/9780748695713")</f>
        <v>http://www.degruyter.com/isbn/9780748695713</v>
      </c>
      <c r="AI1782" t="s">
        <v>34</v>
      </c>
      <c r="AL1782" t="s">
        <v>272</v>
      </c>
      <c r="AM1782">
        <v>1</v>
      </c>
      <c r="AN1782" s="2">
        <v>9780748695690</v>
      </c>
    </row>
    <row r="1783" spans="1:40" x14ac:dyDescent="0.3">
      <c r="A1783" t="s">
        <v>8672</v>
      </c>
      <c r="B1783" t="s">
        <v>1</v>
      </c>
      <c r="C1783" t="s">
        <v>8673</v>
      </c>
      <c r="E1783" t="s">
        <v>8674</v>
      </c>
      <c r="F1783" t="s">
        <v>5</v>
      </c>
      <c r="G1783" t="s">
        <v>6</v>
      </c>
      <c r="L1783" t="s">
        <v>7</v>
      </c>
      <c r="M1783">
        <v>2007</v>
      </c>
      <c r="N1783" s="1">
        <v>39338</v>
      </c>
      <c r="O1783" t="s">
        <v>8675</v>
      </c>
      <c r="P1783">
        <v>1</v>
      </c>
      <c r="Q1783" t="s">
        <v>6630</v>
      </c>
      <c r="S1783">
        <v>209.95</v>
      </c>
      <c r="T1783">
        <v>240</v>
      </c>
      <c r="U1783">
        <v>180</v>
      </c>
      <c r="V1783" t="s">
        <v>42</v>
      </c>
      <c r="W1783" t="s">
        <v>740</v>
      </c>
      <c r="X1783" t="s">
        <v>741</v>
      </c>
      <c r="Y1783" t="s">
        <v>742</v>
      </c>
      <c r="AF1783" t="s">
        <v>13</v>
      </c>
      <c r="AG1783" t="str">
        <f>HYPERLINK("https://doi.org/10.1515/9780748629930")</f>
        <v>https://doi.org/10.1515/9780748629930</v>
      </c>
      <c r="AH1783" t="str">
        <f>HYPERLINK("http://www.degruyter.com/isbn/9780748629930")</f>
        <v>http://www.degruyter.com/isbn/9780748629930</v>
      </c>
      <c r="AI1783" t="s">
        <v>68</v>
      </c>
      <c r="AL1783" t="s">
        <v>47</v>
      </c>
      <c r="AM1783">
        <v>1</v>
      </c>
      <c r="AN1783" s="2">
        <v>9780748623051</v>
      </c>
    </row>
    <row r="1784" spans="1:40" x14ac:dyDescent="0.3">
      <c r="A1784" t="s">
        <v>8676</v>
      </c>
      <c r="B1784" t="s">
        <v>1</v>
      </c>
      <c r="C1784" t="s">
        <v>8677</v>
      </c>
      <c r="E1784" t="s">
        <v>8678</v>
      </c>
      <c r="F1784" t="s">
        <v>5</v>
      </c>
      <c r="G1784" t="s">
        <v>6</v>
      </c>
      <c r="L1784" t="s">
        <v>7</v>
      </c>
      <c r="M1784">
        <v>2012</v>
      </c>
      <c r="N1784" s="1">
        <v>41117</v>
      </c>
      <c r="O1784" t="s">
        <v>8679</v>
      </c>
      <c r="P1784">
        <v>1</v>
      </c>
      <c r="Q1784" t="s">
        <v>6894</v>
      </c>
      <c r="S1784">
        <v>243.95</v>
      </c>
      <c r="T1784">
        <v>280</v>
      </c>
      <c r="U1784">
        <v>210</v>
      </c>
      <c r="V1784" t="s">
        <v>30</v>
      </c>
      <c r="W1784" t="s">
        <v>1629</v>
      </c>
      <c r="X1784" t="s">
        <v>1630</v>
      </c>
      <c r="Y1784" t="s">
        <v>1631</v>
      </c>
      <c r="AF1784" t="s">
        <v>13</v>
      </c>
      <c r="AG1784" t="str">
        <f>HYPERLINK("https://doi.org/10.1515/9780748645596")</f>
        <v>https://doi.org/10.1515/9780748645596</v>
      </c>
      <c r="AH1784" t="str">
        <f>HYPERLINK("http://www.degruyter.com/isbn/9780748645596")</f>
        <v>http://www.degruyter.com/isbn/9780748645596</v>
      </c>
      <c r="AI1784" t="s">
        <v>68</v>
      </c>
      <c r="AL1784" t="s">
        <v>272</v>
      </c>
      <c r="AM1784">
        <v>1</v>
      </c>
      <c r="AN1784" s="2">
        <v>9780748645589</v>
      </c>
    </row>
    <row r="1785" spans="1:40" x14ac:dyDescent="0.3">
      <c r="A1785" t="s">
        <v>8680</v>
      </c>
      <c r="B1785" t="s">
        <v>1</v>
      </c>
      <c r="C1785" t="s">
        <v>8681</v>
      </c>
      <c r="E1785" t="s">
        <v>8682</v>
      </c>
      <c r="F1785" t="s">
        <v>5</v>
      </c>
      <c r="G1785" t="s">
        <v>6</v>
      </c>
      <c r="L1785" t="s">
        <v>7</v>
      </c>
      <c r="M1785">
        <v>2014</v>
      </c>
      <c r="N1785" s="1">
        <v>41901</v>
      </c>
      <c r="O1785" t="s">
        <v>8683</v>
      </c>
      <c r="P1785">
        <v>1</v>
      </c>
      <c r="Q1785" t="s">
        <v>6779</v>
      </c>
      <c r="S1785">
        <v>217.95</v>
      </c>
      <c r="T1785">
        <v>250</v>
      </c>
      <c r="U1785">
        <v>190</v>
      </c>
      <c r="V1785" t="s">
        <v>42</v>
      </c>
      <c r="W1785" t="s">
        <v>43</v>
      </c>
      <c r="X1785" t="s">
        <v>44</v>
      </c>
      <c r="Y1785" t="s">
        <v>45</v>
      </c>
      <c r="AF1785" t="s">
        <v>13</v>
      </c>
      <c r="AG1785" t="str">
        <f>HYPERLINK("https://doi.org/10.1515/9780748692347")</f>
        <v>https://doi.org/10.1515/9780748692347</v>
      </c>
      <c r="AH1785" t="str">
        <f>HYPERLINK("http://www.degruyter.com/isbn/9780748692347")</f>
        <v>http://www.degruyter.com/isbn/9780748692347</v>
      </c>
      <c r="AI1785" t="s">
        <v>34</v>
      </c>
      <c r="AJ1785" t="s">
        <v>35</v>
      </c>
      <c r="AL1785" t="s">
        <v>520</v>
      </c>
      <c r="AM1785">
        <v>1</v>
      </c>
      <c r="AN1785" s="2">
        <v>9780748692330</v>
      </c>
    </row>
    <row r="1786" spans="1:40" x14ac:dyDescent="0.3">
      <c r="A1786" t="s">
        <v>8684</v>
      </c>
      <c r="B1786" t="s">
        <v>1</v>
      </c>
      <c r="C1786" t="s">
        <v>8685</v>
      </c>
      <c r="E1786" t="s">
        <v>8686</v>
      </c>
      <c r="F1786" t="s">
        <v>5</v>
      </c>
      <c r="G1786" t="s">
        <v>6</v>
      </c>
      <c r="L1786" t="s">
        <v>7</v>
      </c>
      <c r="M1786">
        <v>2021</v>
      </c>
      <c r="N1786" s="1">
        <v>44644</v>
      </c>
      <c r="O1786" t="s">
        <v>6796</v>
      </c>
      <c r="P1786">
        <v>1</v>
      </c>
      <c r="Q1786" t="s">
        <v>6797</v>
      </c>
      <c r="S1786">
        <v>415.95</v>
      </c>
      <c r="T1786">
        <v>470</v>
      </c>
      <c r="U1786">
        <v>360</v>
      </c>
      <c r="V1786" t="s">
        <v>79</v>
      </c>
      <c r="W1786" t="s">
        <v>209</v>
      </c>
      <c r="X1786" t="s">
        <v>209</v>
      </c>
      <c r="Y1786" t="s">
        <v>510</v>
      </c>
      <c r="AF1786" t="s">
        <v>13</v>
      </c>
      <c r="AG1786" t="str">
        <f>HYPERLINK("https://doi.org/10.1515/9780748644193")</f>
        <v>https://doi.org/10.1515/9780748644193</v>
      </c>
      <c r="AH1786" t="str">
        <f>HYPERLINK("http://www.degruyter.com/isbn/9780748644193")</f>
        <v>http://www.degruyter.com/isbn/9780748644193</v>
      </c>
      <c r="AI1786" t="s">
        <v>82</v>
      </c>
      <c r="AL1786" t="s">
        <v>83</v>
      </c>
      <c r="AM1786">
        <v>1</v>
      </c>
      <c r="AN1786" s="2">
        <v>9780748617128</v>
      </c>
    </row>
    <row r="1787" spans="1:40" x14ac:dyDescent="0.3">
      <c r="A1787" t="s">
        <v>8687</v>
      </c>
      <c r="B1787" t="s">
        <v>1</v>
      </c>
      <c r="C1787" t="s">
        <v>8688</v>
      </c>
      <c r="D1787" t="s">
        <v>8689</v>
      </c>
      <c r="E1787" t="s">
        <v>8690</v>
      </c>
      <c r="F1787" t="s">
        <v>5</v>
      </c>
      <c r="G1787" t="s">
        <v>6</v>
      </c>
      <c r="L1787" t="s">
        <v>7</v>
      </c>
      <c r="M1787">
        <v>2020</v>
      </c>
      <c r="N1787" s="1">
        <v>44656</v>
      </c>
      <c r="O1787" t="s">
        <v>8691</v>
      </c>
      <c r="P1787">
        <v>1</v>
      </c>
      <c r="Q1787" t="s">
        <v>7283</v>
      </c>
      <c r="S1787">
        <v>217.95</v>
      </c>
      <c r="T1787">
        <v>250</v>
      </c>
      <c r="U1787">
        <v>190</v>
      </c>
      <c r="V1787" t="s">
        <v>9</v>
      </c>
      <c r="W1787" t="s">
        <v>10</v>
      </c>
      <c r="X1787" t="s">
        <v>11</v>
      </c>
      <c r="Y1787" t="s">
        <v>12</v>
      </c>
      <c r="AF1787" t="s">
        <v>13</v>
      </c>
      <c r="AG1787" t="str">
        <f>HYPERLINK("https://doi.org/10.1515/9781474463171")</f>
        <v>https://doi.org/10.1515/9781474463171</v>
      </c>
      <c r="AH1787" t="str">
        <f>HYPERLINK("http://www.degruyter.com/isbn/9781474463171")</f>
        <v>http://www.degruyter.com/isbn/9781474463171</v>
      </c>
      <c r="AI1787" t="s">
        <v>14</v>
      </c>
      <c r="AL1787" t="s">
        <v>15</v>
      </c>
      <c r="AM1787">
        <v>1</v>
      </c>
      <c r="AN1787" s="2">
        <v>9781474463157</v>
      </c>
    </row>
    <row r="1788" spans="1:40" x14ac:dyDescent="0.3">
      <c r="A1788" t="s">
        <v>8692</v>
      </c>
      <c r="B1788" t="s">
        <v>1</v>
      </c>
      <c r="C1788" t="s">
        <v>8693</v>
      </c>
      <c r="D1788" t="s">
        <v>8694</v>
      </c>
      <c r="E1788" t="s">
        <v>8695</v>
      </c>
      <c r="F1788" t="s">
        <v>5</v>
      </c>
      <c r="G1788" t="s">
        <v>6</v>
      </c>
      <c r="L1788" t="s">
        <v>7</v>
      </c>
      <c r="M1788">
        <v>2016</v>
      </c>
      <c r="N1788" s="1">
        <v>42509</v>
      </c>
      <c r="O1788" t="s">
        <v>8696</v>
      </c>
      <c r="P1788">
        <v>1</v>
      </c>
      <c r="S1788">
        <v>253.95</v>
      </c>
      <c r="T1788">
        <v>290</v>
      </c>
      <c r="U1788">
        <v>220</v>
      </c>
      <c r="V1788" t="s">
        <v>20</v>
      </c>
      <c r="W1788" t="s">
        <v>21</v>
      </c>
      <c r="X1788" t="s">
        <v>458</v>
      </c>
      <c r="Y1788" t="s">
        <v>459</v>
      </c>
      <c r="AF1788" t="s">
        <v>13</v>
      </c>
      <c r="AG1788" t="str">
        <f>HYPERLINK("https://doi.org/10.1515/9781474408271")</f>
        <v>https://doi.org/10.1515/9781474408271</v>
      </c>
      <c r="AH1788" t="str">
        <f>HYPERLINK("http://www.degruyter.com/isbn/9781474408271")</f>
        <v>http://www.degruyter.com/isbn/9781474408271</v>
      </c>
      <c r="AI1788" t="s">
        <v>180</v>
      </c>
      <c r="AL1788" t="s">
        <v>15</v>
      </c>
      <c r="AM1788">
        <v>1</v>
      </c>
      <c r="AN1788" s="2">
        <v>9781474408264</v>
      </c>
    </row>
    <row r="1789" spans="1:40" x14ac:dyDescent="0.3">
      <c r="A1789" t="s">
        <v>8697</v>
      </c>
      <c r="B1789" t="s">
        <v>1</v>
      </c>
      <c r="C1789" t="s">
        <v>8698</v>
      </c>
      <c r="D1789" t="s">
        <v>8699</v>
      </c>
      <c r="E1789" t="s">
        <v>8700</v>
      </c>
      <c r="F1789" t="s">
        <v>5</v>
      </c>
      <c r="G1789" t="s">
        <v>6</v>
      </c>
      <c r="L1789" t="s">
        <v>7</v>
      </c>
      <c r="M1789">
        <v>2021</v>
      </c>
      <c r="N1789" s="1">
        <v>44656</v>
      </c>
      <c r="O1789" t="s">
        <v>8701</v>
      </c>
      <c r="P1789">
        <v>1</v>
      </c>
      <c r="Q1789" t="s">
        <v>8702</v>
      </c>
      <c r="S1789">
        <v>261.95</v>
      </c>
      <c r="T1789">
        <v>300</v>
      </c>
      <c r="U1789">
        <v>230</v>
      </c>
      <c r="V1789" t="s">
        <v>42</v>
      </c>
      <c r="W1789" t="s">
        <v>116</v>
      </c>
      <c r="X1789" t="s">
        <v>116</v>
      </c>
      <c r="Y1789" t="s">
        <v>117</v>
      </c>
      <c r="AF1789" t="s">
        <v>13</v>
      </c>
      <c r="AG1789" t="str">
        <f>HYPERLINK("https://doi.org/10.1515/9781474483117")</f>
        <v>https://doi.org/10.1515/9781474483117</v>
      </c>
      <c r="AH1789" t="str">
        <f>HYPERLINK("http://www.degruyter.com/isbn/9781474483117")</f>
        <v>http://www.degruyter.com/isbn/9781474483117</v>
      </c>
      <c r="AI1789" t="s">
        <v>110</v>
      </c>
      <c r="AL1789" t="s">
        <v>47</v>
      </c>
      <c r="AM1789">
        <v>1</v>
      </c>
      <c r="AN1789" s="2">
        <v>9781474483094</v>
      </c>
    </row>
    <row r="1790" spans="1:40" x14ac:dyDescent="0.3">
      <c r="A1790" t="s">
        <v>8703</v>
      </c>
      <c r="B1790" t="s">
        <v>1</v>
      </c>
      <c r="C1790" t="s">
        <v>8704</v>
      </c>
      <c r="D1790" t="s">
        <v>8705</v>
      </c>
      <c r="E1790" t="s">
        <v>8706</v>
      </c>
      <c r="F1790" t="s">
        <v>5</v>
      </c>
      <c r="G1790" t="s">
        <v>6</v>
      </c>
      <c r="L1790" t="s">
        <v>7</v>
      </c>
      <c r="M1790">
        <v>2012</v>
      </c>
      <c r="N1790" s="1">
        <v>41003</v>
      </c>
      <c r="O1790" t="s">
        <v>8707</v>
      </c>
      <c r="P1790">
        <v>1</v>
      </c>
      <c r="Q1790" t="s">
        <v>7728</v>
      </c>
      <c r="S1790">
        <v>227.95</v>
      </c>
      <c r="T1790">
        <v>260</v>
      </c>
      <c r="U1790">
        <v>200</v>
      </c>
      <c r="V1790" t="s">
        <v>42</v>
      </c>
      <c r="W1790" t="s">
        <v>1379</v>
      </c>
      <c r="X1790" t="s">
        <v>1380</v>
      </c>
      <c r="Y1790" t="s">
        <v>8708</v>
      </c>
      <c r="AF1790" t="s">
        <v>13</v>
      </c>
      <c r="AG1790" t="str">
        <f>HYPERLINK("https://doi.org/10.1515/9780748644643")</f>
        <v>https://doi.org/10.1515/9780748644643</v>
      </c>
      <c r="AH1790" t="str">
        <f>HYPERLINK("http://www.degruyter.com/isbn/9780748644643")</f>
        <v>http://www.degruyter.com/isbn/9780748644643</v>
      </c>
      <c r="AI1790" t="s">
        <v>68</v>
      </c>
      <c r="AL1790" t="s">
        <v>47</v>
      </c>
      <c r="AM1790">
        <v>1</v>
      </c>
      <c r="AN1790" s="2">
        <v>9780748644636</v>
      </c>
    </row>
    <row r="1791" spans="1:40" x14ac:dyDescent="0.3">
      <c r="A1791" t="s">
        <v>8709</v>
      </c>
      <c r="B1791" t="s">
        <v>1</v>
      </c>
      <c r="C1791" t="s">
        <v>8710</v>
      </c>
      <c r="E1791" t="s">
        <v>8711</v>
      </c>
      <c r="F1791" t="s">
        <v>5</v>
      </c>
      <c r="G1791" t="s">
        <v>6</v>
      </c>
      <c r="L1791" t="s">
        <v>7</v>
      </c>
      <c r="M1791">
        <v>2010</v>
      </c>
      <c r="N1791" s="1">
        <v>40421</v>
      </c>
      <c r="O1791" t="s">
        <v>8712</v>
      </c>
      <c r="P1791">
        <v>1</v>
      </c>
      <c r="Q1791" t="s">
        <v>6815</v>
      </c>
      <c r="S1791">
        <v>217.95</v>
      </c>
      <c r="T1791">
        <v>250</v>
      </c>
      <c r="U1791">
        <v>190</v>
      </c>
      <c r="V1791" t="s">
        <v>42</v>
      </c>
      <c r="W1791" t="s">
        <v>107</v>
      </c>
      <c r="X1791" t="s">
        <v>108</v>
      </c>
      <c r="Y1791" t="s">
        <v>221</v>
      </c>
      <c r="AF1791" t="s">
        <v>13</v>
      </c>
      <c r="AG1791" t="str">
        <f>HYPERLINK("https://doi.org/10.1515/9780748631636")</f>
        <v>https://doi.org/10.1515/9780748631636</v>
      </c>
      <c r="AH1791" t="str">
        <f>HYPERLINK("http://www.degruyter.com/isbn/9780748631636")</f>
        <v>http://www.degruyter.com/isbn/9780748631636</v>
      </c>
      <c r="AI1791" t="s">
        <v>68</v>
      </c>
      <c r="AL1791" t="s">
        <v>47</v>
      </c>
      <c r="AM1791">
        <v>1</v>
      </c>
      <c r="AN1791" s="2">
        <v>9780748627660</v>
      </c>
    </row>
    <row r="1792" spans="1:40" x14ac:dyDescent="0.3">
      <c r="A1792" t="s">
        <v>8713</v>
      </c>
      <c r="B1792" t="s">
        <v>1</v>
      </c>
      <c r="C1792" t="s">
        <v>8714</v>
      </c>
      <c r="E1792" t="s">
        <v>8715</v>
      </c>
      <c r="F1792" t="s">
        <v>5</v>
      </c>
      <c r="G1792" t="s">
        <v>6</v>
      </c>
      <c r="L1792" t="s">
        <v>7</v>
      </c>
      <c r="M1792">
        <v>2018</v>
      </c>
      <c r="N1792" s="1">
        <v>44656</v>
      </c>
      <c r="O1792" t="s">
        <v>8716</v>
      </c>
      <c r="P1792">
        <v>1</v>
      </c>
      <c r="Q1792" t="s">
        <v>7622</v>
      </c>
      <c r="S1792">
        <v>253.95</v>
      </c>
      <c r="T1792">
        <v>290</v>
      </c>
      <c r="U1792">
        <v>220</v>
      </c>
      <c r="V1792" t="s">
        <v>58</v>
      </c>
      <c r="W1792" t="s">
        <v>1135</v>
      </c>
      <c r="X1792" t="s">
        <v>3337</v>
      </c>
      <c r="Y1792" t="s">
        <v>3338</v>
      </c>
      <c r="AF1792" t="s">
        <v>13</v>
      </c>
      <c r="AG1792" t="str">
        <f>HYPERLINK("https://doi.org/10.1515/9780748656127")</f>
        <v>https://doi.org/10.1515/9780748656127</v>
      </c>
      <c r="AH1792" t="str">
        <f>HYPERLINK("http://www.degruyter.com/isbn/9780748656127")</f>
        <v>http://www.degruyter.com/isbn/9780748656127</v>
      </c>
      <c r="AI1792" t="s">
        <v>46</v>
      </c>
      <c r="AL1792" t="s">
        <v>62</v>
      </c>
      <c r="AM1792">
        <v>1</v>
      </c>
      <c r="AN1792" s="2">
        <v>9780748656103</v>
      </c>
    </row>
    <row r="1793" spans="1:40" x14ac:dyDescent="0.3">
      <c r="A1793" t="s">
        <v>8717</v>
      </c>
      <c r="B1793" t="s">
        <v>1</v>
      </c>
      <c r="C1793" t="s">
        <v>8718</v>
      </c>
      <c r="E1793" t="s">
        <v>8719</v>
      </c>
      <c r="F1793" t="s">
        <v>5</v>
      </c>
      <c r="G1793" t="s">
        <v>6</v>
      </c>
      <c r="L1793" t="s">
        <v>7</v>
      </c>
      <c r="M1793">
        <v>2021</v>
      </c>
      <c r="N1793" s="1">
        <v>44644</v>
      </c>
      <c r="O1793" t="s">
        <v>8720</v>
      </c>
      <c r="P1793">
        <v>1</v>
      </c>
      <c r="Q1793" t="s">
        <v>7102</v>
      </c>
      <c r="S1793">
        <v>217.95</v>
      </c>
      <c r="T1793">
        <v>250</v>
      </c>
      <c r="U1793">
        <v>190</v>
      </c>
      <c r="V1793" t="s">
        <v>20</v>
      </c>
      <c r="W1793" t="s">
        <v>21</v>
      </c>
      <c r="X1793" t="s">
        <v>839</v>
      </c>
      <c r="Y1793" t="s">
        <v>840</v>
      </c>
      <c r="AF1793" t="s">
        <v>13</v>
      </c>
      <c r="AG1793" t="str">
        <f>HYPERLINK("https://doi.org/10.1515/9781474449335")</f>
        <v>https://doi.org/10.1515/9781474449335</v>
      </c>
      <c r="AH1793" t="str">
        <f>HYPERLINK("http://www.degruyter.com/isbn/9781474449335")</f>
        <v>http://www.degruyter.com/isbn/9781474449335</v>
      </c>
      <c r="AI1793" t="s">
        <v>8721</v>
      </c>
      <c r="AL1793" t="s">
        <v>15</v>
      </c>
      <c r="AM1793">
        <v>1</v>
      </c>
      <c r="AN1793" s="2">
        <v>9781474449304</v>
      </c>
    </row>
    <row r="1794" spans="1:40" x14ac:dyDescent="0.3">
      <c r="A1794" t="s">
        <v>8722</v>
      </c>
      <c r="B1794" t="s">
        <v>1</v>
      </c>
      <c r="C1794" t="s">
        <v>8723</v>
      </c>
      <c r="E1794" t="s">
        <v>8724</v>
      </c>
      <c r="F1794" t="s">
        <v>5</v>
      </c>
      <c r="G1794" t="s">
        <v>6</v>
      </c>
      <c r="L1794" t="s">
        <v>7</v>
      </c>
      <c r="M1794">
        <v>1997</v>
      </c>
      <c r="N1794" s="1">
        <v>44599</v>
      </c>
      <c r="O1794" t="s">
        <v>8725</v>
      </c>
      <c r="P1794">
        <v>1</v>
      </c>
      <c r="S1794">
        <v>217.95</v>
      </c>
      <c r="T1794">
        <v>250</v>
      </c>
      <c r="U1794">
        <v>190</v>
      </c>
      <c r="V1794" t="s">
        <v>79</v>
      </c>
      <c r="W1794" t="s">
        <v>734</v>
      </c>
      <c r="X1794" t="s">
        <v>734</v>
      </c>
      <c r="Y1794" t="s">
        <v>735</v>
      </c>
      <c r="AF1794" t="s">
        <v>13</v>
      </c>
      <c r="AG1794" t="str">
        <f>HYPERLINK("https://doi.org/10.1515/9780585104249")</f>
        <v>https://doi.org/10.1515/9780585104249</v>
      </c>
      <c r="AH1794" t="str">
        <f>HYPERLINK("http://www.degruyter.com/isbn/9780585104249")</f>
        <v>http://www.degruyter.com/isbn/9780585104249</v>
      </c>
      <c r="AI1794" t="s">
        <v>24</v>
      </c>
      <c r="AL1794" t="s">
        <v>83</v>
      </c>
      <c r="AM1794">
        <v>1</v>
      </c>
      <c r="AN1794" s="2">
        <v>9780748608881</v>
      </c>
    </row>
    <row r="1795" spans="1:40" x14ac:dyDescent="0.3">
      <c r="A1795" t="s">
        <v>8726</v>
      </c>
      <c r="B1795" t="s">
        <v>1</v>
      </c>
      <c r="C1795" t="s">
        <v>8727</v>
      </c>
      <c r="D1795" t="s">
        <v>8728</v>
      </c>
      <c r="E1795" t="s">
        <v>8729</v>
      </c>
      <c r="F1795" t="s">
        <v>5</v>
      </c>
      <c r="G1795" t="s">
        <v>6</v>
      </c>
      <c r="L1795" t="s">
        <v>7</v>
      </c>
      <c r="M1795">
        <v>2013</v>
      </c>
      <c r="N1795" s="1">
        <v>41619</v>
      </c>
      <c r="O1795" t="s">
        <v>8730</v>
      </c>
      <c r="P1795">
        <v>1</v>
      </c>
      <c r="Q1795" t="s">
        <v>6606</v>
      </c>
      <c r="S1795">
        <v>253.95</v>
      </c>
      <c r="T1795">
        <v>290</v>
      </c>
      <c r="U1795">
        <v>220</v>
      </c>
      <c r="V1795" t="s">
        <v>79</v>
      </c>
      <c r="W1795" t="s">
        <v>209</v>
      </c>
      <c r="X1795" t="s">
        <v>209</v>
      </c>
      <c r="Y1795" t="s">
        <v>510</v>
      </c>
      <c r="AF1795" t="s">
        <v>13</v>
      </c>
      <c r="AG1795" t="str">
        <f>HYPERLINK("https://doi.org/10.1515/9780748686377")</f>
        <v>https://doi.org/10.1515/9780748686377</v>
      </c>
      <c r="AH1795" t="str">
        <f>HYPERLINK("http://www.degruyter.com/isbn/9780748686377")</f>
        <v>http://www.degruyter.com/isbn/9780748686377</v>
      </c>
      <c r="AI1795" t="s">
        <v>68</v>
      </c>
      <c r="AL1795" t="s">
        <v>83</v>
      </c>
      <c r="AM1795">
        <v>1</v>
      </c>
      <c r="AN1795" s="2">
        <v>9780748686360</v>
      </c>
    </row>
    <row r="1796" spans="1:40" x14ac:dyDescent="0.3">
      <c r="A1796" t="s">
        <v>8731</v>
      </c>
      <c r="B1796" t="s">
        <v>1</v>
      </c>
      <c r="C1796" t="s">
        <v>8732</v>
      </c>
      <c r="D1796" t="s">
        <v>8733</v>
      </c>
      <c r="E1796" t="s">
        <v>8734</v>
      </c>
      <c r="F1796" t="s">
        <v>5</v>
      </c>
      <c r="G1796" t="s">
        <v>6</v>
      </c>
      <c r="L1796" t="s">
        <v>7</v>
      </c>
      <c r="M1796">
        <v>2021</v>
      </c>
      <c r="N1796" s="1">
        <v>44656</v>
      </c>
      <c r="O1796" t="s">
        <v>8735</v>
      </c>
      <c r="P1796">
        <v>1</v>
      </c>
      <c r="Q1796" t="s">
        <v>6694</v>
      </c>
      <c r="S1796">
        <v>217.95</v>
      </c>
      <c r="T1796">
        <v>250</v>
      </c>
      <c r="U1796">
        <v>190</v>
      </c>
      <c r="V1796" t="s">
        <v>305</v>
      </c>
      <c r="W1796" t="s">
        <v>2129</v>
      </c>
      <c r="X1796" t="s">
        <v>2130</v>
      </c>
      <c r="Y1796" t="s">
        <v>2131</v>
      </c>
      <c r="AF1796" t="s">
        <v>13</v>
      </c>
      <c r="AG1796" t="str">
        <f>HYPERLINK("https://doi.org/10.1515/9781474482745")</f>
        <v>https://doi.org/10.1515/9781474482745</v>
      </c>
      <c r="AH1796" t="str">
        <f>HYPERLINK("http://www.degruyter.com/isbn/9781474482745")</f>
        <v>http://www.degruyter.com/isbn/9781474482745</v>
      </c>
      <c r="AI1796" t="s">
        <v>908</v>
      </c>
      <c r="AL1796" t="s">
        <v>308</v>
      </c>
      <c r="AM1796">
        <v>1</v>
      </c>
      <c r="AN1796" s="2">
        <v>9781474482721</v>
      </c>
    </row>
    <row r="1797" spans="1:40" x14ac:dyDescent="0.3">
      <c r="A1797" t="s">
        <v>8736</v>
      </c>
      <c r="B1797" t="s">
        <v>1</v>
      </c>
      <c r="C1797" t="s">
        <v>8737</v>
      </c>
      <c r="D1797" t="s">
        <v>8738</v>
      </c>
      <c r="E1797" t="s">
        <v>8739</v>
      </c>
      <c r="F1797" t="s">
        <v>5</v>
      </c>
      <c r="G1797" t="s">
        <v>6</v>
      </c>
      <c r="L1797" t="s">
        <v>7</v>
      </c>
      <c r="M1797">
        <v>2019</v>
      </c>
      <c r="N1797" s="1">
        <v>44644</v>
      </c>
      <c r="O1797" t="s">
        <v>8740</v>
      </c>
      <c r="P1797">
        <v>1</v>
      </c>
      <c r="S1797">
        <v>217.95</v>
      </c>
      <c r="T1797">
        <v>250</v>
      </c>
      <c r="U1797">
        <v>190</v>
      </c>
      <c r="V1797" t="s">
        <v>98</v>
      </c>
      <c r="W1797" t="s">
        <v>99</v>
      </c>
      <c r="X1797" t="s">
        <v>386</v>
      </c>
      <c r="Y1797" t="s">
        <v>387</v>
      </c>
      <c r="AF1797" t="s">
        <v>13</v>
      </c>
      <c r="AG1797" t="str">
        <f>HYPERLINK("https://doi.org/10.1515/9781474450003")</f>
        <v>https://doi.org/10.1515/9781474450003</v>
      </c>
      <c r="AH1797" t="str">
        <f>HYPERLINK("http://www.degruyter.com/isbn/9781474450003")</f>
        <v>http://www.degruyter.com/isbn/9781474450003</v>
      </c>
      <c r="AI1797" t="s">
        <v>280</v>
      </c>
      <c r="AL1797" t="s">
        <v>102</v>
      </c>
      <c r="AM1797">
        <v>1</v>
      </c>
      <c r="AN1797" s="2">
        <v>9781474449984</v>
      </c>
    </row>
    <row r="1798" spans="1:40" x14ac:dyDescent="0.3">
      <c r="A1798" t="s">
        <v>8741</v>
      </c>
      <c r="B1798" t="s">
        <v>1</v>
      </c>
      <c r="C1798" t="s">
        <v>8742</v>
      </c>
      <c r="E1798" t="s">
        <v>8743</v>
      </c>
      <c r="F1798" t="s">
        <v>5</v>
      </c>
      <c r="G1798" t="s">
        <v>6</v>
      </c>
      <c r="L1798" t="s">
        <v>7</v>
      </c>
      <c r="M1798">
        <v>2013</v>
      </c>
      <c r="N1798" s="1">
        <v>41533</v>
      </c>
      <c r="O1798" t="s">
        <v>8744</v>
      </c>
      <c r="P1798">
        <v>1</v>
      </c>
      <c r="Q1798" t="s">
        <v>7095</v>
      </c>
      <c r="S1798">
        <v>243.95</v>
      </c>
      <c r="T1798">
        <v>280</v>
      </c>
      <c r="U1798">
        <v>210</v>
      </c>
      <c r="V1798" t="s">
        <v>79</v>
      </c>
      <c r="W1798" t="s">
        <v>123</v>
      </c>
      <c r="X1798" t="s">
        <v>123</v>
      </c>
      <c r="Y1798" t="s">
        <v>124</v>
      </c>
      <c r="AF1798" t="s">
        <v>13</v>
      </c>
      <c r="AG1798" t="str">
        <f>HYPERLINK("https://doi.org/10.1515/9780748677030")</f>
        <v>https://doi.org/10.1515/9780748677030</v>
      </c>
      <c r="AH1798" t="str">
        <f>HYPERLINK("http://www.degruyter.com/isbn/9780748677030")</f>
        <v>http://www.degruyter.com/isbn/9780748677030</v>
      </c>
      <c r="AI1798" t="s">
        <v>68</v>
      </c>
      <c r="AL1798" t="s">
        <v>83</v>
      </c>
      <c r="AM1798">
        <v>1</v>
      </c>
      <c r="AN1798" s="2">
        <v>9780748677016</v>
      </c>
    </row>
    <row r="1799" spans="1:40" x14ac:dyDescent="0.3">
      <c r="A1799" t="s">
        <v>8745</v>
      </c>
      <c r="B1799" t="s">
        <v>1</v>
      </c>
      <c r="C1799" t="s">
        <v>8746</v>
      </c>
      <c r="D1799" t="s">
        <v>8747</v>
      </c>
      <c r="E1799" t="s">
        <v>8748</v>
      </c>
      <c r="F1799" t="s">
        <v>5</v>
      </c>
      <c r="G1799" t="s">
        <v>6</v>
      </c>
      <c r="L1799" t="s">
        <v>7</v>
      </c>
      <c r="M1799">
        <v>2010</v>
      </c>
      <c r="N1799" s="1">
        <v>40482</v>
      </c>
      <c r="O1799" t="s">
        <v>8749</v>
      </c>
      <c r="P1799">
        <v>1</v>
      </c>
      <c r="Q1799" t="s">
        <v>8750</v>
      </c>
      <c r="S1799">
        <v>217.95</v>
      </c>
      <c r="T1799">
        <v>250</v>
      </c>
      <c r="U1799">
        <v>190</v>
      </c>
      <c r="V1799" t="s">
        <v>42</v>
      </c>
      <c r="W1799" t="s">
        <v>116</v>
      </c>
      <c r="X1799" t="s">
        <v>116</v>
      </c>
      <c r="Y1799" t="s">
        <v>117</v>
      </c>
      <c r="AF1799" t="s">
        <v>13</v>
      </c>
      <c r="AG1799" t="str">
        <f>HYPERLINK("https://doi.org/10.1515/9781474465854")</f>
        <v>https://doi.org/10.1515/9781474465854</v>
      </c>
      <c r="AH1799" t="str">
        <f>HYPERLINK("http://www.degruyter.com/isbn/9781474465854")</f>
        <v>http://www.degruyter.com/isbn/9781474465854</v>
      </c>
      <c r="AI1799" t="s">
        <v>68</v>
      </c>
      <c r="AL1799" t="s">
        <v>47</v>
      </c>
      <c r="AM1799">
        <v>1</v>
      </c>
      <c r="AN1799" s="2">
        <v>9780748684717</v>
      </c>
    </row>
    <row r="1800" spans="1:40" x14ac:dyDescent="0.3">
      <c r="A1800" t="s">
        <v>8751</v>
      </c>
      <c r="B1800" t="s">
        <v>1</v>
      </c>
      <c r="C1800" t="s">
        <v>8752</v>
      </c>
      <c r="D1800" t="s">
        <v>3305</v>
      </c>
      <c r="E1800" t="s">
        <v>8753</v>
      </c>
      <c r="F1800" t="s">
        <v>5</v>
      </c>
      <c r="G1800" t="s">
        <v>6</v>
      </c>
      <c r="L1800" t="s">
        <v>7</v>
      </c>
      <c r="M1800">
        <v>2006</v>
      </c>
      <c r="N1800" s="1">
        <v>44634</v>
      </c>
      <c r="O1800" t="s">
        <v>3595</v>
      </c>
      <c r="P1800">
        <v>1</v>
      </c>
      <c r="S1800">
        <v>217.95</v>
      </c>
      <c r="T1800">
        <v>250</v>
      </c>
      <c r="U1800">
        <v>190</v>
      </c>
      <c r="V1800" t="s">
        <v>268</v>
      </c>
      <c r="W1800" t="s">
        <v>705</v>
      </c>
      <c r="X1800" t="s">
        <v>8754</v>
      </c>
      <c r="Y1800" t="s">
        <v>8755</v>
      </c>
      <c r="AF1800" t="s">
        <v>13</v>
      </c>
      <c r="AG1800" t="str">
        <f>HYPERLINK("https://doi.org/10.1515/9781474471350")</f>
        <v>https://doi.org/10.1515/9781474471350</v>
      </c>
      <c r="AH1800" t="str">
        <f>HYPERLINK("http://www.degruyter.com/isbn/9781474471350")</f>
        <v>http://www.degruyter.com/isbn/9781474471350</v>
      </c>
      <c r="AI1800" t="s">
        <v>412</v>
      </c>
      <c r="AL1800" t="s">
        <v>272</v>
      </c>
      <c r="AM1800">
        <v>1</v>
      </c>
      <c r="AN1800" s="2">
        <v>9781845860073</v>
      </c>
    </row>
    <row r="1801" spans="1:40" x14ac:dyDescent="0.3">
      <c r="A1801" t="s">
        <v>8756</v>
      </c>
      <c r="B1801" t="s">
        <v>1</v>
      </c>
      <c r="C1801" t="s">
        <v>8757</v>
      </c>
      <c r="D1801" t="s">
        <v>8758</v>
      </c>
      <c r="E1801" t="s">
        <v>8759</v>
      </c>
      <c r="F1801" t="s">
        <v>5</v>
      </c>
      <c r="G1801" t="s">
        <v>6</v>
      </c>
      <c r="L1801" t="s">
        <v>7</v>
      </c>
      <c r="M1801">
        <v>2009</v>
      </c>
      <c r="N1801" s="1">
        <v>40021</v>
      </c>
      <c r="O1801" t="s">
        <v>8760</v>
      </c>
      <c r="P1801">
        <v>1</v>
      </c>
      <c r="Q1801" t="s">
        <v>6437</v>
      </c>
      <c r="S1801">
        <v>217.95</v>
      </c>
      <c r="T1801">
        <v>250</v>
      </c>
      <c r="U1801">
        <v>190</v>
      </c>
      <c r="V1801" t="s">
        <v>58</v>
      </c>
      <c r="W1801" t="s">
        <v>59</v>
      </c>
      <c r="X1801" t="s">
        <v>278</v>
      </c>
      <c r="Y1801" t="s">
        <v>932</v>
      </c>
      <c r="AF1801" t="s">
        <v>13</v>
      </c>
      <c r="AG1801" t="str">
        <f>HYPERLINK("https://doi.org/10.1515/9780748630301")</f>
        <v>https://doi.org/10.1515/9780748630301</v>
      </c>
      <c r="AH1801" t="str">
        <f>HYPERLINK("http://www.degruyter.com/isbn/9780748630301")</f>
        <v>http://www.degruyter.com/isbn/9780748630301</v>
      </c>
      <c r="AI1801" t="s">
        <v>68</v>
      </c>
      <c r="AJ1801" t="s">
        <v>35</v>
      </c>
      <c r="AL1801" t="s">
        <v>155</v>
      </c>
      <c r="AM1801">
        <v>1</v>
      </c>
      <c r="AN1801" s="2">
        <v>9780748624157</v>
      </c>
    </row>
    <row r="1802" spans="1:40" x14ac:dyDescent="0.3">
      <c r="A1802" t="s">
        <v>8761</v>
      </c>
      <c r="B1802" t="s">
        <v>1</v>
      </c>
      <c r="C1802" t="s">
        <v>8762</v>
      </c>
      <c r="D1802" t="s">
        <v>8763</v>
      </c>
      <c r="E1802" t="s">
        <v>8764</v>
      </c>
      <c r="F1802" t="s">
        <v>5</v>
      </c>
      <c r="G1802" t="s">
        <v>6</v>
      </c>
      <c r="L1802" t="s">
        <v>7</v>
      </c>
      <c r="M1802">
        <v>1996</v>
      </c>
      <c r="N1802" s="1">
        <v>44719</v>
      </c>
      <c r="O1802" t="s">
        <v>8765</v>
      </c>
      <c r="P1802">
        <v>1</v>
      </c>
      <c r="Q1802" t="s">
        <v>7257</v>
      </c>
      <c r="S1802">
        <v>217.95</v>
      </c>
      <c r="T1802">
        <v>250</v>
      </c>
      <c r="U1802">
        <v>190</v>
      </c>
      <c r="V1802" t="s">
        <v>42</v>
      </c>
      <c r="W1802" t="s">
        <v>116</v>
      </c>
      <c r="X1802" t="s">
        <v>116</v>
      </c>
      <c r="Y1802" t="s">
        <v>117</v>
      </c>
      <c r="AF1802" t="s">
        <v>13</v>
      </c>
      <c r="AG1802" t="str">
        <f>HYPERLINK("https://doi.org/10.1515/9781474469272")</f>
        <v>https://doi.org/10.1515/9781474469272</v>
      </c>
      <c r="AH1802" t="str">
        <f>HYPERLINK("http://www.degruyter.com/isbn/9781474469272")</f>
        <v>http://www.degruyter.com/isbn/9781474469272</v>
      </c>
      <c r="AI1802" t="s">
        <v>24</v>
      </c>
      <c r="AL1802" t="s">
        <v>47</v>
      </c>
      <c r="AM1802">
        <v>1</v>
      </c>
      <c r="AN1802" s="2">
        <v>9780745012834</v>
      </c>
    </row>
    <row r="1803" spans="1:40" x14ac:dyDescent="0.3">
      <c r="A1803" t="s">
        <v>8766</v>
      </c>
      <c r="B1803" t="s">
        <v>1</v>
      </c>
      <c r="C1803" t="s">
        <v>8767</v>
      </c>
      <c r="E1803" t="s">
        <v>8768</v>
      </c>
      <c r="F1803" t="s">
        <v>5</v>
      </c>
      <c r="G1803" t="s">
        <v>6</v>
      </c>
      <c r="L1803" t="s">
        <v>7</v>
      </c>
      <c r="M1803">
        <v>2009</v>
      </c>
      <c r="N1803" s="1">
        <v>39945</v>
      </c>
      <c r="O1803" t="s">
        <v>8769</v>
      </c>
      <c r="P1803">
        <v>1</v>
      </c>
      <c r="Q1803" t="s">
        <v>7738</v>
      </c>
      <c r="S1803">
        <v>227.95</v>
      </c>
      <c r="T1803">
        <v>260</v>
      </c>
      <c r="U1803">
        <v>200</v>
      </c>
      <c r="V1803" t="s">
        <v>98</v>
      </c>
      <c r="W1803" t="s">
        <v>99</v>
      </c>
      <c r="X1803" t="s">
        <v>386</v>
      </c>
      <c r="Y1803" t="s">
        <v>387</v>
      </c>
      <c r="AF1803" t="s">
        <v>13</v>
      </c>
      <c r="AG1803" t="str">
        <f>HYPERLINK("https://doi.org/10.1515/9780748631308")</f>
        <v>https://doi.org/10.1515/9780748631308</v>
      </c>
      <c r="AH1803" t="str">
        <f>HYPERLINK("http://www.degruyter.com/isbn/9780748631308")</f>
        <v>http://www.degruyter.com/isbn/9780748631308</v>
      </c>
      <c r="AI1803" t="s">
        <v>68</v>
      </c>
      <c r="AL1803" t="s">
        <v>102</v>
      </c>
      <c r="AM1803">
        <v>1</v>
      </c>
      <c r="AN1803" s="2">
        <v>9780748625970</v>
      </c>
    </row>
    <row r="1804" spans="1:40" x14ac:dyDescent="0.3">
      <c r="A1804" t="s">
        <v>8770</v>
      </c>
      <c r="B1804" t="s">
        <v>1</v>
      </c>
      <c r="C1804" t="s">
        <v>8771</v>
      </c>
      <c r="E1804" t="s">
        <v>8772</v>
      </c>
      <c r="F1804" t="s">
        <v>5</v>
      </c>
      <c r="G1804" t="s">
        <v>6</v>
      </c>
      <c r="L1804" t="s">
        <v>7</v>
      </c>
      <c r="M1804">
        <v>1997</v>
      </c>
      <c r="N1804" s="1">
        <v>44599</v>
      </c>
      <c r="O1804" t="s">
        <v>8773</v>
      </c>
      <c r="P1804">
        <v>1</v>
      </c>
      <c r="Q1804" t="s">
        <v>6923</v>
      </c>
      <c r="S1804">
        <v>217.95</v>
      </c>
      <c r="T1804">
        <v>250</v>
      </c>
      <c r="U1804">
        <v>190</v>
      </c>
      <c r="V1804" t="s">
        <v>89</v>
      </c>
      <c r="W1804" t="s">
        <v>90</v>
      </c>
      <c r="X1804" t="s">
        <v>91</v>
      </c>
      <c r="Y1804" t="s">
        <v>717</v>
      </c>
      <c r="AF1804" t="s">
        <v>13</v>
      </c>
      <c r="AG1804" t="str">
        <f>HYPERLINK("https://doi.org/10.1515/9781474473378")</f>
        <v>https://doi.org/10.1515/9781474473378</v>
      </c>
      <c r="AH1804" t="str">
        <f>HYPERLINK("http://www.degruyter.com/isbn/9781474473378")</f>
        <v>http://www.degruyter.com/isbn/9781474473378</v>
      </c>
      <c r="AI1804" t="s">
        <v>24</v>
      </c>
      <c r="AL1804" t="s">
        <v>83</v>
      </c>
      <c r="AM1804">
        <v>1</v>
      </c>
      <c r="AN1804" s="2">
        <v>9780748609079</v>
      </c>
    </row>
    <row r="1805" spans="1:40" x14ac:dyDescent="0.3">
      <c r="A1805" t="s">
        <v>8774</v>
      </c>
      <c r="B1805" t="s">
        <v>1</v>
      </c>
      <c r="C1805" t="s">
        <v>8775</v>
      </c>
      <c r="E1805" t="s">
        <v>8776</v>
      </c>
      <c r="F1805" t="s">
        <v>5</v>
      </c>
      <c r="G1805" t="s">
        <v>6</v>
      </c>
      <c r="L1805" t="s">
        <v>7</v>
      </c>
      <c r="M1805">
        <v>2005</v>
      </c>
      <c r="N1805" s="1">
        <v>38695</v>
      </c>
      <c r="O1805" t="s">
        <v>8777</v>
      </c>
      <c r="P1805">
        <v>1</v>
      </c>
      <c r="Q1805" t="s">
        <v>8317</v>
      </c>
      <c r="S1805">
        <v>253.95</v>
      </c>
      <c r="T1805">
        <v>290</v>
      </c>
      <c r="U1805">
        <v>220</v>
      </c>
      <c r="V1805" t="s">
        <v>58</v>
      </c>
      <c r="W1805" t="s">
        <v>129</v>
      </c>
      <c r="X1805" t="s">
        <v>1290</v>
      </c>
      <c r="Y1805" t="s">
        <v>2579</v>
      </c>
      <c r="AF1805" t="s">
        <v>13</v>
      </c>
      <c r="AG1805" t="str">
        <f>HYPERLINK("https://doi.org/10.1515/9780748626304")</f>
        <v>https://doi.org/10.1515/9780748626304</v>
      </c>
      <c r="AH1805" t="str">
        <f>HYPERLINK("http://www.degruyter.com/isbn/9780748626304")</f>
        <v>http://www.degruyter.com/isbn/9780748626304</v>
      </c>
      <c r="AI1805" t="s">
        <v>68</v>
      </c>
      <c r="AL1805" t="s">
        <v>62</v>
      </c>
      <c r="AM1805">
        <v>1</v>
      </c>
      <c r="AN1805" s="2">
        <v>9780748620685</v>
      </c>
    </row>
    <row r="1806" spans="1:40" x14ac:dyDescent="0.3">
      <c r="A1806" t="s">
        <v>8778</v>
      </c>
      <c r="B1806" t="s">
        <v>1</v>
      </c>
      <c r="C1806" t="s">
        <v>8779</v>
      </c>
      <c r="D1806" t="s">
        <v>8780</v>
      </c>
      <c r="E1806" t="s">
        <v>8781</v>
      </c>
      <c r="F1806" t="s">
        <v>5</v>
      </c>
      <c r="G1806" t="s">
        <v>6</v>
      </c>
      <c r="L1806" t="s">
        <v>7</v>
      </c>
      <c r="M1806">
        <v>2013</v>
      </c>
      <c r="N1806" s="1">
        <v>41452</v>
      </c>
      <c r="O1806" t="s">
        <v>8782</v>
      </c>
      <c r="P1806">
        <v>1</v>
      </c>
      <c r="Q1806" t="s">
        <v>7027</v>
      </c>
      <c r="S1806">
        <v>217.95</v>
      </c>
      <c r="T1806">
        <v>250</v>
      </c>
      <c r="U1806">
        <v>190</v>
      </c>
      <c r="V1806" t="s">
        <v>98</v>
      </c>
      <c r="W1806" t="s">
        <v>99</v>
      </c>
      <c r="X1806" t="s">
        <v>386</v>
      </c>
      <c r="Y1806" t="s">
        <v>387</v>
      </c>
      <c r="AF1806" t="s">
        <v>13</v>
      </c>
      <c r="AG1806" t="str">
        <f>HYPERLINK("https://doi.org/10.1515/9780748685806?locatt=mode:legacy")</f>
        <v>https://doi.org/10.1515/9780748685806?locatt=mode:legacy</v>
      </c>
      <c r="AH1806" t="str">
        <f>HYPERLINK("http://www.degruyter.com/isbn/9780748685806")</f>
        <v>http://www.degruyter.com/isbn/9780748685806</v>
      </c>
      <c r="AI1806" t="s">
        <v>68</v>
      </c>
      <c r="AL1806" t="s">
        <v>102</v>
      </c>
      <c r="AM1806">
        <v>1</v>
      </c>
      <c r="AN1806" s="2">
        <v>9780748641697</v>
      </c>
    </row>
    <row r="1807" spans="1:40" x14ac:dyDescent="0.3">
      <c r="A1807" t="s">
        <v>8783</v>
      </c>
      <c r="B1807" t="s">
        <v>1</v>
      </c>
      <c r="C1807" t="s">
        <v>8784</v>
      </c>
      <c r="E1807" t="s">
        <v>8785</v>
      </c>
      <c r="F1807" t="s">
        <v>5</v>
      </c>
      <c r="G1807" t="s">
        <v>6</v>
      </c>
      <c r="L1807" t="s">
        <v>7</v>
      </c>
      <c r="M1807">
        <v>2007</v>
      </c>
      <c r="N1807" s="1">
        <v>39233</v>
      </c>
      <c r="O1807" t="s">
        <v>8786</v>
      </c>
      <c r="P1807">
        <v>1</v>
      </c>
      <c r="Q1807" t="s">
        <v>6815</v>
      </c>
      <c r="S1807">
        <v>217.95</v>
      </c>
      <c r="T1807">
        <v>250</v>
      </c>
      <c r="U1807">
        <v>190</v>
      </c>
      <c r="V1807" t="s">
        <v>89</v>
      </c>
      <c r="W1807" t="s">
        <v>90</v>
      </c>
      <c r="X1807" t="s">
        <v>7511</v>
      </c>
      <c r="Y1807" t="s">
        <v>8787</v>
      </c>
      <c r="AF1807" t="s">
        <v>13</v>
      </c>
      <c r="AG1807" t="str">
        <f>HYPERLINK("https://doi.org/10.1515/9780748628247")</f>
        <v>https://doi.org/10.1515/9780748628247</v>
      </c>
      <c r="AH1807" t="str">
        <f>HYPERLINK("http://www.degruyter.com/isbn/9780748628247")</f>
        <v>http://www.degruyter.com/isbn/9780748628247</v>
      </c>
      <c r="AI1807" t="s">
        <v>68</v>
      </c>
      <c r="AL1807" t="s">
        <v>83</v>
      </c>
      <c r="AM1807">
        <v>1</v>
      </c>
      <c r="AN1807" s="2">
        <v>9780748613021</v>
      </c>
    </row>
    <row r="1808" spans="1:40" x14ac:dyDescent="0.3">
      <c r="A1808" t="s">
        <v>8788</v>
      </c>
      <c r="B1808" t="s">
        <v>1</v>
      </c>
      <c r="C1808" t="s">
        <v>8789</v>
      </c>
      <c r="D1808" t="s">
        <v>8790</v>
      </c>
      <c r="E1808" t="s">
        <v>8791</v>
      </c>
      <c r="F1808" t="s">
        <v>5</v>
      </c>
      <c r="G1808" t="s">
        <v>6</v>
      </c>
      <c r="L1808" t="s">
        <v>7</v>
      </c>
      <c r="M1808">
        <v>2013</v>
      </c>
      <c r="N1808" s="1">
        <v>41379</v>
      </c>
      <c r="O1808" t="s">
        <v>8792</v>
      </c>
      <c r="P1808">
        <v>1</v>
      </c>
      <c r="Q1808" t="s">
        <v>6539</v>
      </c>
      <c r="S1808">
        <v>217.95</v>
      </c>
      <c r="T1808">
        <v>250</v>
      </c>
      <c r="U1808">
        <v>190</v>
      </c>
      <c r="V1808" t="s">
        <v>42</v>
      </c>
      <c r="W1808" t="s">
        <v>116</v>
      </c>
      <c r="X1808" t="s">
        <v>116</v>
      </c>
      <c r="Y1808" t="s">
        <v>586</v>
      </c>
      <c r="AF1808" t="s">
        <v>13</v>
      </c>
      <c r="AG1808" t="str">
        <f>HYPERLINK("https://doi.org/10.1515/9780748681921?locatt=mode:legacy")</f>
        <v>https://doi.org/10.1515/9780748681921?locatt=mode:legacy</v>
      </c>
      <c r="AH1808" t="str">
        <f>HYPERLINK("http://www.degruyter.com/isbn/9780748681921")</f>
        <v>http://www.degruyter.com/isbn/9780748681921</v>
      </c>
      <c r="AI1808" t="s">
        <v>68</v>
      </c>
      <c r="AL1808" t="s">
        <v>47</v>
      </c>
      <c r="AM1808">
        <v>1</v>
      </c>
      <c r="AN1808" s="2">
        <v>9780748641277</v>
      </c>
    </row>
    <row r="1809" spans="1:40" x14ac:dyDescent="0.3">
      <c r="A1809" t="s">
        <v>8793</v>
      </c>
      <c r="B1809" t="s">
        <v>1</v>
      </c>
      <c r="C1809" t="s">
        <v>8794</v>
      </c>
      <c r="E1809" t="s">
        <v>8795</v>
      </c>
      <c r="F1809" t="s">
        <v>5</v>
      </c>
      <c r="G1809" t="s">
        <v>6</v>
      </c>
      <c r="L1809" t="s">
        <v>7</v>
      </c>
      <c r="M1809">
        <v>2011</v>
      </c>
      <c r="N1809" s="1">
        <v>40624</v>
      </c>
      <c r="O1809" t="s">
        <v>8796</v>
      </c>
      <c r="P1809">
        <v>1</v>
      </c>
      <c r="Q1809" t="s">
        <v>6418</v>
      </c>
      <c r="S1809">
        <v>253.95</v>
      </c>
      <c r="T1809">
        <v>290</v>
      </c>
      <c r="U1809">
        <v>220</v>
      </c>
      <c r="V1809" t="s">
        <v>79</v>
      </c>
      <c r="W1809" t="s">
        <v>734</v>
      </c>
      <c r="X1809" t="s">
        <v>734</v>
      </c>
      <c r="Y1809" t="s">
        <v>6064</v>
      </c>
      <c r="AF1809" t="s">
        <v>13</v>
      </c>
      <c r="AG1809" t="str">
        <f>HYPERLINK("https://doi.org/10.1515/9780748645978?locatt=mode:legacy")</f>
        <v>https://doi.org/10.1515/9780748645978?locatt=mode:legacy</v>
      </c>
      <c r="AH1809" t="str">
        <f>HYPERLINK("http://www.degruyter.com/isbn/9780748645978")</f>
        <v>http://www.degruyter.com/isbn/9780748645978</v>
      </c>
      <c r="AI1809" t="s">
        <v>68</v>
      </c>
      <c r="AL1809" t="s">
        <v>83</v>
      </c>
      <c r="AM1809">
        <v>1</v>
      </c>
      <c r="AN1809" s="2">
        <v>9780748638642</v>
      </c>
    </row>
    <row r="1810" spans="1:40" x14ac:dyDescent="0.3">
      <c r="A1810" t="s">
        <v>8797</v>
      </c>
      <c r="B1810" t="s">
        <v>1</v>
      </c>
      <c r="C1810" t="s">
        <v>8798</v>
      </c>
      <c r="D1810" t="s">
        <v>8799</v>
      </c>
      <c r="E1810" t="s">
        <v>8800</v>
      </c>
      <c r="F1810" t="s">
        <v>5</v>
      </c>
      <c r="G1810" t="s">
        <v>6</v>
      </c>
      <c r="L1810" t="s">
        <v>7</v>
      </c>
      <c r="M1810">
        <v>2006</v>
      </c>
      <c r="N1810" s="1">
        <v>38894</v>
      </c>
      <c r="O1810" t="s">
        <v>545</v>
      </c>
      <c r="P1810">
        <v>1</v>
      </c>
      <c r="S1810">
        <v>87.95</v>
      </c>
      <c r="T1810">
        <v>99.95</v>
      </c>
      <c r="U1810">
        <v>78</v>
      </c>
      <c r="V1810" t="s">
        <v>79</v>
      </c>
      <c r="W1810" t="s">
        <v>209</v>
      </c>
      <c r="X1810" t="s">
        <v>209</v>
      </c>
      <c r="Y1810" t="s">
        <v>510</v>
      </c>
      <c r="AF1810" t="s">
        <v>13</v>
      </c>
      <c r="AG1810" t="str">
        <f>HYPERLINK("https://doi.org/10.1515/9780748626946")</f>
        <v>https://doi.org/10.1515/9780748626946</v>
      </c>
      <c r="AH1810" t="str">
        <f>HYPERLINK("http://www.degruyter.com/isbn/9780748626946")</f>
        <v>http://www.degruyter.com/isbn/9780748626946</v>
      </c>
      <c r="AI1810" t="s">
        <v>68</v>
      </c>
      <c r="AL1810" t="s">
        <v>83</v>
      </c>
      <c r="AM1810">
        <v>1</v>
      </c>
      <c r="AN1810" s="2">
        <v>9780748623266</v>
      </c>
    </row>
    <row r="1811" spans="1:40" x14ac:dyDescent="0.3">
      <c r="A1811" t="s">
        <v>8801</v>
      </c>
      <c r="B1811" t="s">
        <v>1</v>
      </c>
      <c r="C1811" t="s">
        <v>8802</v>
      </c>
      <c r="E1811" t="s">
        <v>8803</v>
      </c>
      <c r="F1811" t="s">
        <v>5</v>
      </c>
      <c r="G1811" t="s">
        <v>6</v>
      </c>
      <c r="L1811" t="s">
        <v>7</v>
      </c>
      <c r="M1811">
        <v>2020</v>
      </c>
      <c r="N1811" s="1">
        <v>44644</v>
      </c>
      <c r="O1811" t="s">
        <v>8804</v>
      </c>
      <c r="P1811">
        <v>1</v>
      </c>
      <c r="S1811">
        <v>253.95</v>
      </c>
      <c r="T1811">
        <v>290</v>
      </c>
      <c r="U1811">
        <v>220</v>
      </c>
      <c r="V1811" t="s">
        <v>79</v>
      </c>
      <c r="W1811" t="s">
        <v>123</v>
      </c>
      <c r="X1811" t="s">
        <v>123</v>
      </c>
      <c r="Y1811" t="s">
        <v>124</v>
      </c>
      <c r="AF1811" t="s">
        <v>13</v>
      </c>
      <c r="AG1811" t="str">
        <f>HYPERLINK("https://doi.org/10.1515/9781474476027")</f>
        <v>https://doi.org/10.1515/9781474476027</v>
      </c>
      <c r="AH1811" t="str">
        <f>HYPERLINK("http://www.degruyter.com/isbn/9781474476027")</f>
        <v>http://www.degruyter.com/isbn/9781474476027</v>
      </c>
      <c r="AI1811" t="s">
        <v>14</v>
      </c>
      <c r="AL1811" t="s">
        <v>83</v>
      </c>
      <c r="AM1811">
        <v>1</v>
      </c>
      <c r="AN1811" s="2">
        <v>9781474476003</v>
      </c>
    </row>
    <row r="1812" spans="1:40" x14ac:dyDescent="0.3">
      <c r="A1812" t="s">
        <v>8805</v>
      </c>
      <c r="B1812" t="s">
        <v>1</v>
      </c>
      <c r="C1812" t="s">
        <v>8806</v>
      </c>
      <c r="D1812" t="s">
        <v>8807</v>
      </c>
      <c r="E1812" t="s">
        <v>8808</v>
      </c>
      <c r="F1812" t="s">
        <v>5</v>
      </c>
      <c r="G1812" t="s">
        <v>6</v>
      </c>
      <c r="L1812" t="s">
        <v>7</v>
      </c>
      <c r="M1812">
        <v>2008</v>
      </c>
      <c r="N1812" s="1">
        <v>39462</v>
      </c>
      <c r="O1812" t="s">
        <v>8809</v>
      </c>
      <c r="P1812">
        <v>1</v>
      </c>
      <c r="Q1812" t="s">
        <v>6665</v>
      </c>
      <c r="S1812">
        <v>227.95</v>
      </c>
      <c r="T1812">
        <v>260</v>
      </c>
      <c r="U1812">
        <v>200</v>
      </c>
      <c r="V1812" t="s">
        <v>9</v>
      </c>
      <c r="W1812" t="s">
        <v>10</v>
      </c>
      <c r="X1812" t="s">
        <v>11</v>
      </c>
      <c r="Y1812" t="s">
        <v>12</v>
      </c>
      <c r="AF1812" t="s">
        <v>13</v>
      </c>
      <c r="AG1812" t="str">
        <f>HYPERLINK("https://doi.org/10.1515/9780748634095?locatt=mode:legacy")</f>
        <v>https://doi.org/10.1515/9780748634095?locatt=mode:legacy</v>
      </c>
      <c r="AH1812" t="str">
        <f>HYPERLINK("http://www.degruyter.com/isbn/9780748634095")</f>
        <v>http://www.degruyter.com/isbn/9780748634095</v>
      </c>
      <c r="AI1812" t="s">
        <v>68</v>
      </c>
      <c r="AL1812" t="s">
        <v>15</v>
      </c>
      <c r="AM1812">
        <v>1</v>
      </c>
      <c r="AN1812" s="2">
        <v>9780748634071</v>
      </c>
    </row>
    <row r="1813" spans="1:40" x14ac:dyDescent="0.3">
      <c r="A1813" t="s">
        <v>8810</v>
      </c>
      <c r="B1813" t="s">
        <v>1</v>
      </c>
      <c r="C1813" t="s">
        <v>8811</v>
      </c>
      <c r="D1813" t="s">
        <v>8812</v>
      </c>
      <c r="E1813" t="s">
        <v>8813</v>
      </c>
      <c r="F1813" t="s">
        <v>5</v>
      </c>
      <c r="G1813" t="s">
        <v>6</v>
      </c>
      <c r="L1813" t="s">
        <v>7</v>
      </c>
      <c r="M1813">
        <v>2006</v>
      </c>
      <c r="N1813" s="1">
        <v>39010</v>
      </c>
      <c r="O1813" t="s">
        <v>8814</v>
      </c>
      <c r="P1813">
        <v>1</v>
      </c>
      <c r="Q1813" t="s">
        <v>7174</v>
      </c>
      <c r="S1813">
        <v>253.95</v>
      </c>
      <c r="T1813">
        <v>290</v>
      </c>
      <c r="U1813">
        <v>220</v>
      </c>
      <c r="V1813" t="s">
        <v>98</v>
      </c>
      <c r="W1813" t="s">
        <v>1513</v>
      </c>
      <c r="X1813" t="s">
        <v>1514</v>
      </c>
      <c r="Y1813" t="s">
        <v>1515</v>
      </c>
      <c r="AF1813" t="s">
        <v>13</v>
      </c>
      <c r="AG1813" t="str">
        <f>HYPERLINK("https://doi.org/10.1515/9780748630400?locatt=mode:legacy")</f>
        <v>https://doi.org/10.1515/9780748630400?locatt=mode:legacy</v>
      </c>
      <c r="AH1813" t="str">
        <f>HYPERLINK("http://www.degruyter.com/isbn/9780748630400")</f>
        <v>http://www.degruyter.com/isbn/9780748630400</v>
      </c>
      <c r="AI1813" t="s">
        <v>68</v>
      </c>
      <c r="AL1813" t="s">
        <v>102</v>
      </c>
      <c r="AM1813">
        <v>1</v>
      </c>
      <c r="AN1813" s="2">
        <v>9780748624249</v>
      </c>
    </row>
    <row r="1814" spans="1:40" x14ac:dyDescent="0.3">
      <c r="A1814" t="s">
        <v>8815</v>
      </c>
      <c r="B1814" t="s">
        <v>1</v>
      </c>
      <c r="C1814" t="s">
        <v>8816</v>
      </c>
      <c r="E1814" t="s">
        <v>8817</v>
      </c>
      <c r="F1814" t="s">
        <v>5</v>
      </c>
      <c r="G1814" t="s">
        <v>6</v>
      </c>
      <c r="L1814" t="s">
        <v>7</v>
      </c>
      <c r="M1814">
        <v>1995</v>
      </c>
      <c r="N1814" s="1">
        <v>44607</v>
      </c>
      <c r="O1814" t="s">
        <v>88</v>
      </c>
      <c r="P1814">
        <v>1</v>
      </c>
      <c r="Q1814" t="s">
        <v>6923</v>
      </c>
      <c r="S1814">
        <v>217.95</v>
      </c>
      <c r="T1814">
        <v>250</v>
      </c>
      <c r="U1814">
        <v>190</v>
      </c>
      <c r="V1814" t="s">
        <v>89</v>
      </c>
      <c r="W1814" t="s">
        <v>90</v>
      </c>
      <c r="X1814" t="s">
        <v>91</v>
      </c>
      <c r="Y1814" t="s">
        <v>717</v>
      </c>
      <c r="AF1814" t="s">
        <v>13</v>
      </c>
      <c r="AG1814" t="str">
        <f>HYPERLINK("https://doi.org/10.1515/9781474465564")</f>
        <v>https://doi.org/10.1515/9781474465564</v>
      </c>
      <c r="AH1814" t="str">
        <f>HYPERLINK("http://www.degruyter.com/isbn/9781474465564")</f>
        <v>http://www.degruyter.com/isbn/9781474465564</v>
      </c>
      <c r="AI1814" t="s">
        <v>24</v>
      </c>
      <c r="AL1814" t="s">
        <v>83</v>
      </c>
      <c r="AM1814">
        <v>1</v>
      </c>
      <c r="AN1814" s="2">
        <v>9780748604357</v>
      </c>
    </row>
    <row r="1815" spans="1:40" x14ac:dyDescent="0.3">
      <c r="A1815" t="s">
        <v>8818</v>
      </c>
      <c r="B1815" t="s">
        <v>1</v>
      </c>
      <c r="C1815" t="s">
        <v>8819</v>
      </c>
      <c r="D1815" t="s">
        <v>8820</v>
      </c>
      <c r="E1815" t="s">
        <v>8821</v>
      </c>
      <c r="F1815" t="s">
        <v>5</v>
      </c>
      <c r="G1815" t="s">
        <v>6</v>
      </c>
      <c r="L1815" t="s">
        <v>7</v>
      </c>
      <c r="M1815">
        <v>2020</v>
      </c>
      <c r="N1815" s="1">
        <v>44644</v>
      </c>
      <c r="O1815" t="s">
        <v>8822</v>
      </c>
      <c r="P1815">
        <v>1</v>
      </c>
      <c r="Q1815" t="s">
        <v>8823</v>
      </c>
      <c r="S1815">
        <v>217.95</v>
      </c>
      <c r="T1815">
        <v>250</v>
      </c>
      <c r="U1815">
        <v>190</v>
      </c>
      <c r="V1815" t="s">
        <v>20</v>
      </c>
      <c r="W1815" t="s">
        <v>21</v>
      </c>
      <c r="X1815" t="s">
        <v>22</v>
      </c>
      <c r="Y1815" t="s">
        <v>23</v>
      </c>
      <c r="AF1815" t="s">
        <v>13</v>
      </c>
      <c r="AG1815" t="str">
        <f>HYPERLINK("https://doi.org/10.1515/9781474473804")</f>
        <v>https://doi.org/10.1515/9781474473804</v>
      </c>
      <c r="AH1815" t="str">
        <f>HYPERLINK("http://www.degruyter.com/isbn/9781474473804")</f>
        <v>http://www.degruyter.com/isbn/9781474473804</v>
      </c>
      <c r="AI1815" t="s">
        <v>14</v>
      </c>
      <c r="AL1815" t="s">
        <v>15</v>
      </c>
      <c r="AM1815">
        <v>1</v>
      </c>
      <c r="AN1815" s="2">
        <v>9781474473781</v>
      </c>
    </row>
    <row r="1816" spans="1:40" x14ac:dyDescent="0.3">
      <c r="A1816" t="s">
        <v>8824</v>
      </c>
      <c r="B1816" t="s">
        <v>1</v>
      </c>
      <c r="C1816" t="s">
        <v>8825</v>
      </c>
      <c r="E1816" t="s">
        <v>8826</v>
      </c>
      <c r="F1816" t="s">
        <v>5</v>
      </c>
      <c r="G1816" t="s">
        <v>6</v>
      </c>
      <c r="L1816" t="s">
        <v>7</v>
      </c>
      <c r="M1816">
        <v>2008</v>
      </c>
      <c r="N1816" s="1">
        <v>39594</v>
      </c>
      <c r="O1816" t="s">
        <v>8827</v>
      </c>
      <c r="P1816">
        <v>1</v>
      </c>
      <c r="Q1816" t="s">
        <v>7266</v>
      </c>
      <c r="S1816">
        <v>279.95</v>
      </c>
      <c r="T1816">
        <v>320</v>
      </c>
      <c r="U1816">
        <v>240</v>
      </c>
      <c r="V1816" t="s">
        <v>42</v>
      </c>
      <c r="W1816" t="s">
        <v>116</v>
      </c>
      <c r="X1816" t="s">
        <v>116</v>
      </c>
      <c r="Y1816" t="s">
        <v>117</v>
      </c>
      <c r="AF1816" t="s">
        <v>13</v>
      </c>
      <c r="AG1816" t="str">
        <f>HYPERLINK("https://doi.org/10.1515/9780748628384")</f>
        <v>https://doi.org/10.1515/9780748628384</v>
      </c>
      <c r="AH1816" t="str">
        <f>HYPERLINK("http://www.degruyter.com/isbn/9780748628384")</f>
        <v>http://www.degruyter.com/isbn/9780748628384</v>
      </c>
      <c r="AI1816" t="s">
        <v>68</v>
      </c>
      <c r="AL1816" t="s">
        <v>47</v>
      </c>
      <c r="AM1816">
        <v>1</v>
      </c>
      <c r="AN1816" s="2">
        <v>9780748605699</v>
      </c>
    </row>
    <row r="1817" spans="1:40" x14ac:dyDescent="0.3">
      <c r="A1817" t="s">
        <v>8828</v>
      </c>
      <c r="B1817" t="s">
        <v>1</v>
      </c>
      <c r="C1817" t="s">
        <v>8829</v>
      </c>
      <c r="D1817" t="s">
        <v>8830</v>
      </c>
      <c r="E1817" t="s">
        <v>8831</v>
      </c>
      <c r="F1817" t="s">
        <v>5</v>
      </c>
      <c r="G1817" t="s">
        <v>6</v>
      </c>
      <c r="L1817" t="s">
        <v>7</v>
      </c>
      <c r="M1817">
        <v>2018</v>
      </c>
      <c r="N1817" s="1">
        <v>44656</v>
      </c>
      <c r="O1817" t="s">
        <v>8832</v>
      </c>
      <c r="P1817">
        <v>1</v>
      </c>
      <c r="Q1817" t="s">
        <v>6779</v>
      </c>
      <c r="S1817">
        <v>217.95</v>
      </c>
      <c r="T1817">
        <v>250</v>
      </c>
      <c r="U1817">
        <v>190</v>
      </c>
      <c r="V1817" t="s">
        <v>20</v>
      </c>
      <c r="W1817" t="s">
        <v>21</v>
      </c>
      <c r="X1817" t="s">
        <v>839</v>
      </c>
      <c r="Y1817" t="s">
        <v>2469</v>
      </c>
      <c r="AF1817" t="s">
        <v>13</v>
      </c>
      <c r="AG1817" t="str">
        <f>HYPERLINK("https://doi.org/10.1515/9781474428477")</f>
        <v>https://doi.org/10.1515/9781474428477</v>
      </c>
      <c r="AH1817" t="str">
        <f>HYPERLINK("http://www.degruyter.com/isbn/9781474428477")</f>
        <v>http://www.degruyter.com/isbn/9781474428477</v>
      </c>
      <c r="AI1817" t="s">
        <v>46</v>
      </c>
      <c r="AJ1817" t="s">
        <v>35</v>
      </c>
      <c r="AL1817" t="s">
        <v>1346</v>
      </c>
      <c r="AM1817">
        <v>1</v>
      </c>
      <c r="AN1817" s="2">
        <v>9781474428453</v>
      </c>
    </row>
    <row r="1818" spans="1:40" x14ac:dyDescent="0.3">
      <c r="A1818" t="s">
        <v>8833</v>
      </c>
      <c r="B1818" t="s">
        <v>1</v>
      </c>
      <c r="C1818" t="s">
        <v>8834</v>
      </c>
      <c r="D1818" t="s">
        <v>8835</v>
      </c>
      <c r="E1818" t="s">
        <v>8836</v>
      </c>
      <c r="F1818" t="s">
        <v>5</v>
      </c>
      <c r="G1818" t="s">
        <v>6</v>
      </c>
      <c r="L1818" t="s">
        <v>7</v>
      </c>
      <c r="M1818">
        <v>2014</v>
      </c>
      <c r="N1818" s="1">
        <v>41773</v>
      </c>
      <c r="O1818" t="s">
        <v>8837</v>
      </c>
      <c r="P1818">
        <v>1</v>
      </c>
      <c r="Q1818" t="s">
        <v>7174</v>
      </c>
      <c r="S1818">
        <v>217.95</v>
      </c>
      <c r="T1818">
        <v>250</v>
      </c>
      <c r="U1818">
        <v>190</v>
      </c>
      <c r="V1818" t="s">
        <v>42</v>
      </c>
      <c r="W1818" t="s">
        <v>116</v>
      </c>
      <c r="X1818" t="s">
        <v>116</v>
      </c>
      <c r="Y1818" t="s">
        <v>117</v>
      </c>
      <c r="AF1818" t="s">
        <v>13</v>
      </c>
      <c r="AG1818" t="str">
        <f>HYPERLINK("https://doi.org/10.1515/9780748669981?locatt=mode:legacy")</f>
        <v>https://doi.org/10.1515/9780748669981?locatt=mode:legacy</v>
      </c>
      <c r="AH1818" t="str">
        <f>HYPERLINK("http://www.degruyter.com/isbn/9780748669981")</f>
        <v>http://www.degruyter.com/isbn/9780748669981</v>
      </c>
      <c r="AI1818" t="s">
        <v>34</v>
      </c>
      <c r="AL1818" t="s">
        <v>47</v>
      </c>
      <c r="AM1818">
        <v>1</v>
      </c>
      <c r="AN1818" s="2">
        <v>9780748669974</v>
      </c>
    </row>
    <row r="1819" spans="1:40" x14ac:dyDescent="0.3">
      <c r="A1819" t="s">
        <v>8838</v>
      </c>
      <c r="B1819" t="s">
        <v>1</v>
      </c>
      <c r="C1819" t="s">
        <v>8839</v>
      </c>
      <c r="D1819" t="s">
        <v>8840</v>
      </c>
      <c r="E1819" t="s">
        <v>8841</v>
      </c>
      <c r="F1819" t="s">
        <v>5</v>
      </c>
      <c r="G1819" t="s">
        <v>6</v>
      </c>
      <c r="K1819" t="s">
        <v>929</v>
      </c>
      <c r="L1819" t="s">
        <v>7</v>
      </c>
      <c r="M1819">
        <v>2016</v>
      </c>
      <c r="N1819" s="1">
        <v>42445</v>
      </c>
      <c r="O1819" t="s">
        <v>8842</v>
      </c>
      <c r="P1819">
        <v>1</v>
      </c>
      <c r="Q1819" t="s">
        <v>7019</v>
      </c>
      <c r="V1819" t="s">
        <v>20</v>
      </c>
      <c r="W1819" t="s">
        <v>21</v>
      </c>
      <c r="X1819" t="s">
        <v>22</v>
      </c>
      <c r="Y1819" t="s">
        <v>23</v>
      </c>
      <c r="AF1819" t="s">
        <v>13</v>
      </c>
      <c r="AG1819" t="str">
        <f>HYPERLINK("https://doi.org/10.1515/9781474402972?locatt=mode:legacy")</f>
        <v>https://doi.org/10.1515/9781474402972?locatt=mode:legacy</v>
      </c>
      <c r="AH1819" t="str">
        <f>HYPERLINK("http://www.degruyter.com/isbn/9781474402972")</f>
        <v>http://www.degruyter.com/isbn/9781474402972</v>
      </c>
      <c r="AI1819" t="s">
        <v>180</v>
      </c>
      <c r="AM1819">
        <v>1</v>
      </c>
      <c r="AN1819" s="2"/>
    </row>
    <row r="1820" spans="1:40" x14ac:dyDescent="0.3">
      <c r="A1820" t="s">
        <v>8843</v>
      </c>
      <c r="B1820" t="s">
        <v>1</v>
      </c>
      <c r="C1820" t="s">
        <v>6983</v>
      </c>
      <c r="D1820" t="s">
        <v>8844</v>
      </c>
      <c r="E1820" t="s">
        <v>6985</v>
      </c>
      <c r="F1820" t="s">
        <v>5</v>
      </c>
      <c r="G1820" t="s">
        <v>6</v>
      </c>
      <c r="L1820" t="s">
        <v>7</v>
      </c>
      <c r="M1820">
        <v>2021</v>
      </c>
      <c r="N1820" s="1">
        <v>44656</v>
      </c>
      <c r="O1820" t="s">
        <v>8845</v>
      </c>
      <c r="P1820">
        <v>1</v>
      </c>
      <c r="Q1820" t="s">
        <v>6987</v>
      </c>
      <c r="S1820">
        <v>227.95</v>
      </c>
      <c r="T1820">
        <v>260</v>
      </c>
      <c r="U1820">
        <v>200</v>
      </c>
      <c r="V1820" t="s">
        <v>9</v>
      </c>
      <c r="W1820" t="s">
        <v>10</v>
      </c>
      <c r="X1820" t="s">
        <v>11</v>
      </c>
      <c r="Y1820" t="s">
        <v>52</v>
      </c>
      <c r="AF1820" t="s">
        <v>13</v>
      </c>
      <c r="AG1820" t="str">
        <f>HYPERLINK("https://doi.org/10.1515/9781474477635")</f>
        <v>https://doi.org/10.1515/9781474477635</v>
      </c>
      <c r="AH1820" t="str">
        <f>HYPERLINK("http://www.degruyter.com/isbn/9781474477635")</f>
        <v>http://www.degruyter.com/isbn/9781474477635</v>
      </c>
      <c r="AI1820" t="s">
        <v>908</v>
      </c>
      <c r="AL1820" t="s">
        <v>15</v>
      </c>
      <c r="AM1820">
        <v>1</v>
      </c>
      <c r="AN1820" s="2">
        <v>9781474477611</v>
      </c>
    </row>
    <row r="1821" spans="1:40" x14ac:dyDescent="0.3">
      <c r="A1821" t="s">
        <v>8846</v>
      </c>
      <c r="B1821" t="s">
        <v>1</v>
      </c>
      <c r="C1821" t="s">
        <v>8847</v>
      </c>
      <c r="E1821" t="s">
        <v>8848</v>
      </c>
      <c r="F1821" t="s">
        <v>5</v>
      </c>
      <c r="G1821" t="s">
        <v>6</v>
      </c>
      <c r="L1821" t="s">
        <v>7</v>
      </c>
      <c r="M1821">
        <v>2010</v>
      </c>
      <c r="N1821" s="1">
        <v>40254</v>
      </c>
      <c r="O1821" t="s">
        <v>8849</v>
      </c>
      <c r="P1821">
        <v>1</v>
      </c>
      <c r="Q1821" t="s">
        <v>6437</v>
      </c>
      <c r="S1821">
        <v>217.95</v>
      </c>
      <c r="T1821">
        <v>250</v>
      </c>
      <c r="U1821">
        <v>190</v>
      </c>
      <c r="V1821" t="s">
        <v>58</v>
      </c>
      <c r="W1821" t="s">
        <v>59</v>
      </c>
      <c r="X1821" t="s">
        <v>60</v>
      </c>
      <c r="Y1821" t="s">
        <v>169</v>
      </c>
      <c r="AF1821" t="s">
        <v>13</v>
      </c>
      <c r="AG1821" t="str">
        <f>HYPERLINK("https://doi.org/10.1515/9780748631148")</f>
        <v>https://doi.org/10.1515/9780748631148</v>
      </c>
      <c r="AH1821" t="str">
        <f>HYPERLINK("http://www.degruyter.com/isbn/9780748631148")</f>
        <v>http://www.degruyter.com/isbn/9780748631148</v>
      </c>
      <c r="AI1821" t="s">
        <v>68</v>
      </c>
      <c r="AL1821" t="s">
        <v>62</v>
      </c>
      <c r="AM1821">
        <v>1</v>
      </c>
      <c r="AN1821" s="2">
        <v>9780748625710</v>
      </c>
    </row>
    <row r="1822" spans="1:40" x14ac:dyDescent="0.3">
      <c r="A1822" t="s">
        <v>8850</v>
      </c>
      <c r="B1822" t="s">
        <v>1</v>
      </c>
      <c r="C1822" t="s">
        <v>8851</v>
      </c>
      <c r="E1822" t="s">
        <v>8852</v>
      </c>
      <c r="F1822" t="s">
        <v>5</v>
      </c>
      <c r="G1822" t="s">
        <v>6</v>
      </c>
      <c r="L1822" t="s">
        <v>7</v>
      </c>
      <c r="M1822">
        <v>2019</v>
      </c>
      <c r="N1822" s="1">
        <v>44644</v>
      </c>
      <c r="O1822" t="s">
        <v>8853</v>
      </c>
      <c r="P1822">
        <v>1</v>
      </c>
      <c r="Q1822" t="s">
        <v>8096</v>
      </c>
      <c r="S1822">
        <v>227.95</v>
      </c>
      <c r="T1822">
        <v>260</v>
      </c>
      <c r="U1822">
        <v>200</v>
      </c>
      <c r="V1822" t="s">
        <v>42</v>
      </c>
      <c r="W1822" t="s">
        <v>116</v>
      </c>
      <c r="X1822" t="s">
        <v>116</v>
      </c>
      <c r="Y1822" t="s">
        <v>117</v>
      </c>
      <c r="AF1822" t="s">
        <v>13</v>
      </c>
      <c r="AG1822" t="str">
        <f>HYPERLINK("https://doi.org/10.1515/9781474431354?locatt=mode:legacy")</f>
        <v>https://doi.org/10.1515/9781474431354?locatt=mode:legacy</v>
      </c>
      <c r="AH1822" t="str">
        <f>HYPERLINK("http://www.degruyter.com/isbn/9781474431354")</f>
        <v>http://www.degruyter.com/isbn/9781474431354</v>
      </c>
      <c r="AI1822" t="s">
        <v>280</v>
      </c>
      <c r="AL1822" t="s">
        <v>47</v>
      </c>
      <c r="AM1822">
        <v>1</v>
      </c>
      <c r="AN1822" s="2">
        <v>9781474431330</v>
      </c>
    </row>
    <row r="1823" spans="1:40" x14ac:dyDescent="0.3">
      <c r="A1823" t="s">
        <v>8854</v>
      </c>
      <c r="B1823" t="s">
        <v>1</v>
      </c>
      <c r="C1823" t="s">
        <v>8855</v>
      </c>
      <c r="D1823" t="s">
        <v>8856</v>
      </c>
      <c r="E1823" t="s">
        <v>8857</v>
      </c>
      <c r="F1823" t="s">
        <v>5</v>
      </c>
      <c r="G1823" t="s">
        <v>6</v>
      </c>
      <c r="L1823" t="s">
        <v>7</v>
      </c>
      <c r="M1823">
        <v>2012</v>
      </c>
      <c r="N1823" s="1">
        <v>41127</v>
      </c>
      <c r="O1823" t="s">
        <v>8858</v>
      </c>
      <c r="P1823">
        <v>1</v>
      </c>
      <c r="Q1823" t="s">
        <v>8859</v>
      </c>
      <c r="S1823">
        <v>217.95</v>
      </c>
      <c r="T1823">
        <v>250</v>
      </c>
      <c r="U1823">
        <v>190</v>
      </c>
      <c r="V1823" t="s">
        <v>20</v>
      </c>
      <c r="W1823" t="s">
        <v>470</v>
      </c>
      <c r="X1823" t="s">
        <v>7276</v>
      </c>
      <c r="Y1823" t="s">
        <v>7277</v>
      </c>
      <c r="AF1823" t="s">
        <v>13</v>
      </c>
      <c r="AG1823" t="str">
        <f>HYPERLINK("https://doi.org/10.1515/9780748643899?locatt=mode:legacy")</f>
        <v>https://doi.org/10.1515/9780748643899?locatt=mode:legacy</v>
      </c>
      <c r="AH1823" t="str">
        <f>HYPERLINK("http://www.degruyter.com/isbn/9780748643899")</f>
        <v>http://www.degruyter.com/isbn/9780748643899</v>
      </c>
      <c r="AI1823" t="s">
        <v>68</v>
      </c>
      <c r="AL1823" t="s">
        <v>15</v>
      </c>
      <c r="AM1823">
        <v>1</v>
      </c>
      <c r="AN1823" s="2">
        <v>9780748643882</v>
      </c>
    </row>
    <row r="1824" spans="1:40" x14ac:dyDescent="0.3">
      <c r="A1824" t="s">
        <v>8860</v>
      </c>
      <c r="B1824" t="s">
        <v>1</v>
      </c>
      <c r="C1824" t="s">
        <v>8861</v>
      </c>
      <c r="D1824" t="s">
        <v>8862</v>
      </c>
      <c r="E1824" t="s">
        <v>8863</v>
      </c>
      <c r="F1824" t="s">
        <v>5</v>
      </c>
      <c r="G1824" t="s">
        <v>6</v>
      </c>
      <c r="L1824" t="s">
        <v>7</v>
      </c>
      <c r="M1824">
        <v>2008</v>
      </c>
      <c r="N1824" s="1">
        <v>39798</v>
      </c>
      <c r="O1824" t="s">
        <v>8434</v>
      </c>
      <c r="P1824">
        <v>1</v>
      </c>
      <c r="S1824">
        <v>243.95</v>
      </c>
      <c r="T1824">
        <v>280</v>
      </c>
      <c r="U1824">
        <v>210</v>
      </c>
      <c r="V1824" t="s">
        <v>42</v>
      </c>
      <c r="W1824" t="s">
        <v>107</v>
      </c>
      <c r="X1824" t="s">
        <v>108</v>
      </c>
      <c r="Y1824" t="s">
        <v>109</v>
      </c>
      <c r="AF1824" t="s">
        <v>13</v>
      </c>
      <c r="AG1824" t="str">
        <f>HYPERLINK("https://doi.org/10.1515/9780748632541?locatt=mode:legacy")</f>
        <v>https://doi.org/10.1515/9780748632541?locatt=mode:legacy</v>
      </c>
      <c r="AH1824" t="str">
        <f>HYPERLINK("http://www.degruyter.com/isbn/9780748632541")</f>
        <v>http://www.degruyter.com/isbn/9780748632541</v>
      </c>
      <c r="AI1824" t="s">
        <v>68</v>
      </c>
      <c r="AL1824" t="s">
        <v>47</v>
      </c>
      <c r="AM1824">
        <v>1</v>
      </c>
      <c r="AN1824" s="2">
        <v>9780748623655</v>
      </c>
    </row>
    <row r="1825" spans="1:40" x14ac:dyDescent="0.3">
      <c r="A1825" t="s">
        <v>8864</v>
      </c>
      <c r="B1825" t="s">
        <v>1</v>
      </c>
      <c r="C1825" t="s">
        <v>8865</v>
      </c>
      <c r="D1825" t="s">
        <v>8866</v>
      </c>
      <c r="E1825" t="s">
        <v>8867</v>
      </c>
      <c r="F1825" t="s">
        <v>5</v>
      </c>
      <c r="G1825" t="s">
        <v>6</v>
      </c>
      <c r="L1825" t="s">
        <v>7</v>
      </c>
      <c r="M1825">
        <v>2021</v>
      </c>
      <c r="N1825" s="1">
        <v>44644</v>
      </c>
      <c r="O1825" t="s">
        <v>8868</v>
      </c>
      <c r="P1825">
        <v>1</v>
      </c>
      <c r="Q1825" t="s">
        <v>8869</v>
      </c>
      <c r="S1825">
        <v>253.95</v>
      </c>
      <c r="T1825">
        <v>290</v>
      </c>
      <c r="U1825">
        <v>220</v>
      </c>
      <c r="V1825" t="s">
        <v>268</v>
      </c>
      <c r="W1825" t="s">
        <v>269</v>
      </c>
      <c r="X1825" t="s">
        <v>269</v>
      </c>
      <c r="Y1825" t="s">
        <v>3612</v>
      </c>
      <c r="AF1825" t="s">
        <v>13</v>
      </c>
      <c r="AG1825" t="str">
        <f>HYPERLINK("https://doi.org/10.1515/9781474418089")</f>
        <v>https://doi.org/10.1515/9781474418089</v>
      </c>
      <c r="AH1825" t="str">
        <f>HYPERLINK("http://www.degruyter.com/isbn/9781474418089")</f>
        <v>http://www.degruyter.com/isbn/9781474418089</v>
      </c>
      <c r="AI1825" t="s">
        <v>1971</v>
      </c>
      <c r="AL1825" t="s">
        <v>272</v>
      </c>
      <c r="AM1825">
        <v>1</v>
      </c>
      <c r="AN1825" s="2">
        <v>9781474418065</v>
      </c>
    </row>
    <row r="1826" spans="1:40" x14ac:dyDescent="0.3">
      <c r="A1826" t="s">
        <v>8870</v>
      </c>
      <c r="B1826" t="s">
        <v>1</v>
      </c>
      <c r="C1826" t="s">
        <v>8871</v>
      </c>
      <c r="D1826" t="s">
        <v>8872</v>
      </c>
      <c r="E1826" t="s">
        <v>8873</v>
      </c>
      <c r="F1826" t="s">
        <v>5</v>
      </c>
      <c r="G1826" t="s">
        <v>6</v>
      </c>
      <c r="L1826" t="s">
        <v>7</v>
      </c>
      <c r="M1826">
        <v>1999</v>
      </c>
      <c r="N1826" s="1">
        <v>44656</v>
      </c>
      <c r="O1826" t="s">
        <v>8874</v>
      </c>
      <c r="P1826">
        <v>1</v>
      </c>
      <c r="Q1826" t="s">
        <v>6785</v>
      </c>
      <c r="S1826">
        <v>65.95</v>
      </c>
      <c r="T1826">
        <v>73.900000000000006</v>
      </c>
      <c r="U1826">
        <v>55.98</v>
      </c>
      <c r="V1826" t="s">
        <v>79</v>
      </c>
      <c r="W1826" t="s">
        <v>123</v>
      </c>
      <c r="X1826" t="s">
        <v>123</v>
      </c>
      <c r="Y1826" t="s">
        <v>124</v>
      </c>
      <c r="AF1826" t="s">
        <v>13</v>
      </c>
      <c r="AG1826" t="str">
        <f>HYPERLINK("https://doi.org/10.1515/9780585103372")</f>
        <v>https://doi.org/10.1515/9780585103372</v>
      </c>
      <c r="AH1826" t="str">
        <f>HYPERLINK("http://www.degruyter.com/isbn/9780585103372")</f>
        <v>http://www.degruyter.com/isbn/9780585103372</v>
      </c>
      <c r="AI1826" t="s">
        <v>24</v>
      </c>
      <c r="AL1826" t="s">
        <v>83</v>
      </c>
      <c r="AM1826">
        <v>1</v>
      </c>
      <c r="AN1826" s="2">
        <v>9780748610648</v>
      </c>
    </row>
    <row r="1827" spans="1:40" x14ac:dyDescent="0.3">
      <c r="A1827" t="s">
        <v>8875</v>
      </c>
      <c r="B1827" t="s">
        <v>1</v>
      </c>
      <c r="C1827" t="s">
        <v>8876</v>
      </c>
      <c r="E1827" t="s">
        <v>8877</v>
      </c>
      <c r="F1827" t="s">
        <v>5</v>
      </c>
      <c r="G1827" t="s">
        <v>6</v>
      </c>
      <c r="L1827" t="s">
        <v>7</v>
      </c>
      <c r="M1827">
        <v>1995</v>
      </c>
      <c r="N1827" s="1">
        <v>44895</v>
      </c>
      <c r="O1827" t="s">
        <v>8878</v>
      </c>
      <c r="P1827">
        <v>1</v>
      </c>
      <c r="Q1827" t="s">
        <v>7266</v>
      </c>
      <c r="S1827">
        <v>227.95</v>
      </c>
      <c r="T1827">
        <v>260</v>
      </c>
      <c r="U1827">
        <v>200</v>
      </c>
      <c r="V1827" t="s">
        <v>42</v>
      </c>
      <c r="W1827" t="s">
        <v>116</v>
      </c>
      <c r="X1827" t="s">
        <v>116</v>
      </c>
      <c r="Y1827" t="s">
        <v>117</v>
      </c>
      <c r="AF1827" t="s">
        <v>13</v>
      </c>
      <c r="AH1827" t="str">
        <f>HYPERLINK("http://www.degruyter.com/isbn/9781474433020")</f>
        <v>http://www.degruyter.com/isbn/9781474433020</v>
      </c>
      <c r="AI1827" t="s">
        <v>24</v>
      </c>
      <c r="AL1827" t="s">
        <v>47</v>
      </c>
      <c r="AM1827">
        <v>1</v>
      </c>
      <c r="AN1827" s="2">
        <v>9780748605354</v>
      </c>
    </row>
    <row r="1828" spans="1:40" x14ac:dyDescent="0.3">
      <c r="A1828" t="s">
        <v>8879</v>
      </c>
      <c r="B1828" t="s">
        <v>1</v>
      </c>
      <c r="C1828" t="s">
        <v>8880</v>
      </c>
      <c r="E1828" t="s">
        <v>8881</v>
      </c>
      <c r="F1828" t="s">
        <v>5</v>
      </c>
      <c r="G1828" t="s">
        <v>6</v>
      </c>
      <c r="L1828" t="s">
        <v>7</v>
      </c>
      <c r="M1828">
        <v>2020</v>
      </c>
      <c r="N1828" s="1">
        <v>44656</v>
      </c>
      <c r="O1828" t="s">
        <v>8882</v>
      </c>
      <c r="P1828">
        <v>1</v>
      </c>
      <c r="Q1828" t="s">
        <v>8883</v>
      </c>
      <c r="S1828">
        <v>227.95</v>
      </c>
      <c r="T1828">
        <v>260</v>
      </c>
      <c r="U1828">
        <v>200</v>
      </c>
      <c r="V1828" t="s">
        <v>79</v>
      </c>
      <c r="W1828" t="s">
        <v>783</v>
      </c>
      <c r="X1828" t="s">
        <v>783</v>
      </c>
      <c r="Y1828" t="s">
        <v>784</v>
      </c>
      <c r="AF1828" t="s">
        <v>13</v>
      </c>
      <c r="AG1828" t="str">
        <f>HYPERLINK("https://doi.org/10.1515/9781474440127?locatt=mode:legacy")</f>
        <v>https://doi.org/10.1515/9781474440127?locatt=mode:legacy</v>
      </c>
      <c r="AH1828" t="str">
        <f>HYPERLINK("http://www.degruyter.com/isbn/9781474440127")</f>
        <v>http://www.degruyter.com/isbn/9781474440127</v>
      </c>
      <c r="AI1828" t="s">
        <v>14</v>
      </c>
      <c r="AL1828" t="s">
        <v>83</v>
      </c>
      <c r="AM1828">
        <v>1</v>
      </c>
      <c r="AN1828" s="2">
        <v>9781474440103</v>
      </c>
    </row>
    <row r="1829" spans="1:40" x14ac:dyDescent="0.3">
      <c r="A1829" t="s">
        <v>8884</v>
      </c>
      <c r="B1829" t="s">
        <v>1</v>
      </c>
      <c r="C1829" t="s">
        <v>8885</v>
      </c>
      <c r="D1829" t="s">
        <v>8886</v>
      </c>
      <c r="E1829" t="s">
        <v>8887</v>
      </c>
      <c r="F1829" t="s">
        <v>5</v>
      </c>
      <c r="G1829" t="s">
        <v>6</v>
      </c>
      <c r="L1829" t="s">
        <v>7</v>
      </c>
      <c r="M1829">
        <v>2015</v>
      </c>
      <c r="N1829" s="1">
        <v>42208</v>
      </c>
      <c r="O1829" t="s">
        <v>8888</v>
      </c>
      <c r="P1829">
        <v>1</v>
      </c>
      <c r="Q1829" t="s">
        <v>7539</v>
      </c>
      <c r="S1829">
        <v>253.95</v>
      </c>
      <c r="T1829">
        <v>290</v>
      </c>
      <c r="U1829">
        <v>220</v>
      </c>
      <c r="V1829" t="s">
        <v>20</v>
      </c>
      <c r="W1829" t="s">
        <v>21</v>
      </c>
      <c r="X1829" t="s">
        <v>575</v>
      </c>
      <c r="Y1829" t="s">
        <v>576</v>
      </c>
      <c r="AF1829" t="s">
        <v>13</v>
      </c>
      <c r="AG1829" t="str">
        <f>HYPERLINK("https://doi.org/10.1515/9780748694006")</f>
        <v>https://doi.org/10.1515/9780748694006</v>
      </c>
      <c r="AH1829" t="str">
        <f>HYPERLINK("http://www.degruyter.com/isbn/9780748694006")</f>
        <v>http://www.degruyter.com/isbn/9780748694006</v>
      </c>
      <c r="AI1829" t="s">
        <v>34</v>
      </c>
      <c r="AL1829" t="s">
        <v>15</v>
      </c>
      <c r="AM1829">
        <v>1</v>
      </c>
      <c r="AN1829" s="2">
        <v>9780748639274</v>
      </c>
    </row>
    <row r="1830" spans="1:40" x14ac:dyDescent="0.3">
      <c r="A1830" t="s">
        <v>8889</v>
      </c>
      <c r="B1830" t="s">
        <v>1</v>
      </c>
      <c r="C1830" t="s">
        <v>8890</v>
      </c>
      <c r="E1830" t="s">
        <v>8891</v>
      </c>
      <c r="F1830" t="s">
        <v>5</v>
      </c>
      <c r="G1830" t="s">
        <v>6</v>
      </c>
      <c r="L1830" t="s">
        <v>7</v>
      </c>
      <c r="M1830">
        <v>2019</v>
      </c>
      <c r="N1830" s="1">
        <v>44656</v>
      </c>
      <c r="O1830" t="s">
        <v>8892</v>
      </c>
      <c r="P1830">
        <v>1</v>
      </c>
      <c r="Q1830" t="s">
        <v>6539</v>
      </c>
      <c r="S1830">
        <v>227.95</v>
      </c>
      <c r="T1830">
        <v>260</v>
      </c>
      <c r="U1830">
        <v>200</v>
      </c>
      <c r="V1830" t="s">
        <v>42</v>
      </c>
      <c r="W1830" t="s">
        <v>116</v>
      </c>
      <c r="X1830" t="s">
        <v>116</v>
      </c>
      <c r="Y1830" t="s">
        <v>117</v>
      </c>
      <c r="AF1830" t="s">
        <v>13</v>
      </c>
      <c r="AG1830" t="str">
        <f>HYPERLINK("https://doi.org/10.1515/9781474455039")</f>
        <v>https://doi.org/10.1515/9781474455039</v>
      </c>
      <c r="AH1830" t="str">
        <f>HYPERLINK("http://www.degruyter.com/isbn/9781474455039")</f>
        <v>http://www.degruyter.com/isbn/9781474455039</v>
      </c>
      <c r="AI1830" t="s">
        <v>280</v>
      </c>
      <c r="AL1830" t="s">
        <v>47</v>
      </c>
      <c r="AM1830">
        <v>1</v>
      </c>
      <c r="AN1830" s="2">
        <v>9781474455015</v>
      </c>
    </row>
    <row r="1831" spans="1:40" x14ac:dyDescent="0.3">
      <c r="A1831" t="s">
        <v>8893</v>
      </c>
      <c r="B1831" t="s">
        <v>1</v>
      </c>
      <c r="C1831" t="s">
        <v>8894</v>
      </c>
      <c r="D1831" t="s">
        <v>8895</v>
      </c>
      <c r="E1831" t="s">
        <v>8896</v>
      </c>
      <c r="F1831" t="s">
        <v>5</v>
      </c>
      <c r="G1831" t="s">
        <v>6</v>
      </c>
      <c r="L1831" t="s">
        <v>7</v>
      </c>
      <c r="M1831">
        <v>2009</v>
      </c>
      <c r="N1831" s="1">
        <v>39965</v>
      </c>
      <c r="O1831" t="s">
        <v>8897</v>
      </c>
      <c r="P1831">
        <v>1</v>
      </c>
      <c r="S1831">
        <v>217.95</v>
      </c>
      <c r="T1831">
        <v>250</v>
      </c>
      <c r="U1831">
        <v>190</v>
      </c>
      <c r="V1831" t="s">
        <v>98</v>
      </c>
      <c r="W1831" t="s">
        <v>2283</v>
      </c>
      <c r="X1831" t="s">
        <v>2694</v>
      </c>
      <c r="Y1831" t="s">
        <v>5248</v>
      </c>
      <c r="AF1831" t="s">
        <v>13</v>
      </c>
      <c r="AG1831" t="str">
        <f>HYPERLINK("https://doi.org/10.1515/9780748631100?locatt=mode:legacy")</f>
        <v>https://doi.org/10.1515/9780748631100?locatt=mode:legacy</v>
      </c>
      <c r="AH1831" t="str">
        <f>HYPERLINK("http://www.degruyter.com/isbn/9780748631100")</f>
        <v>http://www.degruyter.com/isbn/9780748631100</v>
      </c>
      <c r="AI1831" t="s">
        <v>68</v>
      </c>
      <c r="AL1831" t="s">
        <v>102</v>
      </c>
      <c r="AM1831">
        <v>1</v>
      </c>
      <c r="AN1831" s="2">
        <v>9780748625659</v>
      </c>
    </row>
    <row r="1832" spans="1:40" x14ac:dyDescent="0.3">
      <c r="A1832" t="s">
        <v>8898</v>
      </c>
      <c r="B1832" t="s">
        <v>1</v>
      </c>
      <c r="C1832" t="s">
        <v>8899</v>
      </c>
      <c r="E1832" t="s">
        <v>8900</v>
      </c>
      <c r="F1832" t="s">
        <v>5</v>
      </c>
      <c r="G1832" t="s">
        <v>6</v>
      </c>
      <c r="L1832" t="s">
        <v>7</v>
      </c>
      <c r="M1832">
        <v>2007</v>
      </c>
      <c r="N1832" s="1">
        <v>39269</v>
      </c>
      <c r="O1832" t="s">
        <v>8901</v>
      </c>
      <c r="P1832">
        <v>1</v>
      </c>
      <c r="Q1832" t="s">
        <v>6797</v>
      </c>
      <c r="S1832">
        <v>487.95</v>
      </c>
      <c r="T1832">
        <v>560</v>
      </c>
      <c r="U1832">
        <v>430</v>
      </c>
      <c r="V1832" t="s">
        <v>79</v>
      </c>
      <c r="W1832" t="s">
        <v>209</v>
      </c>
      <c r="X1832" t="s">
        <v>209</v>
      </c>
      <c r="Y1832" t="s">
        <v>510</v>
      </c>
      <c r="AF1832" t="s">
        <v>13</v>
      </c>
      <c r="AG1832" t="str">
        <f>HYPERLINK("https://doi.org/10.1515/9780748630806")</f>
        <v>https://doi.org/10.1515/9780748630806</v>
      </c>
      <c r="AH1832" t="str">
        <f>HYPERLINK("http://www.degruyter.com/isbn/9780748630806")</f>
        <v>http://www.degruyter.com/isbn/9780748630806</v>
      </c>
      <c r="AI1832" t="s">
        <v>68</v>
      </c>
      <c r="AL1832" t="s">
        <v>83</v>
      </c>
      <c r="AM1832">
        <v>1</v>
      </c>
      <c r="AN1832" s="2">
        <v>9780748617098</v>
      </c>
    </row>
    <row r="1833" spans="1:40" x14ac:dyDescent="0.3">
      <c r="A1833" t="s">
        <v>8902</v>
      </c>
      <c r="B1833" t="s">
        <v>1</v>
      </c>
      <c r="C1833" t="s">
        <v>8903</v>
      </c>
      <c r="E1833" t="s">
        <v>8904</v>
      </c>
      <c r="F1833" t="s">
        <v>5</v>
      </c>
      <c r="G1833" t="s">
        <v>6</v>
      </c>
      <c r="L1833" t="s">
        <v>7</v>
      </c>
      <c r="M1833">
        <v>2010</v>
      </c>
      <c r="N1833" s="1">
        <v>40508</v>
      </c>
      <c r="O1833" t="s">
        <v>8905</v>
      </c>
      <c r="P1833">
        <v>1</v>
      </c>
      <c r="S1833">
        <v>253.95</v>
      </c>
      <c r="T1833">
        <v>290</v>
      </c>
      <c r="U1833">
        <v>220</v>
      </c>
      <c r="V1833" t="s">
        <v>79</v>
      </c>
      <c r="W1833" t="s">
        <v>209</v>
      </c>
      <c r="X1833" t="s">
        <v>209</v>
      </c>
      <c r="Y1833" t="s">
        <v>510</v>
      </c>
      <c r="AF1833" t="s">
        <v>13</v>
      </c>
      <c r="AG1833" t="str">
        <f>HYPERLINK("https://doi.org/10.1515/9780748644483?locatt=mode:legacy")</f>
        <v>https://doi.org/10.1515/9780748644483?locatt=mode:legacy</v>
      </c>
      <c r="AH1833" t="str">
        <f>HYPERLINK("http://www.degruyter.com/isbn/9780748644483")</f>
        <v>http://www.degruyter.com/isbn/9780748644483</v>
      </c>
      <c r="AI1833" t="s">
        <v>68</v>
      </c>
      <c r="AL1833" t="s">
        <v>83</v>
      </c>
      <c r="AM1833">
        <v>1</v>
      </c>
      <c r="AN1833" s="2">
        <v>9780748641130</v>
      </c>
    </row>
    <row r="1834" spans="1:40" x14ac:dyDescent="0.3">
      <c r="A1834" t="s">
        <v>8906</v>
      </c>
      <c r="B1834" t="s">
        <v>1</v>
      </c>
      <c r="C1834" t="s">
        <v>8907</v>
      </c>
      <c r="E1834" t="s">
        <v>8908</v>
      </c>
      <c r="F1834" t="s">
        <v>5</v>
      </c>
      <c r="G1834" t="s">
        <v>6</v>
      </c>
      <c r="L1834" t="s">
        <v>7</v>
      </c>
      <c r="M1834">
        <v>2008</v>
      </c>
      <c r="N1834" s="1">
        <v>39486</v>
      </c>
      <c r="O1834" t="s">
        <v>8909</v>
      </c>
      <c r="P1834">
        <v>1</v>
      </c>
      <c r="Q1834" t="s">
        <v>8910</v>
      </c>
      <c r="S1834">
        <v>253.95</v>
      </c>
      <c r="T1834">
        <v>290</v>
      </c>
      <c r="U1834">
        <v>220</v>
      </c>
      <c r="V1834" t="s">
        <v>58</v>
      </c>
      <c r="W1834" t="s">
        <v>59</v>
      </c>
      <c r="X1834" t="s">
        <v>3060</v>
      </c>
      <c r="Y1834" t="s">
        <v>8037</v>
      </c>
      <c r="AF1834" t="s">
        <v>13</v>
      </c>
      <c r="AG1834" t="str">
        <f>HYPERLINK("https://doi.org/10.1515/9780748631186")</f>
        <v>https://doi.org/10.1515/9780748631186</v>
      </c>
      <c r="AH1834" t="str">
        <f>HYPERLINK("http://www.degruyter.com/isbn/9780748631186")</f>
        <v>http://www.degruyter.com/isbn/9780748631186</v>
      </c>
      <c r="AI1834" t="s">
        <v>68</v>
      </c>
      <c r="AL1834" t="s">
        <v>62</v>
      </c>
      <c r="AM1834">
        <v>1</v>
      </c>
      <c r="AN1834" s="2">
        <v>9780748625758</v>
      </c>
    </row>
    <row r="1835" spans="1:40" x14ac:dyDescent="0.3">
      <c r="A1835" t="s">
        <v>8911</v>
      </c>
      <c r="B1835" t="s">
        <v>1</v>
      </c>
      <c r="C1835" t="s">
        <v>8912</v>
      </c>
      <c r="E1835" t="s">
        <v>8913</v>
      </c>
      <c r="F1835" t="s">
        <v>5</v>
      </c>
      <c r="G1835" t="s">
        <v>6</v>
      </c>
      <c r="L1835" t="s">
        <v>7</v>
      </c>
      <c r="M1835">
        <v>2014</v>
      </c>
      <c r="N1835" s="1">
        <v>41836</v>
      </c>
      <c r="O1835" t="s">
        <v>8914</v>
      </c>
      <c r="P1835">
        <v>1</v>
      </c>
      <c r="Q1835" t="s">
        <v>6876</v>
      </c>
      <c r="S1835">
        <v>243.95</v>
      </c>
      <c r="T1835">
        <v>280</v>
      </c>
      <c r="U1835">
        <v>210</v>
      </c>
      <c r="V1835" t="s">
        <v>42</v>
      </c>
      <c r="W1835" t="s">
        <v>116</v>
      </c>
      <c r="X1835" t="s">
        <v>116</v>
      </c>
      <c r="Y1835" t="s">
        <v>117</v>
      </c>
      <c r="AF1835" t="s">
        <v>13</v>
      </c>
      <c r="AG1835" t="str">
        <f>HYPERLINK("https://doi.org/10.1515/9780748643417")</f>
        <v>https://doi.org/10.1515/9780748643417</v>
      </c>
      <c r="AH1835" t="str">
        <f>HYPERLINK("http://www.degruyter.com/isbn/9780748643417")</f>
        <v>http://www.degruyter.com/isbn/9780748643417</v>
      </c>
      <c r="AI1835" t="s">
        <v>1247</v>
      </c>
      <c r="AL1835" t="s">
        <v>47</v>
      </c>
      <c r="AM1835">
        <v>1</v>
      </c>
      <c r="AN1835" s="2">
        <v>9780748643400</v>
      </c>
    </row>
    <row r="1836" spans="1:40" x14ac:dyDescent="0.3">
      <c r="A1836" t="s">
        <v>8915</v>
      </c>
      <c r="B1836" t="s">
        <v>1</v>
      </c>
      <c r="C1836" t="s">
        <v>8916</v>
      </c>
      <c r="E1836" t="s">
        <v>8917</v>
      </c>
      <c r="F1836" t="s">
        <v>5</v>
      </c>
      <c r="G1836" t="s">
        <v>6</v>
      </c>
      <c r="L1836" t="s">
        <v>7</v>
      </c>
      <c r="M1836">
        <v>2007</v>
      </c>
      <c r="N1836" s="1">
        <v>39148</v>
      </c>
      <c r="O1836" t="s">
        <v>8918</v>
      </c>
      <c r="P1836">
        <v>1</v>
      </c>
      <c r="Q1836" t="s">
        <v>8910</v>
      </c>
      <c r="S1836">
        <v>253.95</v>
      </c>
      <c r="T1836">
        <v>290</v>
      </c>
      <c r="U1836">
        <v>220</v>
      </c>
      <c r="V1836" t="s">
        <v>58</v>
      </c>
      <c r="W1836" t="s">
        <v>59</v>
      </c>
      <c r="X1836" t="s">
        <v>60</v>
      </c>
      <c r="Y1836" t="s">
        <v>145</v>
      </c>
      <c r="AF1836" t="s">
        <v>13</v>
      </c>
      <c r="AG1836" t="str">
        <f>HYPERLINK("https://doi.org/10.1515/9780748629749")</f>
        <v>https://doi.org/10.1515/9780748629749</v>
      </c>
      <c r="AH1836" t="str">
        <f>HYPERLINK("http://www.degruyter.com/isbn/9780748629749")</f>
        <v>http://www.degruyter.com/isbn/9780748629749</v>
      </c>
      <c r="AI1836" t="s">
        <v>68</v>
      </c>
      <c r="AL1836" t="s">
        <v>62</v>
      </c>
      <c r="AM1836">
        <v>1</v>
      </c>
      <c r="AN1836" s="2">
        <v>9780748628049</v>
      </c>
    </row>
    <row r="1837" spans="1:40" x14ac:dyDescent="0.3">
      <c r="A1837" t="s">
        <v>8919</v>
      </c>
      <c r="B1837" t="s">
        <v>1</v>
      </c>
      <c r="C1837" t="s">
        <v>8920</v>
      </c>
      <c r="E1837" t="s">
        <v>8921</v>
      </c>
      <c r="F1837" t="s">
        <v>5</v>
      </c>
      <c r="G1837" t="s">
        <v>6</v>
      </c>
      <c r="L1837" t="s">
        <v>7</v>
      </c>
      <c r="M1837">
        <v>2018</v>
      </c>
      <c r="N1837" s="1">
        <v>44656</v>
      </c>
      <c r="O1837" t="s">
        <v>8922</v>
      </c>
      <c r="P1837">
        <v>1</v>
      </c>
      <c r="Q1837" t="s">
        <v>5911</v>
      </c>
      <c r="S1837">
        <v>227.95</v>
      </c>
      <c r="T1837">
        <v>260</v>
      </c>
      <c r="U1837">
        <v>200</v>
      </c>
      <c r="V1837" t="s">
        <v>329</v>
      </c>
      <c r="W1837" t="s">
        <v>330</v>
      </c>
      <c r="X1837" t="s">
        <v>331</v>
      </c>
      <c r="Y1837" t="s">
        <v>4770</v>
      </c>
      <c r="AF1837" t="s">
        <v>13</v>
      </c>
      <c r="AG1837" t="str">
        <f>HYPERLINK("https://doi.org/10.1515/9781474440868?locatt=mode:legacy")</f>
        <v>https://doi.org/10.1515/9781474440868?locatt=mode:legacy</v>
      </c>
      <c r="AH1837" t="str">
        <f>HYPERLINK("http://www.degruyter.com/isbn/9781474440868")</f>
        <v>http://www.degruyter.com/isbn/9781474440868</v>
      </c>
      <c r="AI1837" t="s">
        <v>46</v>
      </c>
      <c r="AL1837" t="s">
        <v>333</v>
      </c>
      <c r="AM1837">
        <v>1</v>
      </c>
      <c r="AN1837" s="2">
        <v>9781474440844</v>
      </c>
    </row>
    <row r="1838" spans="1:40" x14ac:dyDescent="0.3">
      <c r="A1838" t="s">
        <v>8923</v>
      </c>
      <c r="B1838" t="s">
        <v>1</v>
      </c>
      <c r="C1838" t="s">
        <v>7419</v>
      </c>
      <c r="D1838" t="s">
        <v>8924</v>
      </c>
      <c r="E1838" t="s">
        <v>7421</v>
      </c>
      <c r="F1838" t="s">
        <v>5</v>
      </c>
      <c r="G1838" t="s">
        <v>6</v>
      </c>
      <c r="L1838" t="s">
        <v>7</v>
      </c>
      <c r="M1838">
        <v>2015</v>
      </c>
      <c r="N1838" s="1">
        <v>42184</v>
      </c>
      <c r="O1838" t="s">
        <v>8925</v>
      </c>
      <c r="P1838">
        <v>1</v>
      </c>
      <c r="Q1838" t="s">
        <v>7423</v>
      </c>
      <c r="S1838">
        <v>217.95</v>
      </c>
      <c r="T1838">
        <v>250</v>
      </c>
      <c r="U1838">
        <v>190</v>
      </c>
      <c r="V1838" t="s">
        <v>98</v>
      </c>
      <c r="W1838" t="s">
        <v>99</v>
      </c>
      <c r="X1838" t="s">
        <v>100</v>
      </c>
      <c r="Y1838" t="s">
        <v>937</v>
      </c>
      <c r="AF1838" t="s">
        <v>13</v>
      </c>
      <c r="AG1838" t="str">
        <f>HYPERLINK("https://doi.org/10.1515/9780748695546")</f>
        <v>https://doi.org/10.1515/9780748695546</v>
      </c>
      <c r="AH1838" t="str">
        <f>HYPERLINK("http://www.degruyter.com/isbn/9780748695546")</f>
        <v>http://www.degruyter.com/isbn/9780748695546</v>
      </c>
      <c r="AI1838" t="s">
        <v>8926</v>
      </c>
      <c r="AL1838" t="s">
        <v>102</v>
      </c>
      <c r="AM1838">
        <v>1</v>
      </c>
      <c r="AN1838" s="2">
        <v>9780748695539</v>
      </c>
    </row>
    <row r="1839" spans="1:40" x14ac:dyDescent="0.3">
      <c r="A1839" t="s">
        <v>8927</v>
      </c>
      <c r="B1839" t="s">
        <v>1</v>
      </c>
      <c r="C1839" t="s">
        <v>8928</v>
      </c>
      <c r="D1839" t="s">
        <v>1785</v>
      </c>
      <c r="E1839" t="s">
        <v>8929</v>
      </c>
      <c r="F1839" t="s">
        <v>5</v>
      </c>
      <c r="G1839" t="s">
        <v>6</v>
      </c>
      <c r="L1839" t="s">
        <v>7</v>
      </c>
      <c r="M1839">
        <v>2012</v>
      </c>
      <c r="N1839" s="1">
        <v>41080</v>
      </c>
      <c r="O1839" t="s">
        <v>1787</v>
      </c>
      <c r="P1839">
        <v>1</v>
      </c>
      <c r="S1839">
        <v>217.95</v>
      </c>
      <c r="T1839">
        <v>250</v>
      </c>
      <c r="U1839">
        <v>190</v>
      </c>
      <c r="V1839" t="s">
        <v>42</v>
      </c>
      <c r="W1839" t="s">
        <v>116</v>
      </c>
      <c r="X1839" t="s">
        <v>116</v>
      </c>
      <c r="Y1839" t="s">
        <v>117</v>
      </c>
      <c r="AF1839" t="s">
        <v>13</v>
      </c>
      <c r="AG1839" t="str">
        <f>HYPERLINK("https://doi.org/10.1515/9780748655052")</f>
        <v>https://doi.org/10.1515/9780748655052</v>
      </c>
      <c r="AH1839" t="str">
        <f>HYPERLINK("http://www.degruyter.com/isbn/9780748655052")</f>
        <v>http://www.degruyter.com/isbn/9780748655052</v>
      </c>
      <c r="AI1839" t="s">
        <v>68</v>
      </c>
      <c r="AL1839" t="s">
        <v>47</v>
      </c>
      <c r="AM1839">
        <v>1</v>
      </c>
      <c r="AN1839" s="2">
        <v>9780748642731</v>
      </c>
    </row>
    <row r="1840" spans="1:40" x14ac:dyDescent="0.3">
      <c r="A1840" t="s">
        <v>8930</v>
      </c>
      <c r="B1840" t="s">
        <v>1</v>
      </c>
      <c r="C1840" t="s">
        <v>8931</v>
      </c>
      <c r="E1840" t="s">
        <v>8932</v>
      </c>
      <c r="F1840" t="s">
        <v>5</v>
      </c>
      <c r="G1840" t="s">
        <v>6</v>
      </c>
      <c r="L1840" t="s">
        <v>7</v>
      </c>
      <c r="M1840">
        <v>2016</v>
      </c>
      <c r="N1840" s="1">
        <v>42596</v>
      </c>
      <c r="O1840" t="s">
        <v>8933</v>
      </c>
      <c r="P1840">
        <v>1</v>
      </c>
      <c r="Q1840" t="s">
        <v>6729</v>
      </c>
      <c r="S1840">
        <v>217.95</v>
      </c>
      <c r="T1840">
        <v>250</v>
      </c>
      <c r="U1840">
        <v>190</v>
      </c>
      <c r="V1840" t="s">
        <v>79</v>
      </c>
      <c r="W1840" t="s">
        <v>123</v>
      </c>
      <c r="X1840" t="s">
        <v>123</v>
      </c>
      <c r="Y1840" t="s">
        <v>124</v>
      </c>
      <c r="AF1840" t="s">
        <v>13</v>
      </c>
      <c r="AG1840" t="str">
        <f>HYPERLINK("https://doi.org/10.1515/9781474416917?locatt=mode:legacy")</f>
        <v>https://doi.org/10.1515/9781474416917?locatt=mode:legacy</v>
      </c>
      <c r="AH1840" t="str">
        <f>HYPERLINK("http://www.degruyter.com/isbn/9781474416917")</f>
        <v>http://www.degruyter.com/isbn/9781474416917</v>
      </c>
      <c r="AI1840" t="s">
        <v>180</v>
      </c>
      <c r="AL1840" t="s">
        <v>83</v>
      </c>
      <c r="AM1840">
        <v>1</v>
      </c>
      <c r="AN1840" s="2">
        <v>9781474416900</v>
      </c>
    </row>
    <row r="1841" spans="1:40" x14ac:dyDescent="0.3">
      <c r="A1841" t="s">
        <v>8934</v>
      </c>
      <c r="B1841" t="s">
        <v>1</v>
      </c>
      <c r="C1841" t="s">
        <v>8935</v>
      </c>
      <c r="D1841" t="s">
        <v>8936</v>
      </c>
      <c r="E1841" t="s">
        <v>8937</v>
      </c>
      <c r="F1841" t="s">
        <v>5</v>
      </c>
      <c r="G1841" t="s">
        <v>6</v>
      </c>
      <c r="L1841" t="s">
        <v>7</v>
      </c>
      <c r="M1841">
        <v>2017</v>
      </c>
      <c r="N1841" s="1">
        <v>42914</v>
      </c>
      <c r="O1841" t="s">
        <v>661</v>
      </c>
      <c r="P1841">
        <v>1</v>
      </c>
      <c r="S1841">
        <v>209.95</v>
      </c>
      <c r="T1841">
        <v>240</v>
      </c>
      <c r="U1841">
        <v>180</v>
      </c>
      <c r="V1841" t="s">
        <v>42</v>
      </c>
      <c r="W1841" t="s">
        <v>116</v>
      </c>
      <c r="X1841" t="s">
        <v>116</v>
      </c>
      <c r="Y1841" t="s">
        <v>117</v>
      </c>
      <c r="AF1841" t="s">
        <v>13</v>
      </c>
      <c r="AG1841" t="str">
        <f>HYPERLINK("https://doi.org/10.1515/9780748699674")</f>
        <v>https://doi.org/10.1515/9780748699674</v>
      </c>
      <c r="AH1841" t="str">
        <f>HYPERLINK("http://www.degruyter.com/isbn/9780748699674")</f>
        <v>http://www.degruyter.com/isbn/9780748699674</v>
      </c>
      <c r="AI1841" t="s">
        <v>222</v>
      </c>
      <c r="AL1841" t="s">
        <v>47</v>
      </c>
      <c r="AM1841">
        <v>1</v>
      </c>
      <c r="AN1841" s="2">
        <v>9780748699667</v>
      </c>
    </row>
    <row r="1842" spans="1:40" x14ac:dyDescent="0.3">
      <c r="A1842" t="s">
        <v>8938</v>
      </c>
      <c r="B1842" t="s">
        <v>1</v>
      </c>
      <c r="C1842" t="s">
        <v>8939</v>
      </c>
      <c r="E1842" t="s">
        <v>8940</v>
      </c>
      <c r="F1842" t="s">
        <v>5</v>
      </c>
      <c r="G1842" t="s">
        <v>6</v>
      </c>
      <c r="L1842" t="s">
        <v>7</v>
      </c>
      <c r="M1842">
        <v>2011</v>
      </c>
      <c r="N1842" s="1">
        <v>40700</v>
      </c>
      <c r="O1842" t="s">
        <v>8941</v>
      </c>
      <c r="P1842">
        <v>1</v>
      </c>
      <c r="Q1842" t="s">
        <v>8942</v>
      </c>
      <c r="S1842">
        <v>253.95</v>
      </c>
      <c r="T1842">
        <v>290</v>
      </c>
      <c r="U1842">
        <v>220</v>
      </c>
      <c r="V1842" t="s">
        <v>79</v>
      </c>
      <c r="W1842" t="s">
        <v>209</v>
      </c>
      <c r="X1842" t="s">
        <v>209</v>
      </c>
      <c r="Y1842" t="s">
        <v>699</v>
      </c>
      <c r="AF1842" t="s">
        <v>13</v>
      </c>
      <c r="AG1842" t="str">
        <f>HYPERLINK("https://doi.org/10.1515/9780748646982")</f>
        <v>https://doi.org/10.1515/9780748646982</v>
      </c>
      <c r="AH1842" t="str">
        <f>HYPERLINK("http://www.degruyter.com/isbn/9780748646982")</f>
        <v>http://www.degruyter.com/isbn/9780748646982</v>
      </c>
      <c r="AI1842" t="s">
        <v>68</v>
      </c>
      <c r="AL1842" t="s">
        <v>83</v>
      </c>
      <c r="AM1842">
        <v>1</v>
      </c>
      <c r="AN1842" s="2">
        <v>9780748640591</v>
      </c>
    </row>
    <row r="1843" spans="1:40" x14ac:dyDescent="0.3">
      <c r="A1843" t="s">
        <v>8943</v>
      </c>
      <c r="B1843" t="s">
        <v>1</v>
      </c>
      <c r="C1843" t="s">
        <v>8944</v>
      </c>
      <c r="D1843" t="s">
        <v>8945</v>
      </c>
      <c r="E1843" t="s">
        <v>8946</v>
      </c>
      <c r="F1843" t="s">
        <v>5</v>
      </c>
      <c r="G1843" t="s">
        <v>6</v>
      </c>
      <c r="L1843" t="s">
        <v>7</v>
      </c>
      <c r="M1843">
        <v>2007</v>
      </c>
      <c r="N1843" s="1">
        <v>39252</v>
      </c>
      <c r="O1843" t="s">
        <v>8947</v>
      </c>
      <c r="P1843">
        <v>1</v>
      </c>
      <c r="Q1843" t="s">
        <v>6929</v>
      </c>
      <c r="S1843">
        <v>217.95</v>
      </c>
      <c r="T1843">
        <v>250</v>
      </c>
      <c r="U1843">
        <v>190</v>
      </c>
      <c r="V1843" t="s">
        <v>20</v>
      </c>
      <c r="W1843" t="s">
        <v>21</v>
      </c>
      <c r="X1843" t="s">
        <v>3919</v>
      </c>
      <c r="Y1843" t="s">
        <v>4359</v>
      </c>
      <c r="AF1843" t="s">
        <v>13</v>
      </c>
      <c r="AG1843" t="str">
        <f>HYPERLINK("https://doi.org/10.1515/9780748631001?locatt=mode:legacy")</f>
        <v>https://doi.org/10.1515/9780748631001?locatt=mode:legacy</v>
      </c>
      <c r="AH1843" t="str">
        <f>HYPERLINK("http://www.degruyter.com/isbn/9780748631001")</f>
        <v>http://www.degruyter.com/isbn/9780748631001</v>
      </c>
      <c r="AI1843" t="s">
        <v>68</v>
      </c>
      <c r="AL1843" t="s">
        <v>15</v>
      </c>
      <c r="AM1843">
        <v>1</v>
      </c>
      <c r="AN1843" s="2">
        <v>9780748625536</v>
      </c>
    </row>
    <row r="1844" spans="1:40" x14ac:dyDescent="0.3">
      <c r="A1844" t="s">
        <v>8948</v>
      </c>
      <c r="B1844" t="s">
        <v>1</v>
      </c>
      <c r="C1844" t="s">
        <v>8949</v>
      </c>
      <c r="D1844" t="s">
        <v>8950</v>
      </c>
      <c r="E1844" t="s">
        <v>8951</v>
      </c>
      <c r="F1844" t="s">
        <v>5</v>
      </c>
      <c r="G1844" t="s">
        <v>6</v>
      </c>
      <c r="L1844" t="s">
        <v>7</v>
      </c>
      <c r="M1844">
        <v>2017</v>
      </c>
      <c r="N1844" s="1">
        <v>42930</v>
      </c>
      <c r="O1844" t="s">
        <v>8952</v>
      </c>
      <c r="P1844">
        <v>1</v>
      </c>
      <c r="Q1844" t="s">
        <v>7571</v>
      </c>
      <c r="S1844">
        <v>191.95</v>
      </c>
      <c r="T1844">
        <v>220</v>
      </c>
      <c r="U1844">
        <v>170</v>
      </c>
      <c r="V1844" t="s">
        <v>20</v>
      </c>
      <c r="W1844" t="s">
        <v>21</v>
      </c>
      <c r="X1844" t="s">
        <v>22</v>
      </c>
      <c r="Y1844" t="s">
        <v>489</v>
      </c>
      <c r="AF1844" t="s">
        <v>13</v>
      </c>
      <c r="AG1844" t="str">
        <f>HYPERLINK("https://doi.org/10.1515/9780748679003?locatt=mode:legacy")</f>
        <v>https://doi.org/10.1515/9780748679003?locatt=mode:legacy</v>
      </c>
      <c r="AH1844" t="str">
        <f>HYPERLINK("http://www.degruyter.com/isbn/9780748679003")</f>
        <v>http://www.degruyter.com/isbn/9780748679003</v>
      </c>
      <c r="AI1844" t="s">
        <v>222</v>
      </c>
      <c r="AL1844" t="s">
        <v>15</v>
      </c>
      <c r="AM1844">
        <v>1</v>
      </c>
      <c r="AN1844" s="2">
        <v>9780748678983</v>
      </c>
    </row>
    <row r="1845" spans="1:40" x14ac:dyDescent="0.3">
      <c r="A1845" t="s">
        <v>8953</v>
      </c>
      <c r="B1845" t="s">
        <v>1</v>
      </c>
      <c r="C1845" t="s">
        <v>8954</v>
      </c>
      <c r="E1845" t="s">
        <v>8955</v>
      </c>
      <c r="F1845" t="s">
        <v>5</v>
      </c>
      <c r="G1845" t="s">
        <v>6</v>
      </c>
      <c r="L1845" t="s">
        <v>7</v>
      </c>
      <c r="M1845">
        <v>2009</v>
      </c>
      <c r="N1845" s="1">
        <v>39893</v>
      </c>
      <c r="O1845" t="s">
        <v>8956</v>
      </c>
      <c r="P1845">
        <v>1</v>
      </c>
      <c r="Q1845" t="s">
        <v>6644</v>
      </c>
      <c r="S1845">
        <v>227.95</v>
      </c>
      <c r="T1845">
        <v>260</v>
      </c>
      <c r="U1845">
        <v>200</v>
      </c>
      <c r="V1845" t="s">
        <v>20</v>
      </c>
      <c r="W1845" t="s">
        <v>21</v>
      </c>
      <c r="X1845" t="s">
        <v>3445</v>
      </c>
      <c r="Y1845" t="s">
        <v>3446</v>
      </c>
      <c r="AF1845" t="s">
        <v>13</v>
      </c>
      <c r="AG1845" t="str">
        <f>HYPERLINK("https://doi.org/10.1515/9780748630851")</f>
        <v>https://doi.org/10.1515/9780748630851</v>
      </c>
      <c r="AH1845" t="str">
        <f>HYPERLINK("http://www.degruyter.com/isbn/9780748630851")</f>
        <v>http://www.degruyter.com/isbn/9780748630851</v>
      </c>
      <c r="AI1845" t="s">
        <v>68</v>
      </c>
      <c r="AL1845" t="s">
        <v>15</v>
      </c>
      <c r="AM1845">
        <v>1</v>
      </c>
      <c r="AN1845" s="2">
        <v>9780748625215</v>
      </c>
    </row>
    <row r="1846" spans="1:40" x14ac:dyDescent="0.3">
      <c r="A1846" t="s">
        <v>8957</v>
      </c>
      <c r="B1846" t="s">
        <v>1</v>
      </c>
      <c r="C1846" t="s">
        <v>8958</v>
      </c>
      <c r="D1846" t="s">
        <v>8959</v>
      </c>
      <c r="E1846" t="s">
        <v>8960</v>
      </c>
      <c r="F1846" t="s">
        <v>5</v>
      </c>
      <c r="G1846" t="s">
        <v>6</v>
      </c>
      <c r="L1846" t="s">
        <v>7</v>
      </c>
      <c r="M1846">
        <v>2016</v>
      </c>
      <c r="N1846" s="1">
        <v>42472</v>
      </c>
      <c r="O1846" t="s">
        <v>8961</v>
      </c>
      <c r="P1846">
        <v>1</v>
      </c>
      <c r="Q1846" t="s">
        <v>8962</v>
      </c>
      <c r="S1846">
        <v>253.95</v>
      </c>
      <c r="T1846">
        <v>290</v>
      </c>
      <c r="U1846">
        <v>220</v>
      </c>
      <c r="V1846" t="s">
        <v>42</v>
      </c>
      <c r="W1846" t="s">
        <v>161</v>
      </c>
      <c r="X1846" t="s">
        <v>162</v>
      </c>
      <c r="Y1846" t="s">
        <v>8273</v>
      </c>
      <c r="AF1846" t="s">
        <v>13</v>
      </c>
      <c r="AG1846" t="str">
        <f>HYPERLINK("https://doi.org/10.1515/9780748696994")</f>
        <v>https://doi.org/10.1515/9780748696994</v>
      </c>
      <c r="AH1846" t="str">
        <f>HYPERLINK("http://www.degruyter.com/isbn/9780748696994")</f>
        <v>http://www.degruyter.com/isbn/9780748696994</v>
      </c>
      <c r="AI1846" t="s">
        <v>180</v>
      </c>
      <c r="AL1846" t="s">
        <v>47</v>
      </c>
      <c r="AM1846">
        <v>1</v>
      </c>
      <c r="AN1846" s="2">
        <v>9780748696987</v>
      </c>
    </row>
    <row r="1847" spans="1:40" x14ac:dyDescent="0.3">
      <c r="A1847" t="s">
        <v>8963</v>
      </c>
      <c r="B1847" t="s">
        <v>1</v>
      </c>
      <c r="C1847" t="s">
        <v>8964</v>
      </c>
      <c r="D1847" t="s">
        <v>8965</v>
      </c>
      <c r="E1847" t="s">
        <v>8966</v>
      </c>
      <c r="F1847" t="s">
        <v>5</v>
      </c>
      <c r="G1847" t="s">
        <v>6</v>
      </c>
      <c r="L1847" t="s">
        <v>7</v>
      </c>
      <c r="M1847">
        <v>2006</v>
      </c>
      <c r="N1847" s="1">
        <v>38782</v>
      </c>
      <c r="O1847" t="s">
        <v>4688</v>
      </c>
      <c r="P1847">
        <v>1</v>
      </c>
      <c r="S1847">
        <v>243.95</v>
      </c>
      <c r="T1847">
        <v>280</v>
      </c>
      <c r="U1847">
        <v>210</v>
      </c>
      <c r="V1847" t="s">
        <v>20</v>
      </c>
      <c r="W1847" t="s">
        <v>21</v>
      </c>
      <c r="X1847" t="s">
        <v>22</v>
      </c>
      <c r="Y1847" t="s">
        <v>23</v>
      </c>
      <c r="AF1847" t="s">
        <v>13</v>
      </c>
      <c r="AG1847" t="str">
        <f>HYPERLINK("https://doi.org/10.1515/9780748626557")</f>
        <v>https://doi.org/10.1515/9780748626557</v>
      </c>
      <c r="AH1847" t="str">
        <f>HYPERLINK("http://www.degruyter.com/isbn/9780748626557")</f>
        <v>http://www.degruyter.com/isbn/9780748626557</v>
      </c>
      <c r="AI1847" t="s">
        <v>68</v>
      </c>
      <c r="AL1847" t="s">
        <v>15</v>
      </c>
      <c r="AM1847">
        <v>1</v>
      </c>
      <c r="AN1847" s="2">
        <v>9780748624096</v>
      </c>
    </row>
    <row r="1848" spans="1:40" x14ac:dyDescent="0.3">
      <c r="A1848" t="s">
        <v>8967</v>
      </c>
      <c r="B1848" t="s">
        <v>1</v>
      </c>
      <c r="C1848" t="s">
        <v>8968</v>
      </c>
      <c r="E1848" t="s">
        <v>8969</v>
      </c>
      <c r="F1848" t="s">
        <v>5</v>
      </c>
      <c r="G1848" t="s">
        <v>6</v>
      </c>
      <c r="L1848" t="s">
        <v>7</v>
      </c>
      <c r="M1848">
        <v>2011</v>
      </c>
      <c r="N1848" s="1">
        <v>40570</v>
      </c>
      <c r="O1848" t="s">
        <v>8970</v>
      </c>
      <c r="P1848">
        <v>1</v>
      </c>
      <c r="Q1848" t="s">
        <v>6894</v>
      </c>
      <c r="S1848">
        <v>243.95</v>
      </c>
      <c r="T1848">
        <v>280</v>
      </c>
      <c r="U1848">
        <v>210</v>
      </c>
      <c r="V1848" t="s">
        <v>30</v>
      </c>
      <c r="W1848" t="s">
        <v>1629</v>
      </c>
      <c r="X1848" t="s">
        <v>1630</v>
      </c>
      <c r="Y1848" t="s">
        <v>1631</v>
      </c>
      <c r="AF1848" t="s">
        <v>13</v>
      </c>
      <c r="AG1848" t="str">
        <f>HYPERLINK("https://doi.org/10.1515/9780748644889")</f>
        <v>https://doi.org/10.1515/9780748644889</v>
      </c>
      <c r="AH1848" t="str">
        <f>HYPERLINK("http://www.degruyter.com/isbn/9780748644889")</f>
        <v>http://www.degruyter.com/isbn/9780748644889</v>
      </c>
      <c r="AI1848" t="s">
        <v>68</v>
      </c>
      <c r="AL1848" t="s">
        <v>272</v>
      </c>
      <c r="AM1848">
        <v>1</v>
      </c>
      <c r="AN1848" s="2">
        <v>9780748639519</v>
      </c>
    </row>
    <row r="1849" spans="1:40" x14ac:dyDescent="0.3">
      <c r="A1849" t="s">
        <v>8971</v>
      </c>
      <c r="B1849" t="s">
        <v>1</v>
      </c>
      <c r="C1849" t="s">
        <v>8972</v>
      </c>
      <c r="D1849" t="s">
        <v>8973</v>
      </c>
      <c r="E1849" t="s">
        <v>8974</v>
      </c>
      <c r="F1849" t="s">
        <v>5</v>
      </c>
      <c r="G1849" t="s">
        <v>6</v>
      </c>
      <c r="L1849" t="s">
        <v>7</v>
      </c>
      <c r="M1849">
        <v>2019</v>
      </c>
      <c r="N1849" s="1">
        <v>44644</v>
      </c>
      <c r="O1849" t="s">
        <v>8975</v>
      </c>
      <c r="P1849">
        <v>1</v>
      </c>
      <c r="S1849">
        <v>253.95</v>
      </c>
      <c r="T1849">
        <v>290</v>
      </c>
      <c r="U1849">
        <v>220</v>
      </c>
      <c r="V1849" t="s">
        <v>305</v>
      </c>
      <c r="W1849" t="s">
        <v>2566</v>
      </c>
      <c r="X1849" t="s">
        <v>2567</v>
      </c>
      <c r="Y1849" t="s">
        <v>2568</v>
      </c>
      <c r="AF1849" t="s">
        <v>13</v>
      </c>
      <c r="AG1849" t="str">
        <f>HYPERLINK("https://doi.org/10.1515/9781474445849")</f>
        <v>https://doi.org/10.1515/9781474445849</v>
      </c>
      <c r="AH1849" t="str">
        <f>HYPERLINK("http://www.degruyter.com/isbn/9781474445849")</f>
        <v>http://www.degruyter.com/isbn/9781474445849</v>
      </c>
      <c r="AI1849" t="s">
        <v>280</v>
      </c>
      <c r="AL1849" t="s">
        <v>308</v>
      </c>
      <c r="AM1849">
        <v>1</v>
      </c>
      <c r="AN1849" s="2">
        <v>9781474445825</v>
      </c>
    </row>
    <row r="1850" spans="1:40" x14ac:dyDescent="0.3">
      <c r="A1850" t="s">
        <v>8976</v>
      </c>
      <c r="B1850" t="s">
        <v>1</v>
      </c>
      <c r="C1850" t="s">
        <v>8977</v>
      </c>
      <c r="E1850" t="s">
        <v>8978</v>
      </c>
      <c r="F1850" t="s">
        <v>5</v>
      </c>
      <c r="G1850" t="s">
        <v>6</v>
      </c>
      <c r="L1850" t="s">
        <v>7</v>
      </c>
      <c r="M1850">
        <v>2010</v>
      </c>
      <c r="N1850" s="1">
        <v>40237</v>
      </c>
      <c r="O1850" t="s">
        <v>7121</v>
      </c>
      <c r="P1850">
        <v>1</v>
      </c>
      <c r="Q1850" t="s">
        <v>6906</v>
      </c>
      <c r="S1850">
        <v>279.95</v>
      </c>
      <c r="T1850">
        <v>320</v>
      </c>
      <c r="U1850">
        <v>240</v>
      </c>
      <c r="V1850" t="s">
        <v>20</v>
      </c>
      <c r="W1850" t="s">
        <v>556</v>
      </c>
      <c r="X1850" t="s">
        <v>1731</v>
      </c>
      <c r="Y1850" t="s">
        <v>1946</v>
      </c>
      <c r="AF1850" t="s">
        <v>13</v>
      </c>
      <c r="AG1850" t="str">
        <f>HYPERLINK("https://doi.org/10.1515/9780748630011?locatt=mode:legacy")</f>
        <v>https://doi.org/10.1515/9780748630011?locatt=mode:legacy</v>
      </c>
      <c r="AH1850" t="str">
        <f>HYPERLINK("http://www.degruyter.com/isbn/9780748630011")</f>
        <v>http://www.degruyter.com/isbn/9780748630011</v>
      </c>
      <c r="AI1850" t="s">
        <v>68</v>
      </c>
      <c r="AL1850" t="s">
        <v>15</v>
      </c>
      <c r="AM1850">
        <v>1</v>
      </c>
      <c r="AN1850" s="2">
        <v>9780748623273</v>
      </c>
    </row>
    <row r="1851" spans="1:40" x14ac:dyDescent="0.3">
      <c r="A1851" t="s">
        <v>8979</v>
      </c>
      <c r="B1851" t="s">
        <v>1</v>
      </c>
      <c r="C1851" t="s">
        <v>8980</v>
      </c>
      <c r="E1851" t="s">
        <v>8981</v>
      </c>
      <c r="F1851" t="s">
        <v>5</v>
      </c>
      <c r="G1851" t="s">
        <v>6</v>
      </c>
      <c r="L1851" t="s">
        <v>7</v>
      </c>
      <c r="M1851">
        <v>1984</v>
      </c>
      <c r="N1851" s="1">
        <v>44607</v>
      </c>
      <c r="O1851" t="s">
        <v>6997</v>
      </c>
      <c r="P1851">
        <v>1</v>
      </c>
      <c r="Q1851" t="s">
        <v>6998</v>
      </c>
      <c r="S1851">
        <v>876.95</v>
      </c>
      <c r="T1851">
        <v>990</v>
      </c>
      <c r="U1851">
        <v>760</v>
      </c>
      <c r="V1851" t="s">
        <v>1325</v>
      </c>
      <c r="W1851" t="s">
        <v>1326</v>
      </c>
      <c r="X1851" t="s">
        <v>1326</v>
      </c>
      <c r="Y1851" t="s">
        <v>6999</v>
      </c>
      <c r="AF1851" t="s">
        <v>13</v>
      </c>
      <c r="AG1851" t="str">
        <f>HYPERLINK("https://doi.org/10.1515/9781474466059")</f>
        <v>https://doi.org/10.1515/9781474466059</v>
      </c>
      <c r="AH1851" t="str">
        <f>HYPERLINK("http://www.degruyter.com/isbn/9781474466059")</f>
        <v>http://www.degruyter.com/isbn/9781474466059</v>
      </c>
      <c r="AI1851" t="s">
        <v>24</v>
      </c>
      <c r="AL1851" t="s">
        <v>1328</v>
      </c>
      <c r="AM1851">
        <v>1</v>
      </c>
      <c r="AN1851" s="2">
        <v>9780852241592</v>
      </c>
    </row>
    <row r="1852" spans="1:40" x14ac:dyDescent="0.3">
      <c r="A1852" t="s">
        <v>8982</v>
      </c>
      <c r="B1852" t="s">
        <v>1</v>
      </c>
      <c r="C1852" t="s">
        <v>2359</v>
      </c>
      <c r="D1852" t="s">
        <v>8983</v>
      </c>
      <c r="E1852" t="s">
        <v>2361</v>
      </c>
      <c r="F1852" t="s">
        <v>5</v>
      </c>
      <c r="G1852" t="s">
        <v>6</v>
      </c>
      <c r="L1852" t="s">
        <v>7</v>
      </c>
      <c r="M1852">
        <v>2015</v>
      </c>
      <c r="N1852" s="1">
        <v>42174</v>
      </c>
      <c r="O1852" t="s">
        <v>8984</v>
      </c>
      <c r="P1852">
        <v>1</v>
      </c>
      <c r="Q1852" t="s">
        <v>7283</v>
      </c>
      <c r="S1852">
        <v>217.95</v>
      </c>
      <c r="T1852">
        <v>250</v>
      </c>
      <c r="U1852">
        <v>190</v>
      </c>
      <c r="V1852" t="s">
        <v>9</v>
      </c>
      <c r="W1852" t="s">
        <v>10</v>
      </c>
      <c r="X1852" t="s">
        <v>11</v>
      </c>
      <c r="Y1852" t="s">
        <v>52</v>
      </c>
      <c r="AF1852" t="s">
        <v>13</v>
      </c>
      <c r="AG1852" t="str">
        <f>HYPERLINK("https://doi.org/10.1515/9780748693610")</f>
        <v>https://doi.org/10.1515/9780748693610</v>
      </c>
      <c r="AH1852" t="str">
        <f>HYPERLINK("http://www.degruyter.com/isbn/9780748693610")</f>
        <v>http://www.degruyter.com/isbn/9780748693610</v>
      </c>
      <c r="AI1852" t="s">
        <v>1247</v>
      </c>
      <c r="AL1852" t="s">
        <v>15</v>
      </c>
      <c r="AM1852">
        <v>1</v>
      </c>
      <c r="AN1852" s="2">
        <v>9780748693603</v>
      </c>
    </row>
    <row r="1853" spans="1:40" x14ac:dyDescent="0.3">
      <c r="A1853" t="s">
        <v>8985</v>
      </c>
      <c r="B1853" t="s">
        <v>1</v>
      </c>
      <c r="C1853" t="s">
        <v>8986</v>
      </c>
      <c r="D1853" t="s">
        <v>8987</v>
      </c>
      <c r="E1853" t="s">
        <v>8988</v>
      </c>
      <c r="F1853" t="s">
        <v>5</v>
      </c>
      <c r="G1853" t="s">
        <v>6</v>
      </c>
      <c r="L1853" t="s">
        <v>7</v>
      </c>
      <c r="M1853">
        <v>2008</v>
      </c>
      <c r="N1853" s="1">
        <v>39518</v>
      </c>
      <c r="O1853" t="s">
        <v>8989</v>
      </c>
      <c r="P1853">
        <v>1</v>
      </c>
      <c r="S1853">
        <v>261.95</v>
      </c>
      <c r="T1853">
        <v>300</v>
      </c>
      <c r="U1853">
        <v>230</v>
      </c>
      <c r="V1853" t="s">
        <v>79</v>
      </c>
      <c r="W1853" t="s">
        <v>227</v>
      </c>
      <c r="X1853" t="s">
        <v>234</v>
      </c>
      <c r="Y1853" t="s">
        <v>355</v>
      </c>
      <c r="AF1853" t="s">
        <v>13</v>
      </c>
      <c r="AG1853" t="str">
        <f>HYPERLINK("https://doi.org/10.1515/9780748631582?locatt=mode:legacy")</f>
        <v>https://doi.org/10.1515/9780748631582?locatt=mode:legacy</v>
      </c>
      <c r="AH1853" t="str">
        <f>HYPERLINK("http://www.degruyter.com/isbn/9780748631582")</f>
        <v>http://www.degruyter.com/isbn/9780748631582</v>
      </c>
      <c r="AI1853" t="s">
        <v>68</v>
      </c>
      <c r="AL1853" t="s">
        <v>83</v>
      </c>
      <c r="AM1853">
        <v>1</v>
      </c>
      <c r="AN1853" s="2">
        <v>9780748627547</v>
      </c>
    </row>
    <row r="1854" spans="1:40" x14ac:dyDescent="0.3">
      <c r="A1854" t="s">
        <v>8990</v>
      </c>
      <c r="B1854" t="s">
        <v>1</v>
      </c>
      <c r="C1854" t="s">
        <v>8991</v>
      </c>
      <c r="E1854" t="s">
        <v>8992</v>
      </c>
      <c r="F1854" t="s">
        <v>5</v>
      </c>
      <c r="G1854" t="s">
        <v>6</v>
      </c>
      <c r="L1854" t="s">
        <v>7</v>
      </c>
      <c r="M1854">
        <v>2020</v>
      </c>
      <c r="N1854" s="1">
        <v>44656</v>
      </c>
      <c r="O1854" t="s">
        <v>8993</v>
      </c>
      <c r="P1854">
        <v>1</v>
      </c>
      <c r="Q1854" t="s">
        <v>8994</v>
      </c>
      <c r="S1854">
        <v>417.95</v>
      </c>
      <c r="T1854">
        <v>480</v>
      </c>
      <c r="U1854">
        <v>370</v>
      </c>
      <c r="V1854" t="s">
        <v>20</v>
      </c>
      <c r="W1854" t="s">
        <v>21</v>
      </c>
      <c r="X1854" t="s">
        <v>839</v>
      </c>
      <c r="Y1854" t="s">
        <v>1850</v>
      </c>
      <c r="AF1854" t="s">
        <v>13</v>
      </c>
      <c r="AG1854" t="str">
        <f>HYPERLINK("https://doi.org/10.1515/9781474451628")</f>
        <v>https://doi.org/10.1515/9781474451628</v>
      </c>
      <c r="AH1854" t="str">
        <f>HYPERLINK("http://www.degruyter.com/isbn/9781474451628")</f>
        <v>http://www.degruyter.com/isbn/9781474451628</v>
      </c>
      <c r="AI1854" t="s">
        <v>14</v>
      </c>
      <c r="AJ1854" t="s">
        <v>35</v>
      </c>
      <c r="AL1854" t="s">
        <v>1346</v>
      </c>
      <c r="AM1854">
        <v>1</v>
      </c>
      <c r="AN1854" s="2">
        <v>9781474451604</v>
      </c>
    </row>
    <row r="1855" spans="1:40" x14ac:dyDescent="0.3">
      <c r="A1855" t="s">
        <v>8995</v>
      </c>
      <c r="B1855" t="s">
        <v>1</v>
      </c>
      <c r="C1855" t="s">
        <v>8996</v>
      </c>
      <c r="E1855" t="s">
        <v>8997</v>
      </c>
      <c r="F1855" t="s">
        <v>5</v>
      </c>
      <c r="G1855" t="s">
        <v>6</v>
      </c>
      <c r="L1855" t="s">
        <v>7</v>
      </c>
      <c r="M1855">
        <v>2016</v>
      </c>
      <c r="N1855" s="1">
        <v>42501</v>
      </c>
      <c r="O1855" t="s">
        <v>8998</v>
      </c>
      <c r="P1855">
        <v>1</v>
      </c>
      <c r="Q1855" t="s">
        <v>7095</v>
      </c>
      <c r="S1855">
        <v>227.95</v>
      </c>
      <c r="T1855">
        <v>260</v>
      </c>
      <c r="U1855">
        <v>200</v>
      </c>
      <c r="V1855" t="s">
        <v>42</v>
      </c>
      <c r="W1855" t="s">
        <v>116</v>
      </c>
      <c r="X1855" t="s">
        <v>116</v>
      </c>
      <c r="Y1855" t="s">
        <v>117</v>
      </c>
      <c r="AF1855" t="s">
        <v>13</v>
      </c>
      <c r="AG1855" t="str">
        <f>HYPERLINK("https://www.degruyter.com/isbn/9781474402590")</f>
        <v>https://www.degruyter.com/isbn/9781474402590</v>
      </c>
      <c r="AH1855" t="str">
        <f>HYPERLINK("http://www.degruyter.com/isbn/9781474402590")</f>
        <v>http://www.degruyter.com/isbn/9781474402590</v>
      </c>
      <c r="AI1855" t="s">
        <v>180</v>
      </c>
      <c r="AL1855" t="s">
        <v>47</v>
      </c>
      <c r="AM1855">
        <v>1</v>
      </c>
      <c r="AN1855" s="2">
        <v>9781474402576</v>
      </c>
    </row>
    <row r="1856" spans="1:40" x14ac:dyDescent="0.3">
      <c r="A1856" t="s">
        <v>8999</v>
      </c>
      <c r="B1856" t="s">
        <v>1</v>
      </c>
      <c r="C1856" t="s">
        <v>9000</v>
      </c>
      <c r="E1856" t="s">
        <v>9001</v>
      </c>
      <c r="F1856" t="s">
        <v>5</v>
      </c>
      <c r="G1856" t="s">
        <v>6</v>
      </c>
      <c r="L1856" t="s">
        <v>7</v>
      </c>
      <c r="M1856">
        <v>2003</v>
      </c>
      <c r="N1856" s="1">
        <v>44607</v>
      </c>
      <c r="O1856" t="s">
        <v>9002</v>
      </c>
      <c r="P1856">
        <v>1</v>
      </c>
      <c r="Q1856" t="s">
        <v>6820</v>
      </c>
      <c r="S1856">
        <v>217.95</v>
      </c>
      <c r="T1856">
        <v>250</v>
      </c>
      <c r="U1856">
        <v>190</v>
      </c>
      <c r="V1856" t="s">
        <v>42</v>
      </c>
      <c r="W1856" t="s">
        <v>116</v>
      </c>
      <c r="X1856" t="s">
        <v>116</v>
      </c>
      <c r="Y1856" t="s">
        <v>117</v>
      </c>
      <c r="AF1856" t="s">
        <v>13</v>
      </c>
      <c r="AG1856" t="str">
        <f>HYPERLINK("https://doi.org/10.1515/9781474463911")</f>
        <v>https://doi.org/10.1515/9781474463911</v>
      </c>
      <c r="AH1856" t="str">
        <f>HYPERLINK("http://www.degruyter.com/isbn/9781474463911")</f>
        <v>http://www.degruyter.com/isbn/9781474463911</v>
      </c>
      <c r="AI1856" t="s">
        <v>68</v>
      </c>
      <c r="AL1856" t="s">
        <v>47</v>
      </c>
      <c r="AM1856">
        <v>1</v>
      </c>
      <c r="AN1856" s="2">
        <v>9780748615377</v>
      </c>
    </row>
    <row r="1857" spans="1:40" x14ac:dyDescent="0.3">
      <c r="A1857" t="s">
        <v>9003</v>
      </c>
      <c r="B1857" t="s">
        <v>1</v>
      </c>
      <c r="C1857" t="s">
        <v>9004</v>
      </c>
      <c r="D1857" t="s">
        <v>9005</v>
      </c>
      <c r="E1857" t="s">
        <v>9006</v>
      </c>
      <c r="F1857" t="s">
        <v>5</v>
      </c>
      <c r="G1857" t="s">
        <v>6</v>
      </c>
      <c r="L1857" t="s">
        <v>7</v>
      </c>
      <c r="M1857">
        <v>2002</v>
      </c>
      <c r="N1857" s="1">
        <v>44607</v>
      </c>
      <c r="O1857" t="s">
        <v>9007</v>
      </c>
      <c r="P1857">
        <v>1</v>
      </c>
      <c r="S1857">
        <v>217.95</v>
      </c>
      <c r="T1857">
        <v>250</v>
      </c>
      <c r="U1857">
        <v>190</v>
      </c>
      <c r="V1857" t="s">
        <v>42</v>
      </c>
      <c r="W1857" t="s">
        <v>43</v>
      </c>
      <c r="X1857" t="s">
        <v>178</v>
      </c>
      <c r="Y1857" t="s">
        <v>9008</v>
      </c>
      <c r="AF1857" t="s">
        <v>13</v>
      </c>
      <c r="AG1857" t="str">
        <f>HYPERLINK("https://doi.org/10.1515/9781474472760")</f>
        <v>https://doi.org/10.1515/9781474472760</v>
      </c>
      <c r="AH1857" t="str">
        <f>HYPERLINK("http://www.degruyter.com/isbn/9781474472760")</f>
        <v>http://www.degruyter.com/isbn/9781474472760</v>
      </c>
      <c r="AI1857" t="s">
        <v>68</v>
      </c>
      <c r="AL1857" t="s">
        <v>47</v>
      </c>
      <c r="AM1857">
        <v>1</v>
      </c>
      <c r="AN1857" s="2">
        <v>9780748617463</v>
      </c>
    </row>
    <row r="1858" spans="1:40" x14ac:dyDescent="0.3">
      <c r="A1858" t="s">
        <v>9009</v>
      </c>
      <c r="B1858" t="s">
        <v>1</v>
      </c>
      <c r="C1858" t="s">
        <v>9010</v>
      </c>
      <c r="E1858" t="s">
        <v>9011</v>
      </c>
      <c r="F1858" t="s">
        <v>5</v>
      </c>
      <c r="G1858" t="s">
        <v>6</v>
      </c>
      <c r="L1858" t="s">
        <v>7</v>
      </c>
      <c r="M1858">
        <v>2017</v>
      </c>
      <c r="N1858" s="1">
        <v>42851</v>
      </c>
      <c r="O1858" t="s">
        <v>9012</v>
      </c>
      <c r="P1858">
        <v>1</v>
      </c>
      <c r="Q1858" t="s">
        <v>6418</v>
      </c>
      <c r="S1858">
        <v>253.95</v>
      </c>
      <c r="T1858">
        <v>290</v>
      </c>
      <c r="U1858">
        <v>220</v>
      </c>
      <c r="V1858" t="s">
        <v>1325</v>
      </c>
      <c r="W1858" t="s">
        <v>5954</v>
      </c>
      <c r="X1858" t="s">
        <v>5954</v>
      </c>
      <c r="Y1858" t="s">
        <v>5955</v>
      </c>
      <c r="AF1858" t="s">
        <v>13</v>
      </c>
      <c r="AG1858" t="str">
        <f>HYPERLINK("https://doi.org/10.1515/9781474422758")</f>
        <v>https://doi.org/10.1515/9781474422758</v>
      </c>
      <c r="AH1858" t="str">
        <f>HYPERLINK("http://www.degruyter.com/isbn/9781474422758")</f>
        <v>http://www.degruyter.com/isbn/9781474422758</v>
      </c>
      <c r="AI1858" t="s">
        <v>222</v>
      </c>
      <c r="AL1858" t="s">
        <v>1328</v>
      </c>
      <c r="AM1858">
        <v>1</v>
      </c>
      <c r="AN1858" s="2">
        <v>9781474422734</v>
      </c>
    </row>
    <row r="1859" spans="1:40" x14ac:dyDescent="0.3">
      <c r="A1859" t="s">
        <v>9013</v>
      </c>
      <c r="B1859" t="s">
        <v>1</v>
      </c>
      <c r="C1859" t="s">
        <v>9014</v>
      </c>
      <c r="D1859" t="s">
        <v>9015</v>
      </c>
      <c r="E1859" t="s">
        <v>9016</v>
      </c>
      <c r="F1859" t="s">
        <v>5</v>
      </c>
      <c r="G1859" t="s">
        <v>6</v>
      </c>
      <c r="L1859" t="s">
        <v>7</v>
      </c>
      <c r="M1859">
        <v>2000</v>
      </c>
      <c r="N1859" s="1">
        <v>44607</v>
      </c>
      <c r="O1859" t="s">
        <v>9017</v>
      </c>
      <c r="P1859">
        <v>1</v>
      </c>
      <c r="S1859">
        <v>217.95</v>
      </c>
      <c r="T1859">
        <v>250</v>
      </c>
      <c r="U1859">
        <v>190</v>
      </c>
      <c r="V1859" t="s">
        <v>20</v>
      </c>
      <c r="W1859" t="s">
        <v>21</v>
      </c>
      <c r="X1859" t="s">
        <v>22</v>
      </c>
      <c r="Y1859" t="s">
        <v>23</v>
      </c>
      <c r="AF1859" t="s">
        <v>13</v>
      </c>
      <c r="AG1859" t="str">
        <f>HYPERLINK("https://doi.org/10.1515/9781474496896")</f>
        <v>https://doi.org/10.1515/9781474496896</v>
      </c>
      <c r="AH1859" t="str">
        <f>HYPERLINK("http://www.degruyter.com/isbn/9781474496896")</f>
        <v>http://www.degruyter.com/isbn/9781474496896</v>
      </c>
      <c r="AI1859" t="s">
        <v>68</v>
      </c>
      <c r="AL1859" t="s">
        <v>15</v>
      </c>
      <c r="AM1859">
        <v>1</v>
      </c>
      <c r="AN1859" s="2">
        <v>9781902930114</v>
      </c>
    </row>
    <row r="1860" spans="1:40" x14ac:dyDescent="0.3">
      <c r="A1860" t="s">
        <v>9018</v>
      </c>
      <c r="B1860" t="s">
        <v>1</v>
      </c>
      <c r="C1860" t="s">
        <v>9019</v>
      </c>
      <c r="D1860" t="s">
        <v>9020</v>
      </c>
      <c r="E1860" t="s">
        <v>9021</v>
      </c>
      <c r="F1860" t="s">
        <v>5</v>
      </c>
      <c r="G1860" t="s">
        <v>6</v>
      </c>
      <c r="L1860" t="s">
        <v>7</v>
      </c>
      <c r="M1860">
        <v>2013</v>
      </c>
      <c r="N1860" s="1">
        <v>41557</v>
      </c>
      <c r="O1860" t="s">
        <v>9022</v>
      </c>
      <c r="P1860">
        <v>1</v>
      </c>
      <c r="Q1860" t="s">
        <v>7677</v>
      </c>
      <c r="S1860">
        <v>339.95</v>
      </c>
      <c r="T1860">
        <v>390</v>
      </c>
      <c r="U1860">
        <v>300</v>
      </c>
      <c r="V1860" t="s">
        <v>20</v>
      </c>
      <c r="W1860" t="s">
        <v>21</v>
      </c>
      <c r="X1860" t="s">
        <v>22</v>
      </c>
      <c r="Y1860" t="s">
        <v>23</v>
      </c>
      <c r="AF1860" t="s">
        <v>13</v>
      </c>
      <c r="AG1860" t="str">
        <f>HYPERLINK("https://doi.org/10.1515/9780748631445")</f>
        <v>https://doi.org/10.1515/9780748631445</v>
      </c>
      <c r="AH1860" t="str">
        <f>HYPERLINK("http://www.degruyter.com/isbn/9780748631445")</f>
        <v>http://www.degruyter.com/isbn/9780748631445</v>
      </c>
      <c r="AI1860" t="s">
        <v>68</v>
      </c>
      <c r="AL1860" t="s">
        <v>15</v>
      </c>
      <c r="AM1860">
        <v>1</v>
      </c>
      <c r="AN1860" s="2">
        <v>9780748627325</v>
      </c>
    </row>
    <row r="1861" spans="1:40" x14ac:dyDescent="0.3">
      <c r="A1861" t="s">
        <v>9023</v>
      </c>
      <c r="B1861" t="s">
        <v>1</v>
      </c>
      <c r="C1861" t="s">
        <v>9024</v>
      </c>
      <c r="D1861" t="s">
        <v>9025</v>
      </c>
      <c r="E1861" t="s">
        <v>9026</v>
      </c>
      <c r="F1861" t="s">
        <v>5</v>
      </c>
      <c r="G1861" t="s">
        <v>6</v>
      </c>
      <c r="L1861" t="s">
        <v>7</v>
      </c>
      <c r="M1861">
        <v>2010</v>
      </c>
      <c r="N1861" s="1">
        <v>40389</v>
      </c>
      <c r="O1861" t="s">
        <v>9027</v>
      </c>
      <c r="P1861">
        <v>1</v>
      </c>
      <c r="Q1861" t="s">
        <v>6659</v>
      </c>
      <c r="S1861">
        <v>227.95</v>
      </c>
      <c r="T1861">
        <v>260</v>
      </c>
      <c r="U1861">
        <v>200</v>
      </c>
      <c r="V1861" t="s">
        <v>268</v>
      </c>
      <c r="W1861" t="s">
        <v>269</v>
      </c>
      <c r="X1861" t="s">
        <v>269</v>
      </c>
      <c r="Y1861" t="s">
        <v>5838</v>
      </c>
      <c r="AF1861" t="s">
        <v>13</v>
      </c>
      <c r="AG1861" t="str">
        <f>HYPERLINK("https://doi.org/10.1515/9780748642922")</f>
        <v>https://doi.org/10.1515/9780748642922</v>
      </c>
      <c r="AH1861" t="str">
        <f>HYPERLINK("http://www.degruyter.com/isbn/9780748642922")</f>
        <v>http://www.degruyter.com/isbn/9780748642922</v>
      </c>
      <c r="AI1861" t="s">
        <v>271</v>
      </c>
      <c r="AL1861" t="s">
        <v>272</v>
      </c>
      <c r="AM1861">
        <v>1</v>
      </c>
      <c r="AN1861" s="2">
        <v>9780748638970</v>
      </c>
    </row>
    <row r="1862" spans="1:40" x14ac:dyDescent="0.3">
      <c r="A1862" t="s">
        <v>9028</v>
      </c>
      <c r="B1862" t="s">
        <v>1</v>
      </c>
      <c r="C1862" t="s">
        <v>9029</v>
      </c>
      <c r="D1862" t="s">
        <v>9030</v>
      </c>
      <c r="E1862" t="s">
        <v>9031</v>
      </c>
      <c r="F1862" t="s">
        <v>5</v>
      </c>
      <c r="G1862" t="s">
        <v>6</v>
      </c>
      <c r="L1862" t="s">
        <v>7</v>
      </c>
      <c r="M1862">
        <v>2017</v>
      </c>
      <c r="N1862" s="1">
        <v>42843</v>
      </c>
      <c r="O1862" t="s">
        <v>9032</v>
      </c>
      <c r="P1862">
        <v>1</v>
      </c>
      <c r="Q1862" t="s">
        <v>6785</v>
      </c>
      <c r="S1862">
        <v>253.95</v>
      </c>
      <c r="T1862">
        <v>290</v>
      </c>
      <c r="U1862">
        <v>220</v>
      </c>
      <c r="V1862" t="s">
        <v>79</v>
      </c>
      <c r="W1862" t="s">
        <v>783</v>
      </c>
      <c r="X1862" t="s">
        <v>783</v>
      </c>
      <c r="Y1862" t="s">
        <v>784</v>
      </c>
      <c r="AF1862" t="s">
        <v>13</v>
      </c>
      <c r="AG1862" t="str">
        <f>HYPERLINK("https://doi.org/10.1515/9781474417891")</f>
        <v>https://doi.org/10.1515/9781474417891</v>
      </c>
      <c r="AH1862" t="str">
        <f>HYPERLINK("http://www.degruyter.com/isbn/9781474417891")</f>
        <v>http://www.degruyter.com/isbn/9781474417891</v>
      </c>
      <c r="AI1862" t="s">
        <v>222</v>
      </c>
      <c r="AL1862" t="s">
        <v>83</v>
      </c>
      <c r="AM1862">
        <v>1</v>
      </c>
      <c r="AN1862" s="2">
        <v>9781474417884</v>
      </c>
    </row>
    <row r="1863" spans="1:40" x14ac:dyDescent="0.3">
      <c r="A1863" t="s">
        <v>9033</v>
      </c>
      <c r="B1863" t="s">
        <v>1</v>
      </c>
      <c r="C1863" t="s">
        <v>9034</v>
      </c>
      <c r="D1863" t="s">
        <v>9035</v>
      </c>
      <c r="E1863" t="s">
        <v>9036</v>
      </c>
      <c r="F1863" t="s">
        <v>5</v>
      </c>
      <c r="G1863" t="s">
        <v>6</v>
      </c>
      <c r="L1863" t="s">
        <v>7</v>
      </c>
      <c r="M1863">
        <v>2018</v>
      </c>
      <c r="N1863" s="1">
        <v>44656</v>
      </c>
      <c r="O1863" t="s">
        <v>9037</v>
      </c>
      <c r="P1863">
        <v>1</v>
      </c>
      <c r="Q1863" t="s">
        <v>6606</v>
      </c>
      <c r="S1863">
        <v>253.95</v>
      </c>
      <c r="T1863">
        <v>290</v>
      </c>
      <c r="U1863">
        <v>220</v>
      </c>
      <c r="V1863" t="s">
        <v>79</v>
      </c>
      <c r="W1863" t="s">
        <v>783</v>
      </c>
      <c r="X1863" t="s">
        <v>783</v>
      </c>
      <c r="Y1863" t="s">
        <v>784</v>
      </c>
      <c r="AF1863" t="s">
        <v>13</v>
      </c>
      <c r="AG1863" t="str">
        <f>HYPERLINK("https://doi.org/10.1515/9781474407724")</f>
        <v>https://doi.org/10.1515/9781474407724</v>
      </c>
      <c r="AH1863" t="str">
        <f>HYPERLINK("http://www.degruyter.com/isbn/9781474407724")</f>
        <v>http://www.degruyter.com/isbn/9781474407724</v>
      </c>
      <c r="AI1863" t="s">
        <v>46</v>
      </c>
      <c r="AL1863" t="s">
        <v>83</v>
      </c>
      <c r="AM1863">
        <v>1</v>
      </c>
      <c r="AN1863" s="2">
        <v>9781474407717</v>
      </c>
    </row>
    <row r="1864" spans="1:40" x14ac:dyDescent="0.3">
      <c r="A1864" t="s">
        <v>9038</v>
      </c>
      <c r="B1864" t="s">
        <v>1</v>
      </c>
      <c r="C1864" t="s">
        <v>9039</v>
      </c>
      <c r="E1864" t="s">
        <v>9040</v>
      </c>
      <c r="F1864" t="s">
        <v>5</v>
      </c>
      <c r="G1864" t="s">
        <v>6</v>
      </c>
      <c r="L1864" t="s">
        <v>7</v>
      </c>
      <c r="M1864">
        <v>2020</v>
      </c>
      <c r="N1864" s="1">
        <v>44656</v>
      </c>
      <c r="O1864" t="s">
        <v>9041</v>
      </c>
      <c r="P1864">
        <v>1</v>
      </c>
      <c r="Q1864" t="s">
        <v>6539</v>
      </c>
      <c r="S1864">
        <v>227.95</v>
      </c>
      <c r="T1864">
        <v>260</v>
      </c>
      <c r="U1864">
        <v>200</v>
      </c>
      <c r="V1864" t="s">
        <v>42</v>
      </c>
      <c r="W1864" t="s">
        <v>116</v>
      </c>
      <c r="X1864" t="s">
        <v>116</v>
      </c>
      <c r="Y1864" t="s">
        <v>117</v>
      </c>
      <c r="AF1864" t="s">
        <v>13</v>
      </c>
      <c r="AG1864" t="str">
        <f>HYPERLINK("https://doi.org/10.1515/9781474443746")</f>
        <v>https://doi.org/10.1515/9781474443746</v>
      </c>
      <c r="AH1864" t="str">
        <f>HYPERLINK("http://www.degruyter.com/isbn/9781474443746")</f>
        <v>http://www.degruyter.com/isbn/9781474443746</v>
      </c>
      <c r="AI1864" t="s">
        <v>14</v>
      </c>
      <c r="AL1864" t="s">
        <v>47</v>
      </c>
      <c r="AM1864">
        <v>1</v>
      </c>
      <c r="AN1864" s="2">
        <v>9781474443722</v>
      </c>
    </row>
    <row r="1865" spans="1:40" x14ac:dyDescent="0.3">
      <c r="A1865" t="s">
        <v>9042</v>
      </c>
      <c r="B1865" t="s">
        <v>1</v>
      </c>
      <c r="C1865" t="s">
        <v>9043</v>
      </c>
      <c r="E1865" t="s">
        <v>9044</v>
      </c>
      <c r="F1865" t="s">
        <v>5</v>
      </c>
      <c r="G1865" t="s">
        <v>6</v>
      </c>
      <c r="L1865" t="s">
        <v>7</v>
      </c>
      <c r="M1865">
        <v>2007</v>
      </c>
      <c r="N1865" s="1">
        <v>39328</v>
      </c>
      <c r="O1865" t="s">
        <v>9045</v>
      </c>
      <c r="P1865">
        <v>1</v>
      </c>
      <c r="Q1865" t="s">
        <v>7243</v>
      </c>
      <c r="S1865">
        <v>217.95</v>
      </c>
      <c r="T1865">
        <v>250</v>
      </c>
      <c r="U1865">
        <v>190</v>
      </c>
      <c r="V1865" t="s">
        <v>20</v>
      </c>
      <c r="W1865" t="s">
        <v>21</v>
      </c>
      <c r="X1865" t="s">
        <v>3445</v>
      </c>
      <c r="Y1865" t="s">
        <v>3446</v>
      </c>
      <c r="AF1865" t="s">
        <v>13</v>
      </c>
      <c r="AG1865" t="str">
        <f>HYPERLINK("https://doi.org/10.1515/9780748630332?locatt=mode:legacy")</f>
        <v>https://doi.org/10.1515/9780748630332?locatt=mode:legacy</v>
      </c>
      <c r="AH1865" t="str">
        <f>HYPERLINK("http://www.degruyter.com/isbn/9780748630332")</f>
        <v>http://www.degruyter.com/isbn/9780748630332</v>
      </c>
      <c r="AI1865" t="s">
        <v>68</v>
      </c>
      <c r="AL1865" t="s">
        <v>15</v>
      </c>
      <c r="AM1865">
        <v>1</v>
      </c>
      <c r="AN1865" s="2">
        <v>9780748624102</v>
      </c>
    </row>
    <row r="1866" spans="1:40" x14ac:dyDescent="0.3">
      <c r="A1866" t="s">
        <v>9046</v>
      </c>
      <c r="B1866" t="s">
        <v>1</v>
      </c>
      <c r="C1866" t="s">
        <v>9047</v>
      </c>
      <c r="E1866" t="s">
        <v>9048</v>
      </c>
      <c r="F1866" t="s">
        <v>5</v>
      </c>
      <c r="G1866" t="s">
        <v>6</v>
      </c>
      <c r="L1866" t="s">
        <v>7</v>
      </c>
      <c r="M1866">
        <v>2006</v>
      </c>
      <c r="N1866" s="1">
        <v>38826</v>
      </c>
      <c r="O1866" t="s">
        <v>9049</v>
      </c>
      <c r="P1866">
        <v>1</v>
      </c>
      <c r="Q1866" t="s">
        <v>9050</v>
      </c>
      <c r="S1866">
        <v>243.95</v>
      </c>
      <c r="T1866">
        <v>280</v>
      </c>
      <c r="U1866">
        <v>210</v>
      </c>
      <c r="V1866" t="s">
        <v>20</v>
      </c>
      <c r="W1866" t="s">
        <v>21</v>
      </c>
      <c r="X1866" t="s">
        <v>22</v>
      </c>
      <c r="Y1866" t="s">
        <v>23</v>
      </c>
      <c r="AF1866" t="s">
        <v>13</v>
      </c>
      <c r="AG1866" t="str">
        <f>HYPERLINK("https://doi.org/10.1515/9780748626755")</f>
        <v>https://doi.org/10.1515/9780748626755</v>
      </c>
      <c r="AH1866" t="str">
        <f>HYPERLINK("http://www.degruyter.com/isbn/9780748626755")</f>
        <v>http://www.degruyter.com/isbn/9780748626755</v>
      </c>
      <c r="AI1866" t="s">
        <v>68</v>
      </c>
      <c r="AL1866" t="s">
        <v>15</v>
      </c>
      <c r="AM1866">
        <v>1</v>
      </c>
      <c r="AN1866" s="2">
        <v>9780748623143</v>
      </c>
    </row>
    <row r="1867" spans="1:40" x14ac:dyDescent="0.3">
      <c r="A1867" t="s">
        <v>9051</v>
      </c>
      <c r="B1867" t="s">
        <v>1</v>
      </c>
      <c r="C1867" t="s">
        <v>9052</v>
      </c>
      <c r="E1867" t="s">
        <v>9053</v>
      </c>
      <c r="F1867" t="s">
        <v>5</v>
      </c>
      <c r="G1867" t="s">
        <v>6</v>
      </c>
      <c r="L1867" t="s">
        <v>7</v>
      </c>
      <c r="M1867">
        <v>2021</v>
      </c>
      <c r="N1867" s="1">
        <v>44644</v>
      </c>
      <c r="O1867" t="s">
        <v>7313</v>
      </c>
      <c r="P1867">
        <v>1</v>
      </c>
      <c r="S1867">
        <v>253.95</v>
      </c>
      <c r="T1867">
        <v>290</v>
      </c>
      <c r="U1867">
        <v>220</v>
      </c>
      <c r="V1867" t="s">
        <v>79</v>
      </c>
      <c r="W1867" t="s">
        <v>734</v>
      </c>
      <c r="X1867" t="s">
        <v>734</v>
      </c>
      <c r="Y1867" t="s">
        <v>735</v>
      </c>
      <c r="AF1867" t="s">
        <v>13</v>
      </c>
      <c r="AG1867" t="str">
        <f>HYPERLINK("https://doi.org/10.1515/9781474482967")</f>
        <v>https://doi.org/10.1515/9781474482967</v>
      </c>
      <c r="AH1867" t="str">
        <f>HYPERLINK("http://www.degruyter.com/isbn/9781474482967")</f>
        <v>http://www.degruyter.com/isbn/9781474482967</v>
      </c>
      <c r="AI1867" t="s">
        <v>82</v>
      </c>
      <c r="AL1867" t="s">
        <v>83</v>
      </c>
      <c r="AM1867">
        <v>1</v>
      </c>
      <c r="AN1867" s="2">
        <v>9781474482936</v>
      </c>
    </row>
    <row r="1868" spans="1:40" x14ac:dyDescent="0.3">
      <c r="A1868" t="s">
        <v>9054</v>
      </c>
      <c r="B1868" t="s">
        <v>1</v>
      </c>
      <c r="C1868" t="s">
        <v>9055</v>
      </c>
      <c r="E1868" t="s">
        <v>9056</v>
      </c>
      <c r="F1868" t="s">
        <v>5</v>
      </c>
      <c r="G1868" t="s">
        <v>6</v>
      </c>
      <c r="L1868" t="s">
        <v>7</v>
      </c>
      <c r="M1868">
        <v>2013</v>
      </c>
      <c r="N1868" s="1">
        <v>41596</v>
      </c>
      <c r="O1868" t="s">
        <v>9057</v>
      </c>
      <c r="P1868">
        <v>1</v>
      </c>
      <c r="S1868">
        <v>331.95</v>
      </c>
      <c r="T1868">
        <v>380</v>
      </c>
      <c r="U1868">
        <v>290</v>
      </c>
      <c r="V1868" t="s">
        <v>79</v>
      </c>
      <c r="W1868" t="s">
        <v>123</v>
      </c>
      <c r="X1868" t="s">
        <v>123</v>
      </c>
      <c r="Y1868" t="s">
        <v>124</v>
      </c>
      <c r="AF1868" t="s">
        <v>13</v>
      </c>
      <c r="AG1868" t="str">
        <f>HYPERLINK("https://doi.org/10.1515/9780748653690")</f>
        <v>https://doi.org/10.1515/9780748653690</v>
      </c>
      <c r="AH1868" t="str">
        <f>HYPERLINK("http://www.degruyter.com/isbn/9780748653690")</f>
        <v>http://www.degruyter.com/isbn/9780748653690</v>
      </c>
      <c r="AI1868" t="s">
        <v>68</v>
      </c>
      <c r="AL1868" t="s">
        <v>83</v>
      </c>
      <c r="AM1868">
        <v>1</v>
      </c>
      <c r="AN1868" s="2">
        <v>9780748641222</v>
      </c>
    </row>
    <row r="1869" spans="1:40" x14ac:dyDescent="0.3">
      <c r="A1869" t="s">
        <v>9058</v>
      </c>
      <c r="B1869" t="s">
        <v>1</v>
      </c>
      <c r="C1869" t="s">
        <v>9059</v>
      </c>
      <c r="D1869" t="s">
        <v>9060</v>
      </c>
      <c r="E1869" t="s">
        <v>9061</v>
      </c>
      <c r="F1869" t="s">
        <v>5</v>
      </c>
      <c r="G1869" t="s">
        <v>6</v>
      </c>
      <c r="L1869" t="s">
        <v>7</v>
      </c>
      <c r="M1869">
        <v>2018</v>
      </c>
      <c r="N1869" s="1">
        <v>44656</v>
      </c>
      <c r="O1869" t="s">
        <v>9062</v>
      </c>
      <c r="P1869">
        <v>1</v>
      </c>
      <c r="Q1869" t="s">
        <v>7158</v>
      </c>
      <c r="S1869">
        <v>217.95</v>
      </c>
      <c r="T1869">
        <v>250</v>
      </c>
      <c r="U1869">
        <v>190</v>
      </c>
      <c r="V1869" t="s">
        <v>20</v>
      </c>
      <c r="W1869" t="s">
        <v>21</v>
      </c>
      <c r="X1869" t="s">
        <v>22</v>
      </c>
      <c r="Y1869" t="s">
        <v>23</v>
      </c>
      <c r="AF1869" t="s">
        <v>13</v>
      </c>
      <c r="AG1869" t="str">
        <f>HYPERLINK("https://doi.org/10.1515/9781474436939")</f>
        <v>https://doi.org/10.1515/9781474436939</v>
      </c>
      <c r="AH1869" t="str">
        <f>HYPERLINK("http://www.degruyter.com/isbn/9781474436939")</f>
        <v>http://www.degruyter.com/isbn/9781474436939</v>
      </c>
      <c r="AI1869" t="s">
        <v>46</v>
      </c>
      <c r="AL1869" t="s">
        <v>15</v>
      </c>
      <c r="AM1869">
        <v>1</v>
      </c>
      <c r="AN1869" s="2">
        <v>9781474436915</v>
      </c>
    </row>
    <row r="1870" spans="1:40" x14ac:dyDescent="0.3">
      <c r="A1870" t="s">
        <v>9063</v>
      </c>
      <c r="B1870" t="s">
        <v>1</v>
      </c>
      <c r="C1870" t="s">
        <v>9064</v>
      </c>
      <c r="E1870" t="s">
        <v>9065</v>
      </c>
      <c r="F1870" t="s">
        <v>5</v>
      </c>
      <c r="G1870" t="s">
        <v>6</v>
      </c>
      <c r="L1870" t="s">
        <v>7</v>
      </c>
      <c r="M1870">
        <v>2006</v>
      </c>
      <c r="N1870" s="1">
        <v>38856</v>
      </c>
      <c r="O1870" t="s">
        <v>9066</v>
      </c>
      <c r="P1870">
        <v>1</v>
      </c>
      <c r="Q1870" t="s">
        <v>7225</v>
      </c>
      <c r="S1870">
        <v>217.95</v>
      </c>
      <c r="T1870">
        <v>250</v>
      </c>
      <c r="U1870">
        <v>190</v>
      </c>
      <c r="V1870" t="s">
        <v>98</v>
      </c>
      <c r="W1870" t="s">
        <v>99</v>
      </c>
      <c r="X1870" t="s">
        <v>386</v>
      </c>
      <c r="Y1870" t="s">
        <v>387</v>
      </c>
      <c r="AF1870" t="s">
        <v>13</v>
      </c>
      <c r="AG1870" t="str">
        <f>HYPERLINK("https://doi.org/10.1515/9780748626908")</f>
        <v>https://doi.org/10.1515/9780748626908</v>
      </c>
      <c r="AH1870" t="str">
        <f>HYPERLINK("http://www.degruyter.com/isbn/9780748626908")</f>
        <v>http://www.degruyter.com/isbn/9780748626908</v>
      </c>
      <c r="AI1870" t="s">
        <v>68</v>
      </c>
      <c r="AL1870" t="s">
        <v>102</v>
      </c>
      <c r="AM1870">
        <v>1</v>
      </c>
      <c r="AN1870" s="2">
        <v>9780748620180</v>
      </c>
    </row>
    <row r="1871" spans="1:40" x14ac:dyDescent="0.3">
      <c r="A1871" t="s">
        <v>9067</v>
      </c>
      <c r="B1871" t="s">
        <v>1</v>
      </c>
      <c r="C1871" t="s">
        <v>9068</v>
      </c>
      <c r="E1871" t="s">
        <v>9069</v>
      </c>
      <c r="F1871" t="s">
        <v>5</v>
      </c>
      <c r="G1871" t="s">
        <v>6</v>
      </c>
      <c r="L1871" t="s">
        <v>7</v>
      </c>
      <c r="M1871">
        <v>2014</v>
      </c>
      <c r="N1871" s="1">
        <v>41892</v>
      </c>
      <c r="O1871" t="s">
        <v>9070</v>
      </c>
      <c r="P1871">
        <v>1</v>
      </c>
      <c r="Q1871" t="s">
        <v>8750</v>
      </c>
      <c r="S1871">
        <v>217.95</v>
      </c>
      <c r="T1871">
        <v>250</v>
      </c>
      <c r="U1871">
        <v>190</v>
      </c>
      <c r="V1871" t="s">
        <v>42</v>
      </c>
      <c r="W1871" t="s">
        <v>161</v>
      </c>
      <c r="X1871" t="s">
        <v>162</v>
      </c>
      <c r="Y1871" t="s">
        <v>6810</v>
      </c>
      <c r="AF1871" t="s">
        <v>13</v>
      </c>
      <c r="AG1871" t="str">
        <f>HYPERLINK("https://doi.org/10.1515/9780748695355")</f>
        <v>https://doi.org/10.1515/9780748695355</v>
      </c>
      <c r="AH1871" t="str">
        <f>HYPERLINK("http://www.degruyter.com/isbn/9780748695355")</f>
        <v>http://www.degruyter.com/isbn/9780748695355</v>
      </c>
      <c r="AI1871" t="s">
        <v>34</v>
      </c>
      <c r="AL1871" t="s">
        <v>47</v>
      </c>
      <c r="AM1871">
        <v>1</v>
      </c>
      <c r="AN1871" s="2">
        <v>9780748695348</v>
      </c>
    </row>
    <row r="1872" spans="1:40" x14ac:dyDescent="0.3">
      <c r="A1872" t="s">
        <v>9071</v>
      </c>
      <c r="B1872" t="s">
        <v>1</v>
      </c>
      <c r="C1872" t="s">
        <v>9072</v>
      </c>
      <c r="E1872" t="s">
        <v>9073</v>
      </c>
      <c r="F1872" t="s">
        <v>5</v>
      </c>
      <c r="G1872" t="s">
        <v>6</v>
      </c>
      <c r="L1872" t="s">
        <v>7</v>
      </c>
      <c r="M1872">
        <v>2019</v>
      </c>
      <c r="N1872" s="1">
        <v>44592</v>
      </c>
      <c r="O1872" t="s">
        <v>9074</v>
      </c>
      <c r="P1872">
        <v>1</v>
      </c>
      <c r="S1872">
        <v>217.95</v>
      </c>
      <c r="T1872">
        <v>250</v>
      </c>
      <c r="U1872">
        <v>190</v>
      </c>
      <c r="V1872" t="s">
        <v>268</v>
      </c>
      <c r="W1872" t="s">
        <v>269</v>
      </c>
      <c r="X1872" t="s">
        <v>269</v>
      </c>
      <c r="Y1872" t="s">
        <v>9075</v>
      </c>
      <c r="AF1872" t="s">
        <v>13</v>
      </c>
      <c r="AG1872" t="str">
        <f>HYPERLINK("https://doi.org/10.1515/9781474475440")</f>
        <v>https://doi.org/10.1515/9781474475440</v>
      </c>
      <c r="AH1872" t="str">
        <f>HYPERLINK("http://www.degruyter.com/isbn/9781474475440")</f>
        <v>http://www.degruyter.com/isbn/9781474475440</v>
      </c>
      <c r="AI1872" t="s">
        <v>3613</v>
      </c>
      <c r="AL1872" t="s">
        <v>272</v>
      </c>
      <c r="AM1872">
        <v>1</v>
      </c>
      <c r="AN1872" s="2">
        <v>9781474473903</v>
      </c>
    </row>
    <row r="1873" spans="1:40" x14ac:dyDescent="0.3">
      <c r="A1873" t="s">
        <v>9076</v>
      </c>
      <c r="B1873" t="s">
        <v>1</v>
      </c>
      <c r="C1873" t="s">
        <v>9077</v>
      </c>
      <c r="D1873" t="s">
        <v>9078</v>
      </c>
      <c r="E1873" t="s">
        <v>9079</v>
      </c>
      <c r="F1873" t="s">
        <v>5</v>
      </c>
      <c r="G1873" t="s">
        <v>6</v>
      </c>
      <c r="L1873" t="s">
        <v>7</v>
      </c>
      <c r="M1873">
        <v>2000</v>
      </c>
      <c r="N1873" s="1">
        <v>44607</v>
      </c>
      <c r="O1873" t="s">
        <v>9080</v>
      </c>
      <c r="P1873">
        <v>1</v>
      </c>
      <c r="S1873">
        <v>217.95</v>
      </c>
      <c r="T1873">
        <v>250</v>
      </c>
      <c r="U1873">
        <v>190</v>
      </c>
      <c r="V1873" t="s">
        <v>329</v>
      </c>
      <c r="W1873" t="s">
        <v>330</v>
      </c>
      <c r="X1873" t="s">
        <v>331</v>
      </c>
      <c r="Y1873" t="s">
        <v>1035</v>
      </c>
      <c r="AF1873" t="s">
        <v>13</v>
      </c>
      <c r="AG1873" t="str">
        <f>HYPERLINK("https://doi.org/10.1515/9781474465793")</f>
        <v>https://doi.org/10.1515/9781474465793</v>
      </c>
      <c r="AH1873" t="str">
        <f>HYPERLINK("http://www.degruyter.com/isbn/9781474465793")</f>
        <v>http://www.degruyter.com/isbn/9781474465793</v>
      </c>
      <c r="AI1873" t="s">
        <v>68</v>
      </c>
      <c r="AL1873" t="s">
        <v>333</v>
      </c>
      <c r="AM1873">
        <v>1</v>
      </c>
      <c r="AN1873" s="2">
        <v>9780748613960</v>
      </c>
    </row>
    <row r="1874" spans="1:40" x14ac:dyDescent="0.3">
      <c r="A1874" t="s">
        <v>9081</v>
      </c>
      <c r="B1874" t="s">
        <v>1</v>
      </c>
      <c r="C1874" t="s">
        <v>9082</v>
      </c>
      <c r="D1874" t="s">
        <v>9083</v>
      </c>
      <c r="E1874" t="s">
        <v>9084</v>
      </c>
      <c r="F1874" t="s">
        <v>5</v>
      </c>
      <c r="G1874" t="s">
        <v>6</v>
      </c>
      <c r="L1874" t="s">
        <v>7</v>
      </c>
      <c r="M1874">
        <v>2015</v>
      </c>
      <c r="N1874" s="1">
        <v>42024</v>
      </c>
      <c r="O1874" t="s">
        <v>9085</v>
      </c>
      <c r="P1874">
        <v>1</v>
      </c>
      <c r="S1874">
        <v>253.95</v>
      </c>
      <c r="T1874">
        <v>290</v>
      </c>
      <c r="U1874">
        <v>220</v>
      </c>
      <c r="V1874" t="s">
        <v>20</v>
      </c>
      <c r="W1874" t="s">
        <v>21</v>
      </c>
      <c r="X1874" t="s">
        <v>839</v>
      </c>
      <c r="Y1874" t="s">
        <v>1850</v>
      </c>
      <c r="AF1874" t="s">
        <v>13</v>
      </c>
      <c r="AG1874" t="str">
        <f>HYPERLINK("https://doi.org/10.1515/9780748691456")</f>
        <v>https://doi.org/10.1515/9780748691456</v>
      </c>
      <c r="AH1874" t="str">
        <f>HYPERLINK("http://www.degruyter.com/isbn/9780748691456")</f>
        <v>http://www.degruyter.com/isbn/9780748691456</v>
      </c>
      <c r="AI1874" t="s">
        <v>34</v>
      </c>
      <c r="AL1874" t="s">
        <v>15</v>
      </c>
      <c r="AM1874">
        <v>1</v>
      </c>
      <c r="AN1874" s="2">
        <v>9780748691449</v>
      </c>
    </row>
    <row r="1875" spans="1:40" x14ac:dyDescent="0.3">
      <c r="A1875" t="s">
        <v>9086</v>
      </c>
      <c r="B1875" t="s">
        <v>1</v>
      </c>
      <c r="C1875" t="s">
        <v>9087</v>
      </c>
      <c r="D1875" t="s">
        <v>9088</v>
      </c>
      <c r="E1875" t="s">
        <v>9089</v>
      </c>
      <c r="F1875" t="s">
        <v>5</v>
      </c>
      <c r="G1875" t="s">
        <v>6</v>
      </c>
      <c r="L1875" t="s">
        <v>7</v>
      </c>
      <c r="M1875">
        <v>2021</v>
      </c>
      <c r="N1875" s="1">
        <v>44644</v>
      </c>
      <c r="O1875" t="s">
        <v>9090</v>
      </c>
      <c r="P1875">
        <v>1</v>
      </c>
      <c r="S1875">
        <v>217.95</v>
      </c>
      <c r="T1875">
        <v>250</v>
      </c>
      <c r="U1875">
        <v>190</v>
      </c>
      <c r="V1875" t="s">
        <v>42</v>
      </c>
      <c r="W1875" t="s">
        <v>107</v>
      </c>
      <c r="X1875" t="s">
        <v>108</v>
      </c>
      <c r="Y1875" t="s">
        <v>221</v>
      </c>
      <c r="AF1875" t="s">
        <v>13</v>
      </c>
      <c r="AG1875" t="str">
        <f>HYPERLINK("https://doi.org/10.1515/9781474421492")</f>
        <v>https://doi.org/10.1515/9781474421492</v>
      </c>
      <c r="AH1875" t="str">
        <f>HYPERLINK("http://www.degruyter.com/isbn/9781474421492")</f>
        <v>http://www.degruyter.com/isbn/9781474421492</v>
      </c>
      <c r="AI1875" t="s">
        <v>1561</v>
      </c>
      <c r="AL1875" t="s">
        <v>47</v>
      </c>
      <c r="AM1875">
        <v>1</v>
      </c>
      <c r="AN1875" s="2">
        <v>9781474421485</v>
      </c>
    </row>
    <row r="1876" spans="1:40" x14ac:dyDescent="0.3">
      <c r="A1876" t="s">
        <v>9091</v>
      </c>
      <c r="B1876" t="s">
        <v>1</v>
      </c>
      <c r="C1876" t="s">
        <v>9092</v>
      </c>
      <c r="D1876" t="s">
        <v>9093</v>
      </c>
      <c r="E1876" t="s">
        <v>9094</v>
      </c>
      <c r="F1876" t="s">
        <v>5</v>
      </c>
      <c r="G1876" t="s">
        <v>6</v>
      </c>
      <c r="L1876" t="s">
        <v>7</v>
      </c>
      <c r="M1876">
        <v>2015</v>
      </c>
      <c r="N1876" s="1">
        <v>42270</v>
      </c>
      <c r="O1876" t="s">
        <v>1075</v>
      </c>
      <c r="P1876">
        <v>1</v>
      </c>
      <c r="Q1876" t="s">
        <v>7863</v>
      </c>
      <c r="S1876">
        <v>217.95</v>
      </c>
      <c r="T1876">
        <v>250</v>
      </c>
      <c r="U1876">
        <v>190</v>
      </c>
      <c r="V1876" t="s">
        <v>42</v>
      </c>
      <c r="W1876" t="s">
        <v>107</v>
      </c>
      <c r="X1876" t="s">
        <v>108</v>
      </c>
      <c r="Y1876" t="s">
        <v>109</v>
      </c>
      <c r="AF1876" t="s">
        <v>13</v>
      </c>
      <c r="AG1876" t="str">
        <f>HYPERLINK("https://doi.org/10.1515/9780748697335")</f>
        <v>https://doi.org/10.1515/9780748697335</v>
      </c>
      <c r="AH1876" t="str">
        <f>HYPERLINK("http://www.degruyter.com/isbn/9780748697335")</f>
        <v>http://www.degruyter.com/isbn/9780748697335</v>
      </c>
      <c r="AI1876" t="s">
        <v>34</v>
      </c>
      <c r="AL1876" t="s">
        <v>47</v>
      </c>
      <c r="AM1876">
        <v>1</v>
      </c>
      <c r="AN1876" s="2">
        <v>9780748697328</v>
      </c>
    </row>
    <row r="1877" spans="1:40" x14ac:dyDescent="0.3">
      <c r="A1877" t="s">
        <v>9095</v>
      </c>
      <c r="B1877" t="s">
        <v>1</v>
      </c>
      <c r="C1877" t="s">
        <v>9096</v>
      </c>
      <c r="D1877" t="s">
        <v>9097</v>
      </c>
      <c r="E1877" t="s">
        <v>9098</v>
      </c>
      <c r="F1877" t="s">
        <v>5</v>
      </c>
      <c r="G1877" t="s">
        <v>6</v>
      </c>
      <c r="L1877" t="s">
        <v>7</v>
      </c>
      <c r="M1877">
        <v>2016</v>
      </c>
      <c r="N1877" s="1">
        <v>42478</v>
      </c>
      <c r="O1877" t="s">
        <v>9099</v>
      </c>
      <c r="P1877">
        <v>1</v>
      </c>
      <c r="Q1877" t="s">
        <v>7303</v>
      </c>
      <c r="S1877">
        <v>253.95</v>
      </c>
      <c r="T1877">
        <v>290</v>
      </c>
      <c r="U1877">
        <v>220</v>
      </c>
      <c r="V1877" t="s">
        <v>305</v>
      </c>
      <c r="W1877" t="s">
        <v>650</v>
      </c>
      <c r="X1877" t="s">
        <v>650</v>
      </c>
      <c r="Y1877" t="s">
        <v>651</v>
      </c>
      <c r="AF1877" t="s">
        <v>13</v>
      </c>
      <c r="AG1877" t="str">
        <f>HYPERLINK("https://doi.org/10.1515/9781474402620")</f>
        <v>https://doi.org/10.1515/9781474402620</v>
      </c>
      <c r="AH1877" t="str">
        <f>HYPERLINK("http://www.degruyter.com/isbn/9781474402620")</f>
        <v>http://www.degruyter.com/isbn/9781474402620</v>
      </c>
      <c r="AI1877" t="s">
        <v>180</v>
      </c>
      <c r="AL1877" t="s">
        <v>308</v>
      </c>
      <c r="AM1877">
        <v>1</v>
      </c>
      <c r="AN1877" s="2">
        <v>9781474402613</v>
      </c>
    </row>
    <row r="1878" spans="1:40" x14ac:dyDescent="0.3">
      <c r="A1878" t="s">
        <v>9100</v>
      </c>
      <c r="B1878" t="s">
        <v>1</v>
      </c>
      <c r="C1878" t="s">
        <v>9101</v>
      </c>
      <c r="E1878" t="s">
        <v>9102</v>
      </c>
      <c r="F1878" t="s">
        <v>5</v>
      </c>
      <c r="G1878" t="s">
        <v>6</v>
      </c>
      <c r="L1878" t="s">
        <v>7</v>
      </c>
      <c r="M1878">
        <v>2016</v>
      </c>
      <c r="N1878" s="1">
        <v>42583</v>
      </c>
      <c r="O1878" t="s">
        <v>9103</v>
      </c>
      <c r="P1878">
        <v>1</v>
      </c>
      <c r="Q1878" t="s">
        <v>8558</v>
      </c>
      <c r="S1878">
        <v>243.95</v>
      </c>
      <c r="T1878">
        <v>280</v>
      </c>
      <c r="U1878">
        <v>210</v>
      </c>
      <c r="V1878" t="s">
        <v>20</v>
      </c>
      <c r="W1878" t="s">
        <v>21</v>
      </c>
      <c r="X1878" t="s">
        <v>3919</v>
      </c>
      <c r="Y1878" t="s">
        <v>4359</v>
      </c>
      <c r="AF1878" t="s">
        <v>13</v>
      </c>
      <c r="AG1878" t="str">
        <f>HYPERLINK("https://doi.org/10.1515/9780748646821")</f>
        <v>https://doi.org/10.1515/9780748646821</v>
      </c>
      <c r="AH1878" t="str">
        <f>HYPERLINK("http://www.degruyter.com/isbn/9780748646821")</f>
        <v>http://www.degruyter.com/isbn/9780748646821</v>
      </c>
      <c r="AI1878" t="s">
        <v>180</v>
      </c>
      <c r="AL1878" t="s">
        <v>15</v>
      </c>
      <c r="AM1878">
        <v>1</v>
      </c>
      <c r="AN1878" s="2">
        <v>9780748646814</v>
      </c>
    </row>
    <row r="1879" spans="1:40" x14ac:dyDescent="0.3">
      <c r="A1879" t="s">
        <v>9104</v>
      </c>
      <c r="B1879" t="s">
        <v>1</v>
      </c>
      <c r="C1879" t="s">
        <v>9105</v>
      </c>
      <c r="D1879" t="s">
        <v>9106</v>
      </c>
      <c r="E1879" t="s">
        <v>9107</v>
      </c>
      <c r="F1879" t="s">
        <v>5</v>
      </c>
      <c r="G1879" t="s">
        <v>6</v>
      </c>
      <c r="L1879" t="s">
        <v>7</v>
      </c>
      <c r="M1879">
        <v>2019</v>
      </c>
      <c r="N1879" s="1">
        <v>44656</v>
      </c>
      <c r="O1879" t="s">
        <v>9108</v>
      </c>
      <c r="P1879">
        <v>1</v>
      </c>
      <c r="Q1879" t="s">
        <v>6876</v>
      </c>
      <c r="S1879">
        <v>217.95</v>
      </c>
      <c r="T1879">
        <v>250</v>
      </c>
      <c r="U1879">
        <v>190</v>
      </c>
      <c r="V1879" t="s">
        <v>20</v>
      </c>
      <c r="W1879" t="s">
        <v>21</v>
      </c>
      <c r="X1879" t="s">
        <v>3919</v>
      </c>
      <c r="Y1879" t="s">
        <v>9109</v>
      </c>
      <c r="AF1879" t="s">
        <v>13</v>
      </c>
      <c r="AG1879" t="str">
        <f>HYPERLINK("https://doi.org/10.1515/9780748645817?locatt=mode:legacy")</f>
        <v>https://doi.org/10.1515/9780748645817?locatt=mode:legacy</v>
      </c>
      <c r="AH1879" t="str">
        <f>HYPERLINK("http://www.degruyter.com/isbn/9780748645817")</f>
        <v>http://www.degruyter.com/isbn/9780748645817</v>
      </c>
      <c r="AI1879" t="s">
        <v>280</v>
      </c>
      <c r="AL1879" t="s">
        <v>15</v>
      </c>
      <c r="AM1879">
        <v>1</v>
      </c>
      <c r="AN1879" s="2">
        <v>9780748645800</v>
      </c>
    </row>
    <row r="1880" spans="1:40" x14ac:dyDescent="0.3">
      <c r="A1880" t="s">
        <v>9110</v>
      </c>
      <c r="B1880" t="s">
        <v>1</v>
      </c>
      <c r="C1880" t="s">
        <v>9111</v>
      </c>
      <c r="E1880" t="s">
        <v>9112</v>
      </c>
      <c r="F1880" t="s">
        <v>5</v>
      </c>
      <c r="G1880" t="s">
        <v>6</v>
      </c>
      <c r="L1880" t="s">
        <v>7</v>
      </c>
      <c r="M1880">
        <v>2007</v>
      </c>
      <c r="N1880" s="1">
        <v>39407</v>
      </c>
      <c r="O1880" t="s">
        <v>9113</v>
      </c>
      <c r="P1880">
        <v>1</v>
      </c>
      <c r="S1880">
        <v>227.95</v>
      </c>
      <c r="T1880">
        <v>260</v>
      </c>
      <c r="U1880">
        <v>200</v>
      </c>
      <c r="V1880" t="s">
        <v>9</v>
      </c>
      <c r="W1880" t="s">
        <v>10</v>
      </c>
      <c r="X1880" t="s">
        <v>11</v>
      </c>
      <c r="Y1880" t="s">
        <v>12</v>
      </c>
      <c r="AF1880" t="s">
        <v>13</v>
      </c>
      <c r="AG1880" t="str">
        <f>HYPERLINK("https://doi.org/10.1515/9780748630929?locatt=mode:legacy")</f>
        <v>https://doi.org/10.1515/9780748630929?locatt=mode:legacy</v>
      </c>
      <c r="AH1880" t="str">
        <f>HYPERLINK("http://www.degruyter.com/isbn/9780748630929")</f>
        <v>http://www.degruyter.com/isbn/9780748630929</v>
      </c>
      <c r="AI1880" t="s">
        <v>68</v>
      </c>
      <c r="AJ1880" t="s">
        <v>35</v>
      </c>
      <c r="AL1880" t="s">
        <v>53</v>
      </c>
      <c r="AM1880">
        <v>1</v>
      </c>
      <c r="AN1880" s="2">
        <v>9780748625369</v>
      </c>
    </row>
    <row r="1881" spans="1:40" x14ac:dyDescent="0.3">
      <c r="A1881" t="s">
        <v>9114</v>
      </c>
      <c r="B1881" t="s">
        <v>1</v>
      </c>
      <c r="C1881" t="s">
        <v>9115</v>
      </c>
      <c r="E1881" t="s">
        <v>9116</v>
      </c>
      <c r="F1881" t="s">
        <v>5</v>
      </c>
      <c r="G1881" t="s">
        <v>6</v>
      </c>
      <c r="L1881" t="s">
        <v>7</v>
      </c>
      <c r="M1881">
        <v>2008</v>
      </c>
      <c r="N1881" s="1">
        <v>39755</v>
      </c>
      <c r="O1881" t="s">
        <v>9117</v>
      </c>
      <c r="P1881">
        <v>1</v>
      </c>
      <c r="Q1881" t="s">
        <v>7052</v>
      </c>
      <c r="S1881">
        <v>227.95</v>
      </c>
      <c r="T1881">
        <v>260</v>
      </c>
      <c r="U1881">
        <v>200</v>
      </c>
      <c r="V1881" t="s">
        <v>42</v>
      </c>
      <c r="W1881" t="s">
        <v>290</v>
      </c>
      <c r="X1881" t="s">
        <v>290</v>
      </c>
      <c r="Y1881" t="s">
        <v>291</v>
      </c>
      <c r="AF1881" t="s">
        <v>13</v>
      </c>
      <c r="AG1881" t="str">
        <f>HYPERLINK("https://doi.org/10.1515/9780748630486?locatt=mode:legacy")</f>
        <v>https://doi.org/10.1515/9780748630486?locatt=mode:legacy</v>
      </c>
      <c r="AH1881" t="str">
        <f>HYPERLINK("http://www.degruyter.com/isbn/9780748630486")</f>
        <v>http://www.degruyter.com/isbn/9780748630486</v>
      </c>
      <c r="AI1881" t="s">
        <v>68</v>
      </c>
      <c r="AL1881" t="s">
        <v>47</v>
      </c>
      <c r="AM1881">
        <v>1</v>
      </c>
      <c r="AN1881" s="2">
        <v>9780748624454</v>
      </c>
    </row>
    <row r="1882" spans="1:40" x14ac:dyDescent="0.3">
      <c r="A1882" t="s">
        <v>9118</v>
      </c>
      <c r="B1882" t="s">
        <v>1</v>
      </c>
      <c r="C1882" t="s">
        <v>9119</v>
      </c>
      <c r="D1882" t="s">
        <v>9120</v>
      </c>
      <c r="E1882" t="s">
        <v>9121</v>
      </c>
      <c r="F1882" t="s">
        <v>5</v>
      </c>
      <c r="G1882" t="s">
        <v>6</v>
      </c>
      <c r="L1882" t="s">
        <v>7</v>
      </c>
      <c r="M1882">
        <v>2009</v>
      </c>
      <c r="N1882" s="1">
        <v>40025</v>
      </c>
      <c r="O1882" t="s">
        <v>4482</v>
      </c>
      <c r="P1882">
        <v>1</v>
      </c>
      <c r="Q1882" t="s">
        <v>9122</v>
      </c>
      <c r="S1882">
        <v>417.95</v>
      </c>
      <c r="T1882">
        <v>480</v>
      </c>
      <c r="U1882">
        <v>370</v>
      </c>
      <c r="V1882" t="s">
        <v>305</v>
      </c>
      <c r="W1882" t="s">
        <v>2566</v>
      </c>
      <c r="X1882" t="s">
        <v>2567</v>
      </c>
      <c r="Y1882" t="s">
        <v>9123</v>
      </c>
      <c r="AF1882" t="s">
        <v>13</v>
      </c>
      <c r="AG1882" t="str">
        <f>HYPERLINK("https://doi.org/10.1515/9781474469678")</f>
        <v>https://doi.org/10.1515/9781474469678</v>
      </c>
      <c r="AH1882" t="str">
        <f>HYPERLINK("http://www.degruyter.com/isbn/9781474469678")</f>
        <v>http://www.degruyter.com/isbn/9781474469678</v>
      </c>
      <c r="AI1882" t="s">
        <v>68</v>
      </c>
      <c r="AJ1882" t="s">
        <v>35</v>
      </c>
      <c r="AL1882" t="s">
        <v>1773</v>
      </c>
      <c r="AM1882">
        <v>1</v>
      </c>
      <c r="AN1882" s="2">
        <v>9780748635825</v>
      </c>
    </row>
    <row r="1883" spans="1:40" x14ac:dyDescent="0.3">
      <c r="A1883" t="s">
        <v>9124</v>
      </c>
      <c r="B1883" t="s">
        <v>1</v>
      </c>
      <c r="C1883" t="s">
        <v>9125</v>
      </c>
      <c r="E1883" t="s">
        <v>9126</v>
      </c>
      <c r="F1883" t="s">
        <v>5</v>
      </c>
      <c r="G1883" t="s">
        <v>6</v>
      </c>
      <c r="L1883" t="s">
        <v>7</v>
      </c>
      <c r="M1883">
        <v>2013</v>
      </c>
      <c r="N1883" s="1">
        <v>41414</v>
      </c>
      <c r="O1883" t="s">
        <v>9127</v>
      </c>
      <c r="P1883">
        <v>1</v>
      </c>
      <c r="Q1883" t="s">
        <v>5794</v>
      </c>
      <c r="S1883">
        <v>191.95</v>
      </c>
      <c r="T1883">
        <v>220</v>
      </c>
      <c r="U1883">
        <v>170</v>
      </c>
      <c r="V1883" t="s">
        <v>42</v>
      </c>
      <c r="W1883" t="s">
        <v>107</v>
      </c>
      <c r="X1883" t="s">
        <v>108</v>
      </c>
      <c r="Y1883" t="s">
        <v>109</v>
      </c>
      <c r="AF1883" t="s">
        <v>13</v>
      </c>
      <c r="AG1883" t="str">
        <f>HYPERLINK("https://doi.org/10.1515/9780748682607")</f>
        <v>https://doi.org/10.1515/9780748682607</v>
      </c>
      <c r="AH1883" t="str">
        <f>HYPERLINK("http://www.degruyter.com/isbn/9780748682607")</f>
        <v>http://www.degruyter.com/isbn/9780748682607</v>
      </c>
      <c r="AI1883" t="s">
        <v>68</v>
      </c>
      <c r="AL1883" t="s">
        <v>47</v>
      </c>
      <c r="AM1883">
        <v>1</v>
      </c>
      <c r="AN1883" s="2">
        <v>9780748639922</v>
      </c>
    </row>
    <row r="1884" spans="1:40" x14ac:dyDescent="0.3">
      <c r="A1884" t="s">
        <v>9128</v>
      </c>
      <c r="B1884" t="s">
        <v>1</v>
      </c>
      <c r="C1884" t="s">
        <v>9129</v>
      </c>
      <c r="D1884" t="s">
        <v>9130</v>
      </c>
      <c r="E1884" t="s">
        <v>9131</v>
      </c>
      <c r="F1884" t="s">
        <v>5</v>
      </c>
      <c r="G1884" t="s">
        <v>6</v>
      </c>
      <c r="L1884" t="s">
        <v>7</v>
      </c>
      <c r="M1884">
        <v>2017</v>
      </c>
      <c r="N1884" s="1">
        <v>42788</v>
      </c>
      <c r="O1884" t="s">
        <v>9132</v>
      </c>
      <c r="P1884">
        <v>1</v>
      </c>
      <c r="Q1884" t="s">
        <v>9133</v>
      </c>
      <c r="S1884">
        <v>217.95</v>
      </c>
      <c r="T1884">
        <v>250</v>
      </c>
      <c r="U1884">
        <v>190</v>
      </c>
      <c r="V1884" t="s">
        <v>98</v>
      </c>
      <c r="W1884" t="s">
        <v>366</v>
      </c>
      <c r="X1884" t="s">
        <v>367</v>
      </c>
      <c r="Y1884" t="s">
        <v>9134</v>
      </c>
      <c r="AF1884" t="s">
        <v>13</v>
      </c>
      <c r="AG1884" t="str">
        <f>HYPERLINK("https://doi.org/10.1515/9781474407380")</f>
        <v>https://doi.org/10.1515/9781474407380</v>
      </c>
      <c r="AH1884" t="str">
        <f>HYPERLINK("http://www.degruyter.com/isbn/9781474407380")</f>
        <v>http://www.degruyter.com/isbn/9781474407380</v>
      </c>
      <c r="AI1884" t="s">
        <v>222</v>
      </c>
      <c r="AL1884" t="s">
        <v>102</v>
      </c>
      <c r="AM1884">
        <v>1</v>
      </c>
      <c r="AN1884" s="2">
        <v>9781474407373</v>
      </c>
    </row>
    <row r="1885" spans="1:40" x14ac:dyDescent="0.3">
      <c r="A1885" t="s">
        <v>9135</v>
      </c>
      <c r="B1885" t="s">
        <v>1</v>
      </c>
      <c r="C1885" t="s">
        <v>9136</v>
      </c>
      <c r="E1885" t="s">
        <v>9137</v>
      </c>
      <c r="F1885" t="s">
        <v>5</v>
      </c>
      <c r="G1885" t="s">
        <v>6</v>
      </c>
      <c r="L1885" t="s">
        <v>7</v>
      </c>
      <c r="M1885">
        <v>2006</v>
      </c>
      <c r="N1885" s="1">
        <v>38806</v>
      </c>
      <c r="O1885" t="s">
        <v>6643</v>
      </c>
      <c r="P1885">
        <v>1</v>
      </c>
      <c r="Q1885" t="s">
        <v>6815</v>
      </c>
      <c r="S1885">
        <v>217.95</v>
      </c>
      <c r="T1885">
        <v>250</v>
      </c>
      <c r="U1885">
        <v>190</v>
      </c>
      <c r="V1885" t="s">
        <v>20</v>
      </c>
      <c r="W1885" t="s">
        <v>556</v>
      </c>
      <c r="X1885" t="s">
        <v>1731</v>
      </c>
      <c r="Y1885" t="s">
        <v>9138</v>
      </c>
      <c r="AF1885" t="s">
        <v>13</v>
      </c>
      <c r="AG1885" t="str">
        <f>HYPERLINK("https://doi.org/10.1515/9780748626564")</f>
        <v>https://doi.org/10.1515/9780748626564</v>
      </c>
      <c r="AH1885" t="str">
        <f>HYPERLINK("http://www.degruyter.com/isbn/9780748626564")</f>
        <v>http://www.degruyter.com/isbn/9780748626564</v>
      </c>
      <c r="AI1885" t="s">
        <v>68</v>
      </c>
      <c r="AL1885" t="s">
        <v>15</v>
      </c>
      <c r="AM1885">
        <v>1</v>
      </c>
      <c r="AN1885" s="2">
        <v>9780748619351</v>
      </c>
    </row>
    <row r="1886" spans="1:40" x14ac:dyDescent="0.3">
      <c r="A1886" t="s">
        <v>9139</v>
      </c>
      <c r="B1886" t="s">
        <v>1</v>
      </c>
      <c r="C1886" t="s">
        <v>9140</v>
      </c>
      <c r="D1886" t="s">
        <v>9141</v>
      </c>
      <c r="E1886" t="s">
        <v>9142</v>
      </c>
      <c r="F1886" t="s">
        <v>5</v>
      </c>
      <c r="G1886" t="s">
        <v>6</v>
      </c>
      <c r="L1886" t="s">
        <v>7</v>
      </c>
      <c r="M1886">
        <v>2009</v>
      </c>
      <c r="N1886" s="1">
        <v>40101</v>
      </c>
      <c r="O1886" t="s">
        <v>9143</v>
      </c>
      <c r="P1886">
        <v>1</v>
      </c>
      <c r="Q1886" t="s">
        <v>6659</v>
      </c>
      <c r="S1886">
        <v>243.95</v>
      </c>
      <c r="T1886">
        <v>280</v>
      </c>
      <c r="U1886">
        <v>210</v>
      </c>
      <c r="V1886" t="s">
        <v>268</v>
      </c>
      <c r="W1886" t="s">
        <v>269</v>
      </c>
      <c r="X1886" t="s">
        <v>269</v>
      </c>
      <c r="Y1886" t="s">
        <v>5838</v>
      </c>
      <c r="AF1886" t="s">
        <v>13</v>
      </c>
      <c r="AG1886" t="str">
        <f>HYPERLINK("https://doi.org/10.1515/9780748642120")</f>
        <v>https://doi.org/10.1515/9780748642120</v>
      </c>
      <c r="AH1886" t="str">
        <f>HYPERLINK("http://www.degruyter.com/isbn/9780748642120")</f>
        <v>http://www.degruyter.com/isbn/9780748642120</v>
      </c>
      <c r="AI1886" t="s">
        <v>412</v>
      </c>
      <c r="AL1886" t="s">
        <v>272</v>
      </c>
      <c r="AM1886">
        <v>1</v>
      </c>
      <c r="AN1886" s="2">
        <v>9780748638864</v>
      </c>
    </row>
    <row r="1887" spans="1:40" x14ac:dyDescent="0.3">
      <c r="A1887" t="s">
        <v>9144</v>
      </c>
      <c r="B1887" t="s">
        <v>1</v>
      </c>
      <c r="C1887" t="s">
        <v>9145</v>
      </c>
      <c r="D1887" t="s">
        <v>9146</v>
      </c>
      <c r="E1887" t="s">
        <v>9147</v>
      </c>
      <c r="F1887" t="s">
        <v>5</v>
      </c>
      <c r="G1887" t="s">
        <v>6</v>
      </c>
      <c r="L1887" t="s">
        <v>7</v>
      </c>
      <c r="M1887">
        <v>2021</v>
      </c>
      <c r="N1887" s="1">
        <v>44656</v>
      </c>
      <c r="O1887" t="s">
        <v>9148</v>
      </c>
      <c r="P1887">
        <v>1</v>
      </c>
      <c r="Q1887" t="s">
        <v>8081</v>
      </c>
      <c r="S1887">
        <v>227.95</v>
      </c>
      <c r="T1887">
        <v>260</v>
      </c>
      <c r="U1887">
        <v>200</v>
      </c>
      <c r="V1887" t="s">
        <v>20</v>
      </c>
      <c r="W1887" t="s">
        <v>21</v>
      </c>
      <c r="X1887" t="s">
        <v>22</v>
      </c>
      <c r="Y1887" t="s">
        <v>23</v>
      </c>
      <c r="AF1887" t="s">
        <v>13</v>
      </c>
      <c r="AG1887" t="str">
        <f>HYPERLINK("https://doi.org/10.1515/9781474483070")</f>
        <v>https://doi.org/10.1515/9781474483070</v>
      </c>
      <c r="AH1887" t="str">
        <f>HYPERLINK("http://www.degruyter.com/isbn/9781474483070")</f>
        <v>http://www.degruyter.com/isbn/9781474483070</v>
      </c>
      <c r="AI1887" t="s">
        <v>473</v>
      </c>
      <c r="AL1887" t="s">
        <v>15</v>
      </c>
      <c r="AM1887">
        <v>1</v>
      </c>
      <c r="AN1887" s="2">
        <v>9781474483056</v>
      </c>
    </row>
    <row r="1888" spans="1:40" x14ac:dyDescent="0.3">
      <c r="A1888" t="s">
        <v>9149</v>
      </c>
      <c r="B1888" t="s">
        <v>1</v>
      </c>
      <c r="C1888" t="s">
        <v>9150</v>
      </c>
      <c r="E1888" t="s">
        <v>9151</v>
      </c>
      <c r="F1888" t="s">
        <v>5</v>
      </c>
      <c r="G1888" t="s">
        <v>6</v>
      </c>
      <c r="L1888" t="s">
        <v>7</v>
      </c>
      <c r="M1888">
        <v>2016</v>
      </c>
      <c r="N1888" s="1">
        <v>42549</v>
      </c>
      <c r="O1888" t="s">
        <v>9152</v>
      </c>
      <c r="P1888">
        <v>1</v>
      </c>
      <c r="S1888">
        <v>227.95</v>
      </c>
      <c r="T1888">
        <v>260</v>
      </c>
      <c r="U1888">
        <v>200</v>
      </c>
      <c r="V1888" t="s">
        <v>9</v>
      </c>
      <c r="W1888" t="s">
        <v>10</v>
      </c>
      <c r="X1888" t="s">
        <v>11</v>
      </c>
      <c r="Y1888" t="s">
        <v>52</v>
      </c>
      <c r="AF1888" t="s">
        <v>13</v>
      </c>
      <c r="AG1888" t="str">
        <f>HYPERLINK("https://doi.org/10.1515/9780748693535")</f>
        <v>https://doi.org/10.1515/9780748693535</v>
      </c>
      <c r="AH1888" t="str">
        <f>HYPERLINK("http://www.degruyter.com/isbn/9780748693535")</f>
        <v>http://www.degruyter.com/isbn/9780748693535</v>
      </c>
      <c r="AI1888" t="s">
        <v>180</v>
      </c>
      <c r="AL1888" t="s">
        <v>15</v>
      </c>
      <c r="AM1888">
        <v>1</v>
      </c>
      <c r="AN1888" s="2">
        <v>9780748693528</v>
      </c>
    </row>
    <row r="1889" spans="1:40" x14ac:dyDescent="0.3">
      <c r="A1889" t="s">
        <v>9153</v>
      </c>
      <c r="B1889" t="s">
        <v>1</v>
      </c>
      <c r="C1889" t="s">
        <v>9154</v>
      </c>
      <c r="E1889" t="s">
        <v>9155</v>
      </c>
      <c r="F1889" t="s">
        <v>5</v>
      </c>
      <c r="G1889" t="s">
        <v>6</v>
      </c>
      <c r="L1889" t="s">
        <v>7</v>
      </c>
      <c r="M1889">
        <v>2006</v>
      </c>
      <c r="N1889" s="1">
        <v>38898</v>
      </c>
      <c r="O1889" t="s">
        <v>9156</v>
      </c>
      <c r="P1889">
        <v>1</v>
      </c>
      <c r="S1889">
        <v>243.95</v>
      </c>
      <c r="T1889">
        <v>280</v>
      </c>
      <c r="U1889">
        <v>210</v>
      </c>
      <c r="V1889" t="s">
        <v>58</v>
      </c>
      <c r="W1889" t="s">
        <v>59</v>
      </c>
      <c r="X1889" t="s">
        <v>60</v>
      </c>
      <c r="Y1889" t="s">
        <v>73</v>
      </c>
      <c r="AF1889" t="s">
        <v>13</v>
      </c>
      <c r="AG1889" t="str">
        <f>HYPERLINK("https://doi.org/10.1515/9780748627035?locatt=mode:legacy")</f>
        <v>https://doi.org/10.1515/9780748627035?locatt=mode:legacy</v>
      </c>
      <c r="AH1889" t="str">
        <f>HYPERLINK("http://www.degruyter.com/isbn/9780748627035")</f>
        <v>http://www.degruyter.com/isbn/9780748627035</v>
      </c>
      <c r="AI1889" t="s">
        <v>68</v>
      </c>
      <c r="AL1889" t="s">
        <v>62</v>
      </c>
      <c r="AM1889">
        <v>1</v>
      </c>
      <c r="AN1889" s="2">
        <v>9780748621446</v>
      </c>
    </row>
    <row r="1890" spans="1:40" x14ac:dyDescent="0.3">
      <c r="A1890" t="s">
        <v>9157</v>
      </c>
      <c r="B1890" t="s">
        <v>1</v>
      </c>
      <c r="C1890" t="s">
        <v>9158</v>
      </c>
      <c r="D1890" t="s">
        <v>9159</v>
      </c>
      <c r="E1890" t="s">
        <v>9160</v>
      </c>
      <c r="F1890" t="s">
        <v>5</v>
      </c>
      <c r="G1890" t="s">
        <v>6</v>
      </c>
      <c r="L1890" t="s">
        <v>7</v>
      </c>
      <c r="M1890">
        <v>2020</v>
      </c>
      <c r="N1890" s="1">
        <v>44644</v>
      </c>
      <c r="O1890" t="s">
        <v>9161</v>
      </c>
      <c r="P1890">
        <v>1</v>
      </c>
      <c r="Q1890" t="s">
        <v>9162</v>
      </c>
      <c r="S1890">
        <v>217.95</v>
      </c>
      <c r="T1890">
        <v>250</v>
      </c>
      <c r="U1890">
        <v>190</v>
      </c>
      <c r="V1890" t="s">
        <v>42</v>
      </c>
      <c r="W1890" t="s">
        <v>107</v>
      </c>
      <c r="X1890" t="s">
        <v>108</v>
      </c>
      <c r="Y1890" t="s">
        <v>952</v>
      </c>
      <c r="AF1890" t="s">
        <v>13</v>
      </c>
      <c r="AG1890" t="str">
        <f>HYPERLINK("https://doi.org/10.1515/9781474402095")</f>
        <v>https://doi.org/10.1515/9781474402095</v>
      </c>
      <c r="AH1890" t="str">
        <f>HYPERLINK("http://www.degruyter.com/isbn/9781474402095")</f>
        <v>http://www.degruyter.com/isbn/9781474402095</v>
      </c>
      <c r="AI1890" t="s">
        <v>14</v>
      </c>
      <c r="AL1890" t="s">
        <v>47</v>
      </c>
      <c r="AM1890">
        <v>1</v>
      </c>
      <c r="AN1890" s="2">
        <v>9781474402088</v>
      </c>
    </row>
    <row r="1891" spans="1:40" x14ac:dyDescent="0.3">
      <c r="A1891" t="s">
        <v>9163</v>
      </c>
      <c r="B1891" t="s">
        <v>1</v>
      </c>
      <c r="C1891" t="s">
        <v>9164</v>
      </c>
      <c r="D1891" t="s">
        <v>9165</v>
      </c>
      <c r="E1891" t="s">
        <v>9166</v>
      </c>
      <c r="F1891" t="s">
        <v>5</v>
      </c>
      <c r="G1891" t="s">
        <v>6</v>
      </c>
      <c r="L1891" t="s">
        <v>7</v>
      </c>
      <c r="M1891">
        <v>2019</v>
      </c>
      <c r="N1891" s="1">
        <v>44656</v>
      </c>
      <c r="O1891" t="s">
        <v>9167</v>
      </c>
      <c r="P1891">
        <v>1</v>
      </c>
      <c r="Q1891" t="s">
        <v>7283</v>
      </c>
      <c r="S1891">
        <v>217.95</v>
      </c>
      <c r="T1891">
        <v>250</v>
      </c>
      <c r="U1891">
        <v>190</v>
      </c>
      <c r="V1891" t="s">
        <v>9</v>
      </c>
      <c r="W1891" t="s">
        <v>10</v>
      </c>
      <c r="X1891" t="s">
        <v>11</v>
      </c>
      <c r="Y1891" t="s">
        <v>12</v>
      </c>
      <c r="AF1891" t="s">
        <v>13</v>
      </c>
      <c r="AG1891" t="str">
        <f>HYPERLINK("https://doi.org/10.1515/9780748697489")</f>
        <v>https://doi.org/10.1515/9780748697489</v>
      </c>
      <c r="AH1891" t="str">
        <f>HYPERLINK("http://www.degruyter.com/isbn/9780748697489")</f>
        <v>http://www.degruyter.com/isbn/9780748697489</v>
      </c>
      <c r="AI1891" t="s">
        <v>280</v>
      </c>
      <c r="AL1891" t="s">
        <v>15</v>
      </c>
      <c r="AM1891">
        <v>1</v>
      </c>
      <c r="AN1891" s="2">
        <v>9780748697472</v>
      </c>
    </row>
    <row r="1892" spans="1:40" x14ac:dyDescent="0.3">
      <c r="A1892" t="s">
        <v>9168</v>
      </c>
      <c r="B1892" t="s">
        <v>1</v>
      </c>
      <c r="C1892" t="s">
        <v>9169</v>
      </c>
      <c r="E1892" t="s">
        <v>9170</v>
      </c>
      <c r="F1892" t="s">
        <v>5</v>
      </c>
      <c r="G1892" t="s">
        <v>6</v>
      </c>
      <c r="L1892" t="s">
        <v>7</v>
      </c>
      <c r="M1892">
        <v>2019</v>
      </c>
      <c r="N1892" s="1">
        <v>44656</v>
      </c>
      <c r="O1892" t="s">
        <v>9171</v>
      </c>
      <c r="P1892">
        <v>1</v>
      </c>
      <c r="S1892">
        <v>227.95</v>
      </c>
      <c r="T1892">
        <v>260</v>
      </c>
      <c r="U1892">
        <v>200</v>
      </c>
      <c r="V1892" t="s">
        <v>42</v>
      </c>
      <c r="W1892" t="s">
        <v>290</v>
      </c>
      <c r="X1892" t="s">
        <v>290</v>
      </c>
      <c r="Y1892" t="s">
        <v>515</v>
      </c>
      <c r="AF1892" t="s">
        <v>13</v>
      </c>
      <c r="AG1892" t="str">
        <f>HYPERLINK("https://doi.org/10.1515/9781474439473")</f>
        <v>https://doi.org/10.1515/9781474439473</v>
      </c>
      <c r="AH1892" t="str">
        <f>HYPERLINK("http://www.degruyter.com/isbn/9781474439473")</f>
        <v>http://www.degruyter.com/isbn/9781474439473</v>
      </c>
      <c r="AI1892" t="s">
        <v>280</v>
      </c>
      <c r="AL1892" t="s">
        <v>47</v>
      </c>
      <c r="AM1892">
        <v>1</v>
      </c>
      <c r="AN1892" s="2">
        <v>9781474439459</v>
      </c>
    </row>
    <row r="1893" spans="1:40" x14ac:dyDescent="0.3">
      <c r="A1893" t="s">
        <v>9172</v>
      </c>
      <c r="B1893" t="s">
        <v>1</v>
      </c>
      <c r="C1893" t="s">
        <v>9173</v>
      </c>
      <c r="D1893" t="s">
        <v>9174</v>
      </c>
      <c r="E1893" t="s">
        <v>9175</v>
      </c>
      <c r="F1893" t="s">
        <v>5</v>
      </c>
      <c r="G1893" t="s">
        <v>6</v>
      </c>
      <c r="L1893" t="s">
        <v>7</v>
      </c>
      <c r="M1893">
        <v>1996</v>
      </c>
      <c r="N1893" s="1">
        <v>44719</v>
      </c>
      <c r="O1893" t="s">
        <v>9176</v>
      </c>
      <c r="P1893">
        <v>1</v>
      </c>
      <c r="S1893">
        <v>217.95</v>
      </c>
      <c r="T1893">
        <v>250</v>
      </c>
      <c r="U1893">
        <v>190</v>
      </c>
      <c r="V1893" t="s">
        <v>42</v>
      </c>
      <c r="W1893" t="s">
        <v>116</v>
      </c>
      <c r="X1893" t="s">
        <v>116</v>
      </c>
      <c r="Y1893" t="s">
        <v>9177</v>
      </c>
      <c r="AF1893" t="s">
        <v>13</v>
      </c>
      <c r="AG1893" t="str">
        <f>HYPERLINK("https://www.degruyter.com/isbn/9781474465687")</f>
        <v>https://www.degruyter.com/isbn/9781474465687</v>
      </c>
      <c r="AH1893" t="str">
        <f>HYPERLINK("http://www.degruyter.com/isbn/9781474465687")</f>
        <v>http://www.degruyter.com/isbn/9781474465687</v>
      </c>
      <c r="AI1893" t="s">
        <v>24</v>
      </c>
      <c r="AL1893" t="s">
        <v>47</v>
      </c>
      <c r="AM1893">
        <v>1</v>
      </c>
      <c r="AN1893" s="2">
        <v>9781853310706</v>
      </c>
    </row>
    <row r="1894" spans="1:40" x14ac:dyDescent="0.3">
      <c r="A1894" t="s">
        <v>9178</v>
      </c>
      <c r="B1894" t="s">
        <v>1</v>
      </c>
      <c r="C1894" t="s">
        <v>9179</v>
      </c>
      <c r="D1894" t="s">
        <v>9180</v>
      </c>
      <c r="E1894" t="s">
        <v>9181</v>
      </c>
      <c r="F1894" t="s">
        <v>5</v>
      </c>
      <c r="G1894" t="s">
        <v>6</v>
      </c>
      <c r="L1894" t="s">
        <v>7</v>
      </c>
      <c r="M1894">
        <v>2014</v>
      </c>
      <c r="N1894" s="1">
        <v>41983</v>
      </c>
      <c r="O1894" t="s">
        <v>9182</v>
      </c>
      <c r="P1894">
        <v>1</v>
      </c>
      <c r="S1894">
        <v>217.95</v>
      </c>
      <c r="T1894">
        <v>250</v>
      </c>
      <c r="U1894">
        <v>190</v>
      </c>
      <c r="V1894" t="s">
        <v>79</v>
      </c>
      <c r="W1894" t="s">
        <v>123</v>
      </c>
      <c r="X1894" t="s">
        <v>123</v>
      </c>
      <c r="Y1894" t="s">
        <v>124</v>
      </c>
      <c r="AF1894" t="s">
        <v>13</v>
      </c>
      <c r="AG1894" t="str">
        <f>HYPERLINK("https://doi.org/10.1515/9780748644063?locatt=mode:legacy")</f>
        <v>https://doi.org/10.1515/9780748644063?locatt=mode:legacy</v>
      </c>
      <c r="AH1894" t="str">
        <f>HYPERLINK("http://www.degruyter.com/isbn/9780748644063")</f>
        <v>http://www.degruyter.com/isbn/9780748644063</v>
      </c>
      <c r="AI1894" t="s">
        <v>34</v>
      </c>
      <c r="AL1894" t="s">
        <v>83</v>
      </c>
      <c r="AM1894">
        <v>1</v>
      </c>
      <c r="AN1894" s="2">
        <v>9780748644056</v>
      </c>
    </row>
    <row r="1895" spans="1:40" x14ac:dyDescent="0.3">
      <c r="A1895" t="s">
        <v>9183</v>
      </c>
      <c r="B1895" t="s">
        <v>1</v>
      </c>
      <c r="C1895" t="s">
        <v>9184</v>
      </c>
      <c r="D1895" t="s">
        <v>9185</v>
      </c>
      <c r="E1895" t="s">
        <v>9186</v>
      </c>
      <c r="F1895" t="s">
        <v>5</v>
      </c>
      <c r="G1895" t="s">
        <v>6</v>
      </c>
      <c r="L1895" t="s">
        <v>7</v>
      </c>
      <c r="M1895">
        <v>2015</v>
      </c>
      <c r="N1895" s="1">
        <v>42157</v>
      </c>
      <c r="O1895" t="s">
        <v>9187</v>
      </c>
      <c r="P1895">
        <v>1</v>
      </c>
      <c r="Q1895" t="s">
        <v>7728</v>
      </c>
      <c r="S1895">
        <v>217.95</v>
      </c>
      <c r="T1895">
        <v>250</v>
      </c>
      <c r="U1895">
        <v>190</v>
      </c>
      <c r="V1895" t="s">
        <v>20</v>
      </c>
      <c r="W1895" t="s">
        <v>21</v>
      </c>
      <c r="X1895" t="s">
        <v>575</v>
      </c>
      <c r="Y1895" t="s">
        <v>576</v>
      </c>
      <c r="AF1895" t="s">
        <v>13</v>
      </c>
      <c r="AG1895" t="str">
        <f>HYPERLINK("https://doi.org/10.1515/9780748694402")</f>
        <v>https://doi.org/10.1515/9780748694402</v>
      </c>
      <c r="AH1895" t="str">
        <f>HYPERLINK("http://www.degruyter.com/isbn/9780748694402")</f>
        <v>http://www.degruyter.com/isbn/9780748694402</v>
      </c>
      <c r="AI1895" t="s">
        <v>34</v>
      </c>
      <c r="AL1895" t="s">
        <v>15</v>
      </c>
      <c r="AM1895">
        <v>1</v>
      </c>
      <c r="AN1895" s="2">
        <v>9780748694396</v>
      </c>
    </row>
    <row r="1896" spans="1:40" x14ac:dyDescent="0.3">
      <c r="A1896" t="s">
        <v>9188</v>
      </c>
      <c r="B1896" t="s">
        <v>1</v>
      </c>
      <c r="C1896" t="s">
        <v>9189</v>
      </c>
      <c r="E1896" t="s">
        <v>9190</v>
      </c>
      <c r="F1896" t="s">
        <v>5</v>
      </c>
      <c r="G1896" t="s">
        <v>6</v>
      </c>
      <c r="L1896" t="s">
        <v>7</v>
      </c>
      <c r="M1896">
        <v>2005</v>
      </c>
      <c r="N1896" s="1">
        <v>38397</v>
      </c>
      <c r="O1896" t="s">
        <v>9191</v>
      </c>
      <c r="P1896">
        <v>1</v>
      </c>
      <c r="S1896">
        <v>279.95</v>
      </c>
      <c r="T1896">
        <v>320</v>
      </c>
      <c r="U1896">
        <v>240</v>
      </c>
      <c r="V1896" t="s">
        <v>42</v>
      </c>
      <c r="W1896" t="s">
        <v>107</v>
      </c>
      <c r="X1896" t="s">
        <v>108</v>
      </c>
      <c r="Y1896" t="s">
        <v>2244</v>
      </c>
      <c r="AF1896" t="s">
        <v>13</v>
      </c>
      <c r="AG1896" t="str">
        <f>HYPERLINK("https://doi.org/10.1515/9780748680764?locatt=mode:legacy")</f>
        <v>https://doi.org/10.1515/9780748680764?locatt=mode:legacy</v>
      </c>
      <c r="AH1896" t="str">
        <f>HYPERLINK("http://www.degruyter.com/isbn/9780748680764")</f>
        <v>http://www.degruyter.com/isbn/9780748680764</v>
      </c>
      <c r="AI1896" t="s">
        <v>68</v>
      </c>
      <c r="AL1896" t="s">
        <v>47</v>
      </c>
      <c r="AM1896">
        <v>1</v>
      </c>
      <c r="AN1896" s="2">
        <v>9780748621033</v>
      </c>
    </row>
    <row r="1897" spans="1:40" x14ac:dyDescent="0.3">
      <c r="A1897" t="s">
        <v>9192</v>
      </c>
      <c r="B1897" t="s">
        <v>1</v>
      </c>
      <c r="C1897" t="s">
        <v>9193</v>
      </c>
      <c r="E1897" t="s">
        <v>9194</v>
      </c>
      <c r="F1897" t="s">
        <v>5</v>
      </c>
      <c r="G1897" t="s">
        <v>6</v>
      </c>
      <c r="L1897" t="s">
        <v>7</v>
      </c>
      <c r="M1897">
        <v>2008</v>
      </c>
      <c r="N1897" s="1">
        <v>39800</v>
      </c>
      <c r="O1897" t="s">
        <v>9195</v>
      </c>
      <c r="P1897">
        <v>1</v>
      </c>
      <c r="Q1897" t="s">
        <v>6929</v>
      </c>
      <c r="S1897">
        <v>243.95</v>
      </c>
      <c r="T1897">
        <v>280</v>
      </c>
      <c r="U1897">
        <v>210</v>
      </c>
      <c r="V1897" t="s">
        <v>58</v>
      </c>
      <c r="W1897" t="s">
        <v>129</v>
      </c>
      <c r="X1897" t="s">
        <v>504</v>
      </c>
      <c r="Y1897" t="s">
        <v>9196</v>
      </c>
      <c r="AF1897" t="s">
        <v>13</v>
      </c>
      <c r="AG1897" t="str">
        <f>HYPERLINK("https://doi.org/10.1515/9780748636679?locatt=mode:legacy")</f>
        <v>https://doi.org/10.1515/9780748636679?locatt=mode:legacy</v>
      </c>
      <c r="AH1897" t="str">
        <f>HYPERLINK("http://www.degruyter.com/isbn/9780748636679")</f>
        <v>http://www.degruyter.com/isbn/9780748636679</v>
      </c>
      <c r="AI1897" t="s">
        <v>68</v>
      </c>
      <c r="AL1897" t="s">
        <v>62</v>
      </c>
      <c r="AM1897">
        <v>1</v>
      </c>
      <c r="AN1897" s="2">
        <v>9780748635184</v>
      </c>
    </row>
    <row r="1898" spans="1:40" x14ac:dyDescent="0.3">
      <c r="A1898" t="s">
        <v>9197</v>
      </c>
      <c r="B1898" t="s">
        <v>1</v>
      </c>
      <c r="C1898" t="s">
        <v>9198</v>
      </c>
      <c r="D1898" t="s">
        <v>4280</v>
      </c>
      <c r="E1898" t="s">
        <v>9199</v>
      </c>
      <c r="F1898" t="s">
        <v>5</v>
      </c>
      <c r="G1898" t="s">
        <v>6</v>
      </c>
      <c r="L1898" t="s">
        <v>7</v>
      </c>
      <c r="M1898">
        <v>2010</v>
      </c>
      <c r="N1898" s="1">
        <v>40365</v>
      </c>
      <c r="O1898" t="s">
        <v>9200</v>
      </c>
      <c r="P1898">
        <v>1</v>
      </c>
      <c r="S1898">
        <v>227.95</v>
      </c>
      <c r="T1898">
        <v>260</v>
      </c>
      <c r="U1898">
        <v>200</v>
      </c>
      <c r="V1898" t="s">
        <v>42</v>
      </c>
      <c r="W1898" t="s">
        <v>116</v>
      </c>
      <c r="X1898" t="s">
        <v>116</v>
      </c>
      <c r="Y1898" t="s">
        <v>117</v>
      </c>
      <c r="AF1898" t="s">
        <v>13</v>
      </c>
      <c r="AG1898" t="str">
        <f>HYPERLINK("https://doi.org/10.1515/9780748630752?locatt=mode:legacy")</f>
        <v>https://doi.org/10.1515/9780748630752?locatt=mode:legacy</v>
      </c>
      <c r="AH1898" t="str">
        <f>HYPERLINK("http://www.degruyter.com/isbn/9780748630752")</f>
        <v>http://www.degruyter.com/isbn/9780748630752</v>
      </c>
      <c r="AI1898" t="s">
        <v>68</v>
      </c>
      <c r="AL1898" t="s">
        <v>47</v>
      </c>
      <c r="AM1898">
        <v>1</v>
      </c>
      <c r="AN1898" s="2">
        <v>9780748625093</v>
      </c>
    </row>
    <row r="1899" spans="1:40" x14ac:dyDescent="0.3">
      <c r="A1899" t="s">
        <v>9201</v>
      </c>
      <c r="B1899" t="s">
        <v>1</v>
      </c>
      <c r="C1899" t="s">
        <v>9202</v>
      </c>
      <c r="E1899" t="s">
        <v>9203</v>
      </c>
      <c r="F1899" t="s">
        <v>5</v>
      </c>
      <c r="G1899" t="s">
        <v>6</v>
      </c>
      <c r="L1899" t="s">
        <v>7</v>
      </c>
      <c r="M1899">
        <v>2016</v>
      </c>
      <c r="N1899" s="1">
        <v>42717</v>
      </c>
      <c r="O1899" t="s">
        <v>9204</v>
      </c>
      <c r="P1899">
        <v>1</v>
      </c>
      <c r="Q1899" t="s">
        <v>6779</v>
      </c>
      <c r="S1899">
        <v>217.95</v>
      </c>
      <c r="T1899">
        <v>250</v>
      </c>
      <c r="U1899">
        <v>190</v>
      </c>
      <c r="V1899" t="s">
        <v>9</v>
      </c>
      <c r="W1899" t="s">
        <v>10</v>
      </c>
      <c r="X1899" t="s">
        <v>11</v>
      </c>
      <c r="Y1899" t="s">
        <v>52</v>
      </c>
      <c r="AF1899" t="s">
        <v>13</v>
      </c>
      <c r="AG1899" t="str">
        <f>HYPERLINK("https://doi.org/10.1515/9781474412674")</f>
        <v>https://doi.org/10.1515/9781474412674</v>
      </c>
      <c r="AH1899" t="str">
        <f>HYPERLINK("http://www.degruyter.com/isbn/9781474412674")</f>
        <v>http://www.degruyter.com/isbn/9781474412674</v>
      </c>
      <c r="AI1899" t="s">
        <v>180</v>
      </c>
      <c r="AJ1899" t="s">
        <v>35</v>
      </c>
      <c r="AL1899" t="s">
        <v>53</v>
      </c>
      <c r="AM1899">
        <v>1</v>
      </c>
      <c r="AN1899" s="2">
        <v>9781474412667</v>
      </c>
    </row>
    <row r="1900" spans="1:40" x14ac:dyDescent="0.3">
      <c r="A1900" t="s">
        <v>9205</v>
      </c>
      <c r="B1900" t="s">
        <v>1</v>
      </c>
      <c r="C1900" t="s">
        <v>9206</v>
      </c>
      <c r="E1900" t="s">
        <v>9207</v>
      </c>
      <c r="F1900" t="s">
        <v>5</v>
      </c>
      <c r="G1900" t="s">
        <v>6</v>
      </c>
      <c r="L1900" t="s">
        <v>7</v>
      </c>
      <c r="M1900">
        <v>1996</v>
      </c>
      <c r="N1900" s="1">
        <v>44607</v>
      </c>
      <c r="O1900" t="s">
        <v>9208</v>
      </c>
      <c r="P1900">
        <v>1</v>
      </c>
      <c r="Q1900" t="s">
        <v>6929</v>
      </c>
      <c r="S1900">
        <v>217.95</v>
      </c>
      <c r="T1900">
        <v>250</v>
      </c>
      <c r="U1900">
        <v>190</v>
      </c>
      <c r="V1900" t="s">
        <v>58</v>
      </c>
      <c r="W1900" t="s">
        <v>129</v>
      </c>
      <c r="X1900" t="s">
        <v>504</v>
      </c>
      <c r="Y1900" t="s">
        <v>505</v>
      </c>
      <c r="AF1900" t="s">
        <v>13</v>
      </c>
      <c r="AG1900" t="str">
        <f>HYPERLINK("https://doi.org/10.1515/9781474468299")</f>
        <v>https://doi.org/10.1515/9781474468299</v>
      </c>
      <c r="AH1900" t="str">
        <f>HYPERLINK("http://www.degruyter.com/isbn/9781474468299")</f>
        <v>http://www.degruyter.com/isbn/9781474468299</v>
      </c>
      <c r="AI1900" t="s">
        <v>24</v>
      </c>
      <c r="AL1900" t="s">
        <v>62</v>
      </c>
      <c r="AM1900">
        <v>1</v>
      </c>
      <c r="AN1900" s="2">
        <v>9780748607860</v>
      </c>
    </row>
    <row r="1901" spans="1:40" x14ac:dyDescent="0.3">
      <c r="A1901" t="s">
        <v>9209</v>
      </c>
      <c r="B1901" t="s">
        <v>1</v>
      </c>
      <c r="C1901" t="s">
        <v>9210</v>
      </c>
      <c r="D1901" t="s">
        <v>9211</v>
      </c>
      <c r="E1901" t="s">
        <v>9212</v>
      </c>
      <c r="F1901" t="s">
        <v>5</v>
      </c>
      <c r="G1901" t="s">
        <v>6</v>
      </c>
      <c r="L1901" t="s">
        <v>7</v>
      </c>
      <c r="M1901">
        <v>2013</v>
      </c>
      <c r="N1901" s="1">
        <v>41436</v>
      </c>
      <c r="O1901" t="s">
        <v>9213</v>
      </c>
      <c r="P1901">
        <v>1</v>
      </c>
      <c r="Q1901" t="s">
        <v>7728</v>
      </c>
      <c r="S1901">
        <v>217.95</v>
      </c>
      <c r="T1901">
        <v>250</v>
      </c>
      <c r="U1901">
        <v>190</v>
      </c>
      <c r="V1901" t="s">
        <v>42</v>
      </c>
      <c r="W1901" t="s">
        <v>107</v>
      </c>
      <c r="X1901" t="s">
        <v>108</v>
      </c>
      <c r="Y1901" t="s">
        <v>109</v>
      </c>
      <c r="AF1901" t="s">
        <v>13</v>
      </c>
      <c r="AG1901" t="str">
        <f>HYPERLINK("https://doi.org/10.1515/9780748670505")</f>
        <v>https://doi.org/10.1515/9780748670505</v>
      </c>
      <c r="AH1901" t="str">
        <f>HYPERLINK("http://www.degruyter.com/isbn/9780748670505")</f>
        <v>http://www.degruyter.com/isbn/9780748670505</v>
      </c>
      <c r="AI1901" t="s">
        <v>68</v>
      </c>
      <c r="AL1901" t="s">
        <v>47</v>
      </c>
      <c r="AM1901">
        <v>1</v>
      </c>
      <c r="AN1901" s="2">
        <v>9780748670499</v>
      </c>
    </row>
    <row r="1902" spans="1:40" x14ac:dyDescent="0.3">
      <c r="A1902" t="s">
        <v>9214</v>
      </c>
      <c r="B1902" t="s">
        <v>1</v>
      </c>
      <c r="C1902" t="s">
        <v>9215</v>
      </c>
      <c r="D1902" t="s">
        <v>9216</v>
      </c>
      <c r="E1902" t="s">
        <v>9217</v>
      </c>
      <c r="F1902" t="s">
        <v>5</v>
      </c>
      <c r="G1902" t="s">
        <v>6</v>
      </c>
      <c r="L1902" t="s">
        <v>7</v>
      </c>
      <c r="M1902">
        <v>2017</v>
      </c>
      <c r="N1902" s="1">
        <v>42769</v>
      </c>
      <c r="O1902" t="s">
        <v>9218</v>
      </c>
      <c r="P1902">
        <v>1</v>
      </c>
      <c r="S1902">
        <v>217.95</v>
      </c>
      <c r="T1902">
        <v>250</v>
      </c>
      <c r="U1902">
        <v>190</v>
      </c>
      <c r="V1902" t="s">
        <v>20</v>
      </c>
      <c r="W1902" t="s">
        <v>556</v>
      </c>
      <c r="X1902" t="s">
        <v>1731</v>
      </c>
      <c r="Y1902" t="s">
        <v>3154</v>
      </c>
      <c r="AF1902" t="s">
        <v>13</v>
      </c>
      <c r="AG1902" t="str">
        <f>HYPERLINK("https://doi.org/10.1515/9781474416573")</f>
        <v>https://doi.org/10.1515/9781474416573</v>
      </c>
      <c r="AH1902" t="str">
        <f>HYPERLINK("http://www.degruyter.com/isbn/9781474416573")</f>
        <v>http://www.degruyter.com/isbn/9781474416573</v>
      </c>
      <c r="AI1902" t="s">
        <v>222</v>
      </c>
      <c r="AL1902" t="s">
        <v>15</v>
      </c>
      <c r="AM1902">
        <v>1</v>
      </c>
      <c r="AN1902" s="2">
        <v>9781474416566</v>
      </c>
    </row>
    <row r="1903" spans="1:40" x14ac:dyDescent="0.3">
      <c r="A1903" t="s">
        <v>9219</v>
      </c>
      <c r="B1903" t="s">
        <v>1</v>
      </c>
      <c r="C1903" t="s">
        <v>9220</v>
      </c>
      <c r="E1903" t="s">
        <v>9221</v>
      </c>
      <c r="F1903" t="s">
        <v>5</v>
      </c>
      <c r="G1903" t="s">
        <v>6</v>
      </c>
      <c r="L1903" t="s">
        <v>7</v>
      </c>
      <c r="M1903">
        <v>2016</v>
      </c>
      <c r="N1903" s="1">
        <v>42515</v>
      </c>
      <c r="O1903" t="s">
        <v>9222</v>
      </c>
      <c r="P1903">
        <v>1</v>
      </c>
      <c r="Q1903" t="s">
        <v>8702</v>
      </c>
      <c r="S1903">
        <v>253.95</v>
      </c>
      <c r="T1903">
        <v>290</v>
      </c>
      <c r="U1903">
        <v>220</v>
      </c>
      <c r="V1903" t="s">
        <v>79</v>
      </c>
      <c r="W1903" t="s">
        <v>734</v>
      </c>
      <c r="X1903" t="s">
        <v>734</v>
      </c>
      <c r="Y1903" t="s">
        <v>735</v>
      </c>
      <c r="AF1903" t="s">
        <v>13</v>
      </c>
      <c r="AG1903" t="str">
        <f>HYPERLINK("https://doi.org/10.1515/9781474413640")</f>
        <v>https://doi.org/10.1515/9781474413640</v>
      </c>
      <c r="AH1903" t="str">
        <f>HYPERLINK("http://www.degruyter.com/isbn/9781474413640")</f>
        <v>http://www.degruyter.com/isbn/9781474413640</v>
      </c>
      <c r="AI1903" t="s">
        <v>180</v>
      </c>
      <c r="AL1903" t="s">
        <v>83</v>
      </c>
      <c r="AM1903">
        <v>1</v>
      </c>
      <c r="AN1903" s="2">
        <v>9781474413626</v>
      </c>
    </row>
    <row r="1904" spans="1:40" x14ac:dyDescent="0.3">
      <c r="A1904" t="s">
        <v>9223</v>
      </c>
      <c r="B1904" t="s">
        <v>1</v>
      </c>
      <c r="C1904" t="s">
        <v>9224</v>
      </c>
      <c r="E1904" t="s">
        <v>9225</v>
      </c>
      <c r="F1904" t="s">
        <v>5</v>
      </c>
      <c r="G1904" t="s">
        <v>6</v>
      </c>
      <c r="L1904" t="s">
        <v>7</v>
      </c>
      <c r="M1904">
        <v>2016</v>
      </c>
      <c r="N1904" s="1">
        <v>42692</v>
      </c>
      <c r="O1904" t="s">
        <v>9226</v>
      </c>
      <c r="P1904">
        <v>1</v>
      </c>
      <c r="S1904">
        <v>217.95</v>
      </c>
      <c r="T1904">
        <v>250</v>
      </c>
      <c r="U1904">
        <v>190</v>
      </c>
      <c r="V1904" t="s">
        <v>42</v>
      </c>
      <c r="W1904" t="s">
        <v>43</v>
      </c>
      <c r="X1904" t="s">
        <v>44</v>
      </c>
      <c r="Y1904" t="s">
        <v>45</v>
      </c>
      <c r="AF1904" t="s">
        <v>13</v>
      </c>
      <c r="AG1904" t="str">
        <f>HYPERLINK("https://doi.org/10.1515/9781474413824")</f>
        <v>https://doi.org/10.1515/9781474413824</v>
      </c>
      <c r="AH1904" t="str">
        <f>HYPERLINK("http://www.degruyter.com/isbn/9781474413824")</f>
        <v>http://www.degruyter.com/isbn/9781474413824</v>
      </c>
      <c r="AI1904" t="s">
        <v>180</v>
      </c>
      <c r="AL1904" t="s">
        <v>47</v>
      </c>
      <c r="AM1904">
        <v>1</v>
      </c>
      <c r="AN1904" s="2">
        <v>9781474413817</v>
      </c>
    </row>
    <row r="1905" spans="1:40" x14ac:dyDescent="0.3">
      <c r="A1905" t="s">
        <v>9227</v>
      </c>
      <c r="B1905" t="s">
        <v>1</v>
      </c>
      <c r="C1905" t="s">
        <v>9228</v>
      </c>
      <c r="D1905" t="s">
        <v>9229</v>
      </c>
      <c r="E1905" t="s">
        <v>9230</v>
      </c>
      <c r="F1905" t="s">
        <v>5</v>
      </c>
      <c r="G1905" t="s">
        <v>6</v>
      </c>
      <c r="L1905" t="s">
        <v>7</v>
      </c>
      <c r="M1905">
        <v>2005</v>
      </c>
      <c r="N1905" s="1">
        <v>44592</v>
      </c>
      <c r="O1905" t="s">
        <v>9231</v>
      </c>
      <c r="P1905">
        <v>1</v>
      </c>
      <c r="S1905">
        <v>217.95</v>
      </c>
      <c r="T1905">
        <v>250</v>
      </c>
      <c r="U1905">
        <v>190</v>
      </c>
      <c r="V1905" t="s">
        <v>9</v>
      </c>
      <c r="W1905" t="s">
        <v>2817</v>
      </c>
      <c r="X1905" t="s">
        <v>2818</v>
      </c>
      <c r="Y1905" t="s">
        <v>2819</v>
      </c>
      <c r="AF1905" t="s">
        <v>13</v>
      </c>
      <c r="AG1905" t="str">
        <f>HYPERLINK("https://doi.org/10.1515/9781474471879")</f>
        <v>https://doi.org/10.1515/9781474471879</v>
      </c>
      <c r="AH1905" t="str">
        <f>HYPERLINK("http://www.degruyter.com/isbn/9781474471879")</f>
        <v>http://www.degruyter.com/isbn/9781474471879</v>
      </c>
      <c r="AI1905" t="s">
        <v>68</v>
      </c>
      <c r="AL1905" t="s">
        <v>15</v>
      </c>
      <c r="AM1905">
        <v>1</v>
      </c>
      <c r="AN1905" s="2">
        <v>9780748618453</v>
      </c>
    </row>
    <row r="1906" spans="1:40" x14ac:dyDescent="0.3">
      <c r="A1906" t="s">
        <v>9232</v>
      </c>
      <c r="B1906" t="s">
        <v>1</v>
      </c>
      <c r="C1906" t="s">
        <v>9233</v>
      </c>
      <c r="E1906" t="s">
        <v>9234</v>
      </c>
      <c r="F1906" t="s">
        <v>5</v>
      </c>
      <c r="G1906" t="s">
        <v>6</v>
      </c>
      <c r="L1906" t="s">
        <v>7</v>
      </c>
      <c r="M1906">
        <v>2003</v>
      </c>
      <c r="N1906" s="1">
        <v>44607</v>
      </c>
      <c r="O1906" t="s">
        <v>9235</v>
      </c>
      <c r="P1906">
        <v>1</v>
      </c>
      <c r="Q1906" t="s">
        <v>6815</v>
      </c>
      <c r="S1906">
        <v>217.95</v>
      </c>
      <c r="T1906">
        <v>250</v>
      </c>
      <c r="U1906">
        <v>190</v>
      </c>
      <c r="V1906" t="s">
        <v>20</v>
      </c>
      <c r="W1906" t="s">
        <v>556</v>
      </c>
      <c r="X1906" t="s">
        <v>1731</v>
      </c>
      <c r="Y1906" t="s">
        <v>9236</v>
      </c>
      <c r="AF1906" t="s">
        <v>13</v>
      </c>
      <c r="AG1906" t="str">
        <f>HYPERLINK("https://doi.org/10.1515/9781474473118")</f>
        <v>https://doi.org/10.1515/9781474473118</v>
      </c>
      <c r="AH1906" t="str">
        <f>HYPERLINK("http://www.degruyter.com/isbn/9781474473118")</f>
        <v>http://www.degruyter.com/isbn/9781474473118</v>
      </c>
      <c r="AI1906" t="s">
        <v>68</v>
      </c>
      <c r="AL1906" t="s">
        <v>15</v>
      </c>
      <c r="AM1906">
        <v>1</v>
      </c>
      <c r="AN1906" s="2">
        <v>9780748615339</v>
      </c>
    </row>
    <row r="1907" spans="1:40" x14ac:dyDescent="0.3">
      <c r="A1907" t="s">
        <v>9237</v>
      </c>
      <c r="B1907" t="s">
        <v>1</v>
      </c>
      <c r="C1907" t="s">
        <v>9238</v>
      </c>
      <c r="E1907" t="s">
        <v>9239</v>
      </c>
      <c r="F1907" t="s">
        <v>5</v>
      </c>
      <c r="G1907" t="s">
        <v>6</v>
      </c>
      <c r="L1907" t="s">
        <v>7</v>
      </c>
      <c r="M1907">
        <v>2015</v>
      </c>
      <c r="N1907" s="1">
        <v>42194</v>
      </c>
      <c r="O1907" t="s">
        <v>9240</v>
      </c>
      <c r="P1907">
        <v>1</v>
      </c>
      <c r="Q1907" t="s">
        <v>8942</v>
      </c>
      <c r="S1907">
        <v>253.95</v>
      </c>
      <c r="T1907">
        <v>290</v>
      </c>
      <c r="U1907">
        <v>220</v>
      </c>
      <c r="V1907" t="s">
        <v>79</v>
      </c>
      <c r="W1907" t="s">
        <v>209</v>
      </c>
      <c r="X1907" t="s">
        <v>209</v>
      </c>
      <c r="Y1907" t="s">
        <v>510</v>
      </c>
      <c r="AF1907" t="s">
        <v>13</v>
      </c>
      <c r="AG1907" t="str">
        <f>HYPERLINK("https://doi.org/10.1515/9780748669646")</f>
        <v>https://doi.org/10.1515/9780748669646</v>
      </c>
      <c r="AH1907" t="str">
        <f>HYPERLINK("http://www.degruyter.com/isbn/9780748669646")</f>
        <v>http://www.degruyter.com/isbn/9780748669646</v>
      </c>
      <c r="AI1907" t="s">
        <v>34</v>
      </c>
      <c r="AL1907" t="s">
        <v>83</v>
      </c>
      <c r="AM1907">
        <v>1</v>
      </c>
      <c r="AN1907" s="2">
        <v>9780748640973</v>
      </c>
    </row>
    <row r="1908" spans="1:40" x14ac:dyDescent="0.3">
      <c r="A1908" t="s">
        <v>9241</v>
      </c>
      <c r="B1908" t="s">
        <v>1</v>
      </c>
      <c r="C1908" t="s">
        <v>9242</v>
      </c>
      <c r="E1908" t="s">
        <v>9243</v>
      </c>
      <c r="F1908" t="s">
        <v>5</v>
      </c>
      <c r="G1908" t="s">
        <v>6</v>
      </c>
      <c r="L1908" t="s">
        <v>7</v>
      </c>
      <c r="M1908">
        <v>2003</v>
      </c>
      <c r="N1908" s="1">
        <v>44592</v>
      </c>
      <c r="O1908" t="s">
        <v>9244</v>
      </c>
      <c r="P1908">
        <v>1</v>
      </c>
      <c r="S1908">
        <v>217.95</v>
      </c>
      <c r="T1908">
        <v>250</v>
      </c>
      <c r="U1908">
        <v>190</v>
      </c>
      <c r="V1908" t="s">
        <v>42</v>
      </c>
      <c r="W1908" t="s">
        <v>116</v>
      </c>
      <c r="X1908" t="s">
        <v>116</v>
      </c>
      <c r="Y1908" t="s">
        <v>117</v>
      </c>
      <c r="AF1908" t="s">
        <v>13</v>
      </c>
      <c r="AG1908" t="str">
        <f>HYPERLINK("https://doi.org/10.1515/9781474472944")</f>
        <v>https://doi.org/10.1515/9781474472944</v>
      </c>
      <c r="AH1908" t="str">
        <f>HYPERLINK("http://www.degruyter.com/isbn/9781474472944")</f>
        <v>http://www.degruyter.com/isbn/9781474472944</v>
      </c>
      <c r="AI1908" t="s">
        <v>9245</v>
      </c>
      <c r="AJ1908" t="s">
        <v>35</v>
      </c>
      <c r="AL1908" t="s">
        <v>520</v>
      </c>
      <c r="AM1908">
        <v>1</v>
      </c>
      <c r="AN1908" s="2">
        <v>9780748615971</v>
      </c>
    </row>
    <row r="1909" spans="1:40" x14ac:dyDescent="0.3">
      <c r="A1909" t="s">
        <v>9246</v>
      </c>
      <c r="B1909" t="s">
        <v>1</v>
      </c>
      <c r="C1909" t="s">
        <v>9247</v>
      </c>
      <c r="D1909" t="s">
        <v>9248</v>
      </c>
      <c r="E1909" t="s">
        <v>9249</v>
      </c>
      <c r="F1909" t="s">
        <v>5</v>
      </c>
      <c r="G1909" t="s">
        <v>6</v>
      </c>
      <c r="L1909" t="s">
        <v>7</v>
      </c>
      <c r="M1909">
        <v>2002</v>
      </c>
      <c r="N1909" s="1">
        <v>44592</v>
      </c>
      <c r="O1909" t="s">
        <v>9250</v>
      </c>
      <c r="P1909">
        <v>1</v>
      </c>
      <c r="Q1909" t="s">
        <v>9050</v>
      </c>
      <c r="S1909">
        <v>217.95</v>
      </c>
      <c r="T1909">
        <v>250</v>
      </c>
      <c r="U1909">
        <v>190</v>
      </c>
      <c r="V1909" t="s">
        <v>9</v>
      </c>
      <c r="W1909" t="s">
        <v>10</v>
      </c>
      <c r="X1909" t="s">
        <v>11</v>
      </c>
      <c r="Y1909" t="s">
        <v>12</v>
      </c>
      <c r="AF1909" t="s">
        <v>13</v>
      </c>
      <c r="AG1909" t="str">
        <f>HYPERLINK("https://doi.org/10.1515/9781474471787")</f>
        <v>https://doi.org/10.1515/9781474471787</v>
      </c>
      <c r="AH1909" t="str">
        <f>HYPERLINK("http://www.degruyter.com/isbn/9781474471787")</f>
        <v>http://www.degruyter.com/isbn/9781474471787</v>
      </c>
      <c r="AI1909" t="s">
        <v>68</v>
      </c>
      <c r="AJ1909" t="s">
        <v>35</v>
      </c>
      <c r="AL1909" t="s">
        <v>53</v>
      </c>
      <c r="AM1909">
        <v>1</v>
      </c>
      <c r="AN1909" s="2">
        <v>9780748615018</v>
      </c>
    </row>
    <row r="1910" spans="1:40" x14ac:dyDescent="0.3">
      <c r="A1910" t="s">
        <v>9251</v>
      </c>
      <c r="B1910" t="s">
        <v>1</v>
      </c>
      <c r="C1910" t="s">
        <v>9252</v>
      </c>
      <c r="D1910" t="s">
        <v>9253</v>
      </c>
      <c r="E1910" t="s">
        <v>9254</v>
      </c>
      <c r="F1910" t="s">
        <v>5</v>
      </c>
      <c r="G1910" t="s">
        <v>6</v>
      </c>
      <c r="L1910" t="s">
        <v>7</v>
      </c>
      <c r="M1910">
        <v>2020</v>
      </c>
      <c r="N1910" s="1">
        <v>44644</v>
      </c>
      <c r="O1910" t="s">
        <v>9255</v>
      </c>
      <c r="P1910">
        <v>1</v>
      </c>
      <c r="Q1910" t="s">
        <v>9122</v>
      </c>
      <c r="S1910">
        <v>217.95</v>
      </c>
      <c r="T1910">
        <v>250</v>
      </c>
      <c r="U1910">
        <v>190</v>
      </c>
      <c r="V1910" t="s">
        <v>305</v>
      </c>
      <c r="W1910" t="s">
        <v>306</v>
      </c>
      <c r="X1910" t="s">
        <v>306</v>
      </c>
      <c r="Y1910" t="s">
        <v>1313</v>
      </c>
      <c r="AF1910" t="s">
        <v>13</v>
      </c>
      <c r="AG1910" t="str">
        <f>HYPERLINK("https://doi.org/10.1515/9781474465632")</f>
        <v>https://doi.org/10.1515/9781474465632</v>
      </c>
      <c r="AH1910" t="str">
        <f>HYPERLINK("http://www.degruyter.com/isbn/9781474465632")</f>
        <v>http://www.degruyter.com/isbn/9781474465632</v>
      </c>
      <c r="AI1910" t="s">
        <v>14</v>
      </c>
      <c r="AL1910" t="s">
        <v>308</v>
      </c>
      <c r="AM1910">
        <v>1</v>
      </c>
      <c r="AN1910" s="2">
        <v>9781474461399</v>
      </c>
    </row>
    <row r="1911" spans="1:40" x14ac:dyDescent="0.3">
      <c r="A1911" t="s">
        <v>9256</v>
      </c>
      <c r="B1911" t="s">
        <v>1</v>
      </c>
      <c r="C1911" t="s">
        <v>9257</v>
      </c>
      <c r="D1911" t="s">
        <v>9258</v>
      </c>
      <c r="E1911" t="s">
        <v>9259</v>
      </c>
      <c r="F1911" t="s">
        <v>5</v>
      </c>
      <c r="G1911" t="s">
        <v>6</v>
      </c>
      <c r="L1911" t="s">
        <v>7</v>
      </c>
      <c r="M1911">
        <v>2013</v>
      </c>
      <c r="N1911" s="1">
        <v>41506</v>
      </c>
      <c r="O1911" t="s">
        <v>9260</v>
      </c>
      <c r="P1911">
        <v>1</v>
      </c>
      <c r="S1911">
        <v>217.95</v>
      </c>
      <c r="T1911">
        <v>250</v>
      </c>
      <c r="U1911">
        <v>190</v>
      </c>
      <c r="V1911" t="s">
        <v>42</v>
      </c>
      <c r="W1911" t="s">
        <v>290</v>
      </c>
      <c r="X1911" t="s">
        <v>290</v>
      </c>
      <c r="Y1911" t="s">
        <v>515</v>
      </c>
      <c r="AF1911" t="s">
        <v>13</v>
      </c>
      <c r="AG1911" t="str">
        <f>HYPERLINK("https://doi.org/10.1515/9780748665754")</f>
        <v>https://doi.org/10.1515/9780748665754</v>
      </c>
      <c r="AH1911" t="str">
        <f>HYPERLINK("http://www.degruyter.com/isbn/9780748665754")</f>
        <v>http://www.degruyter.com/isbn/9780748665754</v>
      </c>
      <c r="AI1911" t="s">
        <v>68</v>
      </c>
      <c r="AL1911" t="s">
        <v>47</v>
      </c>
      <c r="AM1911">
        <v>1</v>
      </c>
      <c r="AN1911" s="2">
        <v>9780748665747</v>
      </c>
    </row>
    <row r="1912" spans="1:40" x14ac:dyDescent="0.3">
      <c r="A1912" t="s">
        <v>9261</v>
      </c>
      <c r="B1912" t="s">
        <v>1</v>
      </c>
      <c r="C1912" t="s">
        <v>9262</v>
      </c>
      <c r="D1912" t="s">
        <v>9263</v>
      </c>
      <c r="E1912" t="s">
        <v>9264</v>
      </c>
      <c r="F1912" t="s">
        <v>5</v>
      </c>
      <c r="G1912" t="s">
        <v>6</v>
      </c>
      <c r="L1912" t="s">
        <v>7</v>
      </c>
      <c r="M1912">
        <v>2017</v>
      </c>
      <c r="N1912" s="1">
        <v>42934</v>
      </c>
      <c r="O1912" t="s">
        <v>9265</v>
      </c>
      <c r="P1912">
        <v>1</v>
      </c>
      <c r="Q1912" t="s">
        <v>7283</v>
      </c>
      <c r="S1912">
        <v>243.95</v>
      </c>
      <c r="T1912">
        <v>280</v>
      </c>
      <c r="U1912">
        <v>210</v>
      </c>
      <c r="V1912" t="s">
        <v>42</v>
      </c>
      <c r="W1912" t="s">
        <v>43</v>
      </c>
      <c r="X1912" t="s">
        <v>44</v>
      </c>
      <c r="Y1912" t="s">
        <v>45</v>
      </c>
      <c r="AF1912" t="s">
        <v>13</v>
      </c>
      <c r="AG1912" t="str">
        <f>HYPERLINK("https://doi.org/10.1515/9781474407137?locatt=mode:legacy")</f>
        <v>https://doi.org/10.1515/9781474407137?locatt=mode:legacy</v>
      </c>
      <c r="AH1912" t="str">
        <f>HYPERLINK("http://www.degruyter.com/isbn/9781474407137")</f>
        <v>http://www.degruyter.com/isbn/9781474407137</v>
      </c>
      <c r="AI1912" t="s">
        <v>7356</v>
      </c>
      <c r="AL1912" t="s">
        <v>47</v>
      </c>
      <c r="AM1912">
        <v>1</v>
      </c>
      <c r="AN1912" s="2">
        <v>9781474407120</v>
      </c>
    </row>
    <row r="1913" spans="1:40" x14ac:dyDescent="0.3">
      <c r="A1913" t="s">
        <v>9266</v>
      </c>
      <c r="B1913" t="s">
        <v>1</v>
      </c>
      <c r="C1913" t="s">
        <v>9267</v>
      </c>
      <c r="D1913" t="s">
        <v>9268</v>
      </c>
      <c r="E1913" t="s">
        <v>9269</v>
      </c>
      <c r="F1913" t="s">
        <v>5</v>
      </c>
      <c r="G1913" t="s">
        <v>6</v>
      </c>
      <c r="L1913" t="s">
        <v>7</v>
      </c>
      <c r="M1913">
        <v>2020</v>
      </c>
      <c r="N1913" s="1">
        <v>44656</v>
      </c>
      <c r="O1913" t="s">
        <v>9270</v>
      </c>
      <c r="P1913">
        <v>1</v>
      </c>
      <c r="Q1913" t="s">
        <v>9122</v>
      </c>
      <c r="S1913">
        <v>253.95</v>
      </c>
      <c r="T1913">
        <v>290</v>
      </c>
      <c r="U1913">
        <v>220</v>
      </c>
      <c r="V1913" t="s">
        <v>305</v>
      </c>
      <c r="W1913" t="s">
        <v>2129</v>
      </c>
      <c r="X1913" t="s">
        <v>9271</v>
      </c>
      <c r="Y1913" t="s">
        <v>9272</v>
      </c>
      <c r="AF1913" t="s">
        <v>13</v>
      </c>
      <c r="AG1913" t="str">
        <f>HYPERLINK("https://doi.org/10.1515/9781474451512")</f>
        <v>https://doi.org/10.1515/9781474451512</v>
      </c>
      <c r="AH1913" t="str">
        <f>HYPERLINK("http://www.degruyter.com/isbn/9781474451512")</f>
        <v>http://www.degruyter.com/isbn/9781474451512</v>
      </c>
      <c r="AI1913" t="s">
        <v>14</v>
      </c>
      <c r="AL1913" t="s">
        <v>308</v>
      </c>
      <c r="AM1913">
        <v>1</v>
      </c>
      <c r="AN1913" s="2">
        <v>9781474451482</v>
      </c>
    </row>
    <row r="1914" spans="1:40" x14ac:dyDescent="0.3">
      <c r="A1914" t="s">
        <v>9273</v>
      </c>
      <c r="B1914" t="s">
        <v>1</v>
      </c>
      <c r="C1914" t="s">
        <v>9274</v>
      </c>
      <c r="E1914" t="s">
        <v>9275</v>
      </c>
      <c r="F1914" t="s">
        <v>5</v>
      </c>
      <c r="G1914" t="s">
        <v>6</v>
      </c>
      <c r="L1914" t="s">
        <v>7</v>
      </c>
      <c r="M1914">
        <v>2016</v>
      </c>
      <c r="N1914" s="1">
        <v>42716</v>
      </c>
      <c r="O1914" t="s">
        <v>7707</v>
      </c>
      <c r="P1914">
        <v>1</v>
      </c>
      <c r="Q1914" t="s">
        <v>6606</v>
      </c>
      <c r="S1914">
        <v>217.95</v>
      </c>
      <c r="T1914">
        <v>250</v>
      </c>
      <c r="U1914">
        <v>190</v>
      </c>
      <c r="V1914" t="s">
        <v>329</v>
      </c>
      <c r="W1914" t="s">
        <v>330</v>
      </c>
      <c r="X1914" t="s">
        <v>331</v>
      </c>
      <c r="Y1914" t="s">
        <v>1035</v>
      </c>
      <c r="AF1914" t="s">
        <v>13</v>
      </c>
      <c r="AG1914" t="str">
        <f>HYPERLINK("https://doi.org/10.1515/9781474416542?locatt=mode:legacy")</f>
        <v>https://doi.org/10.1515/9781474416542?locatt=mode:legacy</v>
      </c>
      <c r="AH1914" t="str">
        <f>HYPERLINK("http://www.degruyter.com/isbn/9781474416542")</f>
        <v>http://www.degruyter.com/isbn/9781474416542</v>
      </c>
      <c r="AI1914" t="s">
        <v>180</v>
      </c>
      <c r="AL1914" t="s">
        <v>333</v>
      </c>
      <c r="AM1914">
        <v>1</v>
      </c>
      <c r="AN1914" s="2">
        <v>9781474416535</v>
      </c>
    </row>
    <row r="1915" spans="1:40" x14ac:dyDescent="0.3">
      <c r="A1915" t="s">
        <v>9276</v>
      </c>
      <c r="B1915" t="s">
        <v>1</v>
      </c>
      <c r="C1915" t="s">
        <v>9277</v>
      </c>
      <c r="D1915" t="s">
        <v>9278</v>
      </c>
      <c r="E1915" t="s">
        <v>9279</v>
      </c>
      <c r="F1915" t="s">
        <v>5</v>
      </c>
      <c r="G1915" t="s">
        <v>6</v>
      </c>
      <c r="L1915" t="s">
        <v>7</v>
      </c>
      <c r="M1915">
        <v>2020</v>
      </c>
      <c r="N1915" s="1">
        <v>44644</v>
      </c>
      <c r="O1915" t="s">
        <v>9280</v>
      </c>
      <c r="P1915">
        <v>1</v>
      </c>
      <c r="Q1915" t="s">
        <v>6876</v>
      </c>
      <c r="S1915">
        <v>217.95</v>
      </c>
      <c r="T1915">
        <v>250</v>
      </c>
      <c r="U1915">
        <v>190</v>
      </c>
      <c r="V1915" t="s">
        <v>42</v>
      </c>
      <c r="W1915" t="s">
        <v>290</v>
      </c>
      <c r="X1915" t="s">
        <v>290</v>
      </c>
      <c r="Y1915" t="s">
        <v>515</v>
      </c>
      <c r="AF1915" t="s">
        <v>13</v>
      </c>
      <c r="AG1915" t="str">
        <f>HYPERLINK("https://doi.org/10.1515/9781474441773")</f>
        <v>https://doi.org/10.1515/9781474441773</v>
      </c>
      <c r="AH1915" t="str">
        <f>HYPERLINK("http://www.degruyter.com/isbn/9781474441773")</f>
        <v>http://www.degruyter.com/isbn/9781474441773</v>
      </c>
      <c r="AI1915" t="s">
        <v>14</v>
      </c>
      <c r="AL1915" t="s">
        <v>47</v>
      </c>
      <c r="AM1915">
        <v>1</v>
      </c>
      <c r="AN1915" s="2">
        <v>9781474441759</v>
      </c>
    </row>
    <row r="1916" spans="1:40" x14ac:dyDescent="0.3">
      <c r="A1916" t="s">
        <v>9281</v>
      </c>
      <c r="B1916" t="s">
        <v>1</v>
      </c>
      <c r="C1916" t="s">
        <v>9282</v>
      </c>
      <c r="D1916" t="s">
        <v>9283</v>
      </c>
      <c r="E1916" t="s">
        <v>9284</v>
      </c>
      <c r="F1916" t="s">
        <v>5</v>
      </c>
      <c r="G1916" t="s">
        <v>6</v>
      </c>
      <c r="L1916" t="s">
        <v>7</v>
      </c>
      <c r="M1916">
        <v>2011</v>
      </c>
      <c r="N1916" s="1">
        <v>40651</v>
      </c>
      <c r="O1916" t="s">
        <v>9285</v>
      </c>
      <c r="P1916">
        <v>1</v>
      </c>
      <c r="Q1916" t="s">
        <v>9286</v>
      </c>
      <c r="S1916">
        <v>173.95</v>
      </c>
      <c r="T1916">
        <v>200</v>
      </c>
      <c r="U1916">
        <v>150</v>
      </c>
      <c r="V1916" t="s">
        <v>42</v>
      </c>
      <c r="W1916" t="s">
        <v>740</v>
      </c>
      <c r="X1916" t="s">
        <v>741</v>
      </c>
      <c r="Y1916" t="s">
        <v>742</v>
      </c>
      <c r="AF1916" t="s">
        <v>13</v>
      </c>
      <c r="AG1916" t="str">
        <f>HYPERLINK("https://doi.org/10.1515/9780748646098")</f>
        <v>https://doi.org/10.1515/9780748646098</v>
      </c>
      <c r="AH1916" t="str">
        <f>HYPERLINK("http://www.degruyter.com/isbn/9780748646098")</f>
        <v>http://www.degruyter.com/isbn/9780748646098</v>
      </c>
      <c r="AI1916" t="s">
        <v>68</v>
      </c>
      <c r="AL1916" t="s">
        <v>47</v>
      </c>
      <c r="AM1916">
        <v>1</v>
      </c>
      <c r="AN1916" s="2">
        <v>9780748639991</v>
      </c>
    </row>
    <row r="1917" spans="1:40" x14ac:dyDescent="0.3">
      <c r="A1917" t="s">
        <v>9287</v>
      </c>
      <c r="B1917" t="s">
        <v>1</v>
      </c>
      <c r="C1917" t="s">
        <v>9288</v>
      </c>
      <c r="D1917" t="s">
        <v>9289</v>
      </c>
      <c r="E1917" t="s">
        <v>9290</v>
      </c>
      <c r="F1917" t="s">
        <v>5</v>
      </c>
      <c r="G1917" t="s">
        <v>6</v>
      </c>
      <c r="L1917" t="s">
        <v>7</v>
      </c>
      <c r="M1917">
        <v>2016</v>
      </c>
      <c r="N1917" s="1">
        <v>42633</v>
      </c>
      <c r="O1917" t="s">
        <v>9291</v>
      </c>
      <c r="P1917">
        <v>1</v>
      </c>
      <c r="Q1917" t="s">
        <v>7362</v>
      </c>
      <c r="S1917">
        <v>253.95</v>
      </c>
      <c r="T1917">
        <v>290</v>
      </c>
      <c r="U1917">
        <v>220</v>
      </c>
      <c r="V1917" t="s">
        <v>79</v>
      </c>
      <c r="W1917" t="s">
        <v>783</v>
      </c>
      <c r="X1917" t="s">
        <v>783</v>
      </c>
      <c r="Y1917" t="s">
        <v>784</v>
      </c>
      <c r="AF1917" t="s">
        <v>13</v>
      </c>
      <c r="AG1917" t="str">
        <f>HYPERLINK("https://doi.org/10.1515/9781474414487")</f>
        <v>https://doi.org/10.1515/9781474414487</v>
      </c>
      <c r="AH1917" t="str">
        <f>HYPERLINK("http://www.degruyter.com/isbn/9781474414487")</f>
        <v>http://www.degruyter.com/isbn/9781474414487</v>
      </c>
      <c r="AI1917" t="s">
        <v>180</v>
      </c>
      <c r="AL1917" t="s">
        <v>83</v>
      </c>
      <c r="AM1917">
        <v>1</v>
      </c>
      <c r="AN1917" s="2">
        <v>9781474414470</v>
      </c>
    </row>
    <row r="1918" spans="1:40" x14ac:dyDescent="0.3">
      <c r="A1918" t="s">
        <v>9292</v>
      </c>
      <c r="B1918" t="s">
        <v>1</v>
      </c>
      <c r="C1918" t="s">
        <v>9293</v>
      </c>
      <c r="E1918" t="s">
        <v>9294</v>
      </c>
      <c r="F1918" t="s">
        <v>5</v>
      </c>
      <c r="G1918" t="s">
        <v>6</v>
      </c>
      <c r="L1918" t="s">
        <v>7</v>
      </c>
      <c r="M1918">
        <v>2014</v>
      </c>
      <c r="N1918" s="1">
        <v>41954</v>
      </c>
      <c r="O1918" t="s">
        <v>9295</v>
      </c>
      <c r="P1918">
        <v>1</v>
      </c>
      <c r="Q1918" t="s">
        <v>6665</v>
      </c>
      <c r="S1918">
        <v>217.95</v>
      </c>
      <c r="T1918">
        <v>250</v>
      </c>
      <c r="U1918">
        <v>190</v>
      </c>
      <c r="V1918" t="s">
        <v>42</v>
      </c>
      <c r="W1918" t="s">
        <v>43</v>
      </c>
      <c r="X1918" t="s">
        <v>44</v>
      </c>
      <c r="Y1918" t="s">
        <v>45</v>
      </c>
      <c r="AF1918" t="s">
        <v>13</v>
      </c>
      <c r="AG1918" t="str">
        <f>HYPERLINK("https://doi.org/10.1515/9780748691111")</f>
        <v>https://doi.org/10.1515/9780748691111</v>
      </c>
      <c r="AH1918" t="str">
        <f>HYPERLINK("http://www.degruyter.com/isbn/9780748691111")</f>
        <v>http://www.degruyter.com/isbn/9780748691111</v>
      </c>
      <c r="AI1918" t="s">
        <v>34</v>
      </c>
      <c r="AL1918" t="s">
        <v>47</v>
      </c>
      <c r="AM1918">
        <v>1</v>
      </c>
      <c r="AN1918" s="2">
        <v>9780748691104</v>
      </c>
    </row>
    <row r="1919" spans="1:40" x14ac:dyDescent="0.3">
      <c r="A1919" t="s">
        <v>9296</v>
      </c>
      <c r="B1919" t="s">
        <v>1</v>
      </c>
      <c r="C1919" t="s">
        <v>9297</v>
      </c>
      <c r="E1919" t="s">
        <v>9298</v>
      </c>
      <c r="F1919" t="s">
        <v>5</v>
      </c>
      <c r="G1919" t="s">
        <v>6</v>
      </c>
      <c r="L1919" t="s">
        <v>7</v>
      </c>
      <c r="M1919">
        <v>2007</v>
      </c>
      <c r="N1919" s="1">
        <v>39162</v>
      </c>
      <c r="O1919" t="s">
        <v>9299</v>
      </c>
      <c r="P1919">
        <v>1</v>
      </c>
      <c r="Q1919" t="s">
        <v>8650</v>
      </c>
      <c r="S1919">
        <v>217.95</v>
      </c>
      <c r="T1919">
        <v>250</v>
      </c>
      <c r="U1919">
        <v>190</v>
      </c>
      <c r="V1919" t="s">
        <v>20</v>
      </c>
      <c r="W1919" t="s">
        <v>21</v>
      </c>
      <c r="X1919" t="s">
        <v>22</v>
      </c>
      <c r="Y1919" t="s">
        <v>23</v>
      </c>
      <c r="AF1919" t="s">
        <v>13</v>
      </c>
      <c r="AG1919" t="str">
        <f>HYPERLINK("https://doi.org/10.1515/9781474471282")</f>
        <v>https://doi.org/10.1515/9781474471282</v>
      </c>
      <c r="AH1919" t="str">
        <f>HYPERLINK("http://www.degruyter.com/isbn/9781474471282")</f>
        <v>http://www.degruyter.com/isbn/9781474471282</v>
      </c>
      <c r="AI1919" t="s">
        <v>68</v>
      </c>
      <c r="AL1919" t="s">
        <v>15</v>
      </c>
      <c r="AM1919">
        <v>1</v>
      </c>
      <c r="AN1919" s="2">
        <v>9780748623754</v>
      </c>
    </row>
    <row r="1920" spans="1:40" x14ac:dyDescent="0.3">
      <c r="A1920" t="s">
        <v>9300</v>
      </c>
      <c r="B1920" t="s">
        <v>1</v>
      </c>
      <c r="C1920" t="s">
        <v>9301</v>
      </c>
      <c r="E1920" t="s">
        <v>9302</v>
      </c>
      <c r="F1920" t="s">
        <v>5</v>
      </c>
      <c r="G1920" t="s">
        <v>6</v>
      </c>
      <c r="L1920" t="s">
        <v>7</v>
      </c>
      <c r="M1920">
        <v>2005</v>
      </c>
      <c r="N1920" s="1">
        <v>38435</v>
      </c>
      <c r="O1920" t="s">
        <v>9303</v>
      </c>
      <c r="P1920">
        <v>1</v>
      </c>
      <c r="Q1920" t="s">
        <v>6665</v>
      </c>
      <c r="S1920">
        <v>287.95</v>
      </c>
      <c r="T1920">
        <v>330</v>
      </c>
      <c r="U1920">
        <v>250</v>
      </c>
      <c r="V1920" t="s">
        <v>9</v>
      </c>
      <c r="W1920" t="s">
        <v>10</v>
      </c>
      <c r="X1920" t="s">
        <v>11</v>
      </c>
      <c r="Y1920" t="s">
        <v>12</v>
      </c>
      <c r="AF1920" t="s">
        <v>13</v>
      </c>
      <c r="AG1920" t="str">
        <f>HYPERLINK("https://doi.org/10.1515/9781474470933")</f>
        <v>https://doi.org/10.1515/9781474470933</v>
      </c>
      <c r="AH1920" t="str">
        <f>HYPERLINK("http://www.degruyter.com/isbn/9781474470933")</f>
        <v>http://www.degruyter.com/isbn/9781474470933</v>
      </c>
      <c r="AI1920" t="s">
        <v>7647</v>
      </c>
      <c r="AL1920" t="s">
        <v>15</v>
      </c>
      <c r="AM1920">
        <v>1</v>
      </c>
      <c r="AN1920" s="2">
        <v>9780748619948</v>
      </c>
    </row>
    <row r="1921" spans="1:40" x14ac:dyDescent="0.3">
      <c r="A1921" t="s">
        <v>9304</v>
      </c>
      <c r="B1921" t="s">
        <v>1</v>
      </c>
      <c r="C1921" t="s">
        <v>9305</v>
      </c>
      <c r="E1921" t="s">
        <v>9306</v>
      </c>
      <c r="F1921" t="s">
        <v>5</v>
      </c>
      <c r="G1921" t="s">
        <v>6</v>
      </c>
      <c r="L1921" t="s">
        <v>7</v>
      </c>
      <c r="M1921">
        <v>1993</v>
      </c>
      <c r="N1921" s="1">
        <v>44672</v>
      </c>
      <c r="O1921" t="s">
        <v>9307</v>
      </c>
      <c r="P1921">
        <v>1</v>
      </c>
      <c r="Q1921" t="s">
        <v>7266</v>
      </c>
      <c r="S1921">
        <v>279.95</v>
      </c>
      <c r="T1921">
        <v>320</v>
      </c>
      <c r="U1921">
        <v>240</v>
      </c>
      <c r="V1921" t="s">
        <v>42</v>
      </c>
      <c r="W1921" t="s">
        <v>116</v>
      </c>
      <c r="X1921" t="s">
        <v>116</v>
      </c>
      <c r="Y1921" t="s">
        <v>117</v>
      </c>
      <c r="AF1921" t="s">
        <v>13</v>
      </c>
      <c r="AG1921" t="str">
        <f>HYPERLINK("https://doi.org/10.1515/9781474433808")</f>
        <v>https://doi.org/10.1515/9781474433808</v>
      </c>
      <c r="AH1921" t="str">
        <f>HYPERLINK("http://www.degruyter.com/isbn/9781474433808")</f>
        <v>http://www.degruyter.com/isbn/9781474433808</v>
      </c>
      <c r="AI1921" t="s">
        <v>24</v>
      </c>
      <c r="AL1921" t="s">
        <v>47</v>
      </c>
      <c r="AM1921">
        <v>1</v>
      </c>
      <c r="AN1921" s="2">
        <v>9780748604432</v>
      </c>
    </row>
    <row r="1922" spans="1:40" x14ac:dyDescent="0.3">
      <c r="A1922" t="s">
        <v>9308</v>
      </c>
      <c r="B1922" t="s">
        <v>1</v>
      </c>
      <c r="C1922" t="s">
        <v>9309</v>
      </c>
      <c r="D1922" t="s">
        <v>9310</v>
      </c>
      <c r="E1922" t="s">
        <v>9311</v>
      </c>
      <c r="F1922" t="s">
        <v>5</v>
      </c>
      <c r="G1922" t="s">
        <v>6</v>
      </c>
      <c r="L1922" t="s">
        <v>7</v>
      </c>
      <c r="M1922">
        <v>2015</v>
      </c>
      <c r="N1922" s="1">
        <v>42016</v>
      </c>
      <c r="O1922" t="s">
        <v>9312</v>
      </c>
      <c r="P1922">
        <v>1</v>
      </c>
      <c r="Q1922" t="s">
        <v>8702</v>
      </c>
      <c r="S1922">
        <v>253.95</v>
      </c>
      <c r="T1922">
        <v>290</v>
      </c>
      <c r="U1922">
        <v>220</v>
      </c>
      <c r="V1922" t="s">
        <v>79</v>
      </c>
      <c r="W1922" t="s">
        <v>209</v>
      </c>
      <c r="X1922" t="s">
        <v>209</v>
      </c>
      <c r="Y1922" t="s">
        <v>510</v>
      </c>
      <c r="AF1922" t="s">
        <v>13</v>
      </c>
      <c r="AG1922" t="str">
        <f>HYPERLINK("https://doi.org/10.1515/9780748693467")</f>
        <v>https://doi.org/10.1515/9780748693467</v>
      </c>
      <c r="AH1922" t="str">
        <f>HYPERLINK("http://www.degruyter.com/isbn/9780748693467")</f>
        <v>http://www.degruyter.com/isbn/9780748693467</v>
      </c>
      <c r="AI1922" t="s">
        <v>34</v>
      </c>
      <c r="AL1922" t="s">
        <v>83</v>
      </c>
      <c r="AM1922">
        <v>1</v>
      </c>
      <c r="AN1922" s="2">
        <v>9780748699957</v>
      </c>
    </row>
    <row r="1923" spans="1:40" x14ac:dyDescent="0.3">
      <c r="A1923" t="s">
        <v>9313</v>
      </c>
      <c r="B1923" t="s">
        <v>1</v>
      </c>
      <c r="C1923" t="s">
        <v>9314</v>
      </c>
      <c r="E1923" t="s">
        <v>9315</v>
      </c>
      <c r="F1923" t="s">
        <v>5</v>
      </c>
      <c r="G1923" t="s">
        <v>6</v>
      </c>
      <c r="K1923" t="s">
        <v>929</v>
      </c>
      <c r="L1923" t="s">
        <v>7</v>
      </c>
      <c r="M1923">
        <v>2017</v>
      </c>
      <c r="N1923" s="1">
        <v>42888</v>
      </c>
      <c r="O1923" t="s">
        <v>9316</v>
      </c>
      <c r="P1923">
        <v>1</v>
      </c>
      <c r="Q1923" t="s">
        <v>7515</v>
      </c>
      <c r="V1923" t="s">
        <v>58</v>
      </c>
      <c r="W1923" t="s">
        <v>59</v>
      </c>
      <c r="X1923" t="s">
        <v>60</v>
      </c>
      <c r="Y1923" t="s">
        <v>615</v>
      </c>
      <c r="AF1923" t="s">
        <v>13</v>
      </c>
      <c r="AG1923" t="str">
        <f>HYPERLINK("https://doi.org/10.1515/9781474423267")</f>
        <v>https://doi.org/10.1515/9781474423267</v>
      </c>
      <c r="AH1923" t="str">
        <f>HYPERLINK("http://www.degruyter.com/isbn/9781474423267")</f>
        <v>http://www.degruyter.com/isbn/9781474423267</v>
      </c>
      <c r="AI1923" t="s">
        <v>222</v>
      </c>
      <c r="AM1923">
        <v>1</v>
      </c>
      <c r="AN1923" s="2"/>
    </row>
    <row r="1924" spans="1:40" x14ac:dyDescent="0.3">
      <c r="A1924" t="s">
        <v>9317</v>
      </c>
      <c r="B1924" t="s">
        <v>1</v>
      </c>
      <c r="C1924" t="s">
        <v>9318</v>
      </c>
      <c r="E1924" t="s">
        <v>9319</v>
      </c>
      <c r="F1924" t="s">
        <v>5</v>
      </c>
      <c r="G1924" t="s">
        <v>6</v>
      </c>
      <c r="L1924" t="s">
        <v>7</v>
      </c>
      <c r="M1924">
        <v>2015</v>
      </c>
      <c r="N1924" s="1">
        <v>42293</v>
      </c>
      <c r="O1924" t="s">
        <v>9320</v>
      </c>
      <c r="P1924">
        <v>1</v>
      </c>
      <c r="Q1924" t="s">
        <v>8942</v>
      </c>
      <c r="S1924">
        <v>253.95</v>
      </c>
      <c r="T1924">
        <v>290</v>
      </c>
      <c r="U1924">
        <v>220</v>
      </c>
      <c r="V1924" t="s">
        <v>79</v>
      </c>
      <c r="W1924" t="s">
        <v>209</v>
      </c>
      <c r="X1924" t="s">
        <v>209</v>
      </c>
      <c r="Y1924" t="s">
        <v>510</v>
      </c>
      <c r="AF1924" t="s">
        <v>13</v>
      </c>
      <c r="AG1924" t="str">
        <f>HYPERLINK("https://doi.org/10.1515/9780748646470")</f>
        <v>https://doi.org/10.1515/9780748646470</v>
      </c>
      <c r="AH1924" t="str">
        <f>HYPERLINK("http://www.degruyter.com/isbn/9780748646470")</f>
        <v>http://www.degruyter.com/isbn/9780748646470</v>
      </c>
      <c r="AI1924" t="s">
        <v>34</v>
      </c>
      <c r="AL1924" t="s">
        <v>83</v>
      </c>
      <c r="AM1924">
        <v>1</v>
      </c>
      <c r="AN1924" s="2">
        <v>9780748646463</v>
      </c>
    </row>
    <row r="1925" spans="1:40" x14ac:dyDescent="0.3">
      <c r="A1925" t="s">
        <v>9321</v>
      </c>
      <c r="B1925" t="s">
        <v>1</v>
      </c>
      <c r="C1925" t="s">
        <v>9322</v>
      </c>
      <c r="E1925" t="s">
        <v>9323</v>
      </c>
      <c r="F1925" t="s">
        <v>5</v>
      </c>
      <c r="G1925" t="s">
        <v>6</v>
      </c>
      <c r="L1925" t="s">
        <v>7</v>
      </c>
      <c r="M1925">
        <v>2006</v>
      </c>
      <c r="N1925" s="1">
        <v>38889</v>
      </c>
      <c r="O1925" t="s">
        <v>9324</v>
      </c>
      <c r="P1925">
        <v>1</v>
      </c>
      <c r="S1925">
        <v>261.95</v>
      </c>
      <c r="T1925">
        <v>300</v>
      </c>
      <c r="U1925">
        <v>230</v>
      </c>
      <c r="V1925" t="s">
        <v>20</v>
      </c>
      <c r="W1925" t="s">
        <v>21</v>
      </c>
      <c r="X1925" t="s">
        <v>22</v>
      </c>
      <c r="Y1925" t="s">
        <v>23</v>
      </c>
      <c r="AF1925" t="s">
        <v>13</v>
      </c>
      <c r="AG1925" t="str">
        <f>HYPERLINK("https://doi.org/10.1515/9780748626991")</f>
        <v>https://doi.org/10.1515/9780748626991</v>
      </c>
      <c r="AH1925" t="str">
        <f>HYPERLINK("http://www.degruyter.com/isbn/9780748626991")</f>
        <v>http://www.degruyter.com/isbn/9780748626991</v>
      </c>
      <c r="AI1925" t="s">
        <v>68</v>
      </c>
      <c r="AL1925" t="s">
        <v>15</v>
      </c>
      <c r="AM1925">
        <v>1</v>
      </c>
      <c r="AN1925" s="2">
        <v>9780748624324</v>
      </c>
    </row>
    <row r="1926" spans="1:40" x14ac:dyDescent="0.3">
      <c r="A1926" t="s">
        <v>9325</v>
      </c>
      <c r="B1926" t="s">
        <v>1</v>
      </c>
      <c r="C1926" t="s">
        <v>9326</v>
      </c>
      <c r="E1926" t="s">
        <v>9327</v>
      </c>
      <c r="F1926" t="s">
        <v>5</v>
      </c>
      <c r="G1926" t="s">
        <v>6</v>
      </c>
      <c r="L1926" t="s">
        <v>7</v>
      </c>
      <c r="M1926">
        <v>2000</v>
      </c>
      <c r="N1926" s="1">
        <v>44599</v>
      </c>
      <c r="O1926" t="s">
        <v>9328</v>
      </c>
      <c r="P1926">
        <v>1</v>
      </c>
      <c r="Q1926" t="s">
        <v>6418</v>
      </c>
      <c r="S1926">
        <v>217.95</v>
      </c>
      <c r="T1926">
        <v>250</v>
      </c>
      <c r="U1926">
        <v>190</v>
      </c>
      <c r="V1926" t="s">
        <v>58</v>
      </c>
      <c r="W1926" t="s">
        <v>129</v>
      </c>
      <c r="X1926" t="s">
        <v>5642</v>
      </c>
      <c r="Y1926" t="s">
        <v>5643</v>
      </c>
      <c r="AF1926" t="s">
        <v>13</v>
      </c>
      <c r="AG1926" t="str">
        <f>HYPERLINK("https://doi.org/10.1515/9781474400527")</f>
        <v>https://doi.org/10.1515/9781474400527</v>
      </c>
      <c r="AH1926" t="str">
        <f>HYPERLINK("http://www.degruyter.com/isbn/9781474400527")</f>
        <v>http://www.degruyter.com/isbn/9781474400527</v>
      </c>
      <c r="AI1926" t="s">
        <v>68</v>
      </c>
      <c r="AL1926" t="s">
        <v>62</v>
      </c>
      <c r="AM1926">
        <v>1</v>
      </c>
      <c r="AN1926" s="2">
        <v>9780748611201</v>
      </c>
    </row>
    <row r="1927" spans="1:40" x14ac:dyDescent="0.3">
      <c r="A1927" t="s">
        <v>9329</v>
      </c>
      <c r="B1927" t="s">
        <v>1</v>
      </c>
      <c r="C1927" t="s">
        <v>9330</v>
      </c>
      <c r="E1927" t="s">
        <v>9331</v>
      </c>
      <c r="F1927" t="s">
        <v>5</v>
      </c>
      <c r="G1927" t="s">
        <v>6</v>
      </c>
      <c r="L1927" t="s">
        <v>7</v>
      </c>
      <c r="M1927">
        <v>2013</v>
      </c>
      <c r="N1927" s="1">
        <v>41414</v>
      </c>
      <c r="O1927" t="s">
        <v>9332</v>
      </c>
      <c r="P1927">
        <v>1</v>
      </c>
      <c r="Q1927" t="s">
        <v>7052</v>
      </c>
      <c r="S1927">
        <v>217.95</v>
      </c>
      <c r="T1927">
        <v>250</v>
      </c>
      <c r="U1927">
        <v>190</v>
      </c>
      <c r="V1927" t="s">
        <v>42</v>
      </c>
      <c r="W1927" t="s">
        <v>107</v>
      </c>
      <c r="X1927" t="s">
        <v>108</v>
      </c>
      <c r="Y1927" t="s">
        <v>221</v>
      </c>
      <c r="AF1927" t="s">
        <v>13</v>
      </c>
      <c r="AG1927" t="str">
        <f>HYPERLINK("https://doi.org/10.1515/9780748683093")</f>
        <v>https://doi.org/10.1515/9780748683093</v>
      </c>
      <c r="AH1927" t="str">
        <f>HYPERLINK("http://www.degruyter.com/isbn/9780748683093")</f>
        <v>http://www.degruyter.com/isbn/9780748683093</v>
      </c>
      <c r="AI1927" t="s">
        <v>68</v>
      </c>
      <c r="AL1927" t="s">
        <v>47</v>
      </c>
      <c r="AM1927">
        <v>1</v>
      </c>
      <c r="AN1927" s="2">
        <v>9780748645640</v>
      </c>
    </row>
    <row r="1928" spans="1:40" x14ac:dyDescent="0.3">
      <c r="A1928" t="s">
        <v>9333</v>
      </c>
      <c r="B1928" t="s">
        <v>1</v>
      </c>
      <c r="C1928" t="s">
        <v>9334</v>
      </c>
      <c r="D1928" t="s">
        <v>9335</v>
      </c>
      <c r="E1928" t="s">
        <v>9336</v>
      </c>
      <c r="F1928" t="s">
        <v>5</v>
      </c>
      <c r="G1928" t="s">
        <v>6</v>
      </c>
      <c r="L1928" t="s">
        <v>7</v>
      </c>
      <c r="M1928">
        <v>1998</v>
      </c>
      <c r="N1928" s="1">
        <v>44719</v>
      </c>
      <c r="O1928" t="s">
        <v>9337</v>
      </c>
      <c r="P1928">
        <v>1</v>
      </c>
      <c r="S1928">
        <v>217.95</v>
      </c>
      <c r="T1928">
        <v>250</v>
      </c>
      <c r="U1928">
        <v>190</v>
      </c>
      <c r="V1928" t="s">
        <v>20</v>
      </c>
      <c r="W1928" t="s">
        <v>21</v>
      </c>
      <c r="X1928" t="s">
        <v>22</v>
      </c>
      <c r="Y1928" t="s">
        <v>23</v>
      </c>
      <c r="AF1928" t="s">
        <v>13</v>
      </c>
      <c r="AG1928" t="str">
        <f>HYPERLINK("https://doi.org/10.1515/9781474470209")</f>
        <v>https://doi.org/10.1515/9781474470209</v>
      </c>
      <c r="AH1928" t="str">
        <f>HYPERLINK("http://www.degruyter.com/isbn/9781474470209")</f>
        <v>http://www.degruyter.com/isbn/9781474470209</v>
      </c>
      <c r="AI1928" t="s">
        <v>24</v>
      </c>
      <c r="AL1928" t="s">
        <v>15</v>
      </c>
      <c r="AM1928">
        <v>1</v>
      </c>
      <c r="AN1928" s="2">
        <v>9780748610310</v>
      </c>
    </row>
    <row r="1929" spans="1:40" x14ac:dyDescent="0.3">
      <c r="A1929" t="s">
        <v>9338</v>
      </c>
      <c r="B1929" t="s">
        <v>1</v>
      </c>
      <c r="C1929" t="s">
        <v>9339</v>
      </c>
      <c r="E1929" t="s">
        <v>9340</v>
      </c>
      <c r="F1929" t="s">
        <v>5</v>
      </c>
      <c r="G1929" t="s">
        <v>6</v>
      </c>
      <c r="L1929" t="s">
        <v>7</v>
      </c>
      <c r="M1929">
        <v>2021</v>
      </c>
      <c r="N1929" s="1">
        <v>44644</v>
      </c>
      <c r="O1929" t="s">
        <v>9341</v>
      </c>
      <c r="P1929">
        <v>1</v>
      </c>
      <c r="Q1929" t="s">
        <v>8607</v>
      </c>
      <c r="S1929">
        <v>217.95</v>
      </c>
      <c r="T1929">
        <v>250</v>
      </c>
      <c r="U1929">
        <v>190</v>
      </c>
      <c r="V1929" t="s">
        <v>297</v>
      </c>
      <c r="W1929" t="s">
        <v>298</v>
      </c>
      <c r="X1929" t="s">
        <v>298</v>
      </c>
      <c r="Y1929" t="s">
        <v>9342</v>
      </c>
      <c r="AF1929" t="s">
        <v>13</v>
      </c>
      <c r="AG1929" t="str">
        <f>HYPERLINK("https://doi.org/10.1515/9781474474955")</f>
        <v>https://doi.org/10.1515/9781474474955</v>
      </c>
      <c r="AH1929" t="str">
        <f>HYPERLINK("http://www.degruyter.com/isbn/9781474474955")</f>
        <v>http://www.degruyter.com/isbn/9781474474955</v>
      </c>
      <c r="AI1929" t="s">
        <v>8055</v>
      </c>
      <c r="AL1929" t="s">
        <v>83</v>
      </c>
      <c r="AM1929">
        <v>1</v>
      </c>
      <c r="AN1929" s="2">
        <v>9781474474924</v>
      </c>
    </row>
    <row r="1930" spans="1:40" x14ac:dyDescent="0.3">
      <c r="A1930" t="s">
        <v>9343</v>
      </c>
      <c r="B1930" t="s">
        <v>1</v>
      </c>
      <c r="C1930" t="s">
        <v>9344</v>
      </c>
      <c r="E1930" t="s">
        <v>9345</v>
      </c>
      <c r="F1930" t="s">
        <v>5</v>
      </c>
      <c r="G1930" t="s">
        <v>6</v>
      </c>
      <c r="L1930" t="s">
        <v>7</v>
      </c>
      <c r="M1930">
        <v>2016</v>
      </c>
      <c r="N1930" s="1">
        <v>42436</v>
      </c>
      <c r="O1930" t="s">
        <v>8909</v>
      </c>
      <c r="P1930">
        <v>1</v>
      </c>
      <c r="Q1930" t="s">
        <v>6437</v>
      </c>
      <c r="S1930">
        <v>217.95</v>
      </c>
      <c r="T1930">
        <v>250</v>
      </c>
      <c r="U1930">
        <v>190</v>
      </c>
      <c r="V1930" t="s">
        <v>58</v>
      </c>
      <c r="W1930" t="s">
        <v>59</v>
      </c>
      <c r="X1930" t="s">
        <v>278</v>
      </c>
      <c r="Y1930" t="s">
        <v>932</v>
      </c>
      <c r="AF1930" t="s">
        <v>13</v>
      </c>
      <c r="AG1930" t="str">
        <f>HYPERLINK("https://doi.org/10.1515/9781474411790")</f>
        <v>https://doi.org/10.1515/9781474411790</v>
      </c>
      <c r="AH1930" t="str">
        <f>HYPERLINK("http://www.degruyter.com/isbn/9781474411790")</f>
        <v>http://www.degruyter.com/isbn/9781474411790</v>
      </c>
      <c r="AI1930" t="s">
        <v>180</v>
      </c>
      <c r="AL1930" t="s">
        <v>62</v>
      </c>
      <c r="AM1930">
        <v>1</v>
      </c>
      <c r="AN1930" s="2">
        <v>9780748683680</v>
      </c>
    </row>
    <row r="1931" spans="1:40" x14ac:dyDescent="0.3">
      <c r="A1931" t="s">
        <v>9346</v>
      </c>
      <c r="B1931" t="s">
        <v>1</v>
      </c>
      <c r="C1931" t="s">
        <v>9347</v>
      </c>
      <c r="E1931" t="s">
        <v>9348</v>
      </c>
      <c r="F1931" t="s">
        <v>5</v>
      </c>
      <c r="G1931" t="s">
        <v>6</v>
      </c>
      <c r="L1931" t="s">
        <v>7</v>
      </c>
      <c r="M1931">
        <v>2007</v>
      </c>
      <c r="N1931" s="1">
        <v>39176</v>
      </c>
      <c r="O1931" t="s">
        <v>6377</v>
      </c>
      <c r="P1931">
        <v>1</v>
      </c>
      <c r="Q1931" t="s">
        <v>6437</v>
      </c>
      <c r="S1931">
        <v>217.95</v>
      </c>
      <c r="T1931">
        <v>250</v>
      </c>
      <c r="U1931">
        <v>190</v>
      </c>
      <c r="V1931" t="s">
        <v>58</v>
      </c>
      <c r="W1931" t="s">
        <v>59</v>
      </c>
      <c r="X1931" t="s">
        <v>60</v>
      </c>
      <c r="Y1931" t="s">
        <v>145</v>
      </c>
      <c r="AF1931" t="s">
        <v>13</v>
      </c>
      <c r="AG1931" t="str">
        <f>HYPERLINK("https://doi.org/10.1515/9780748630448")</f>
        <v>https://doi.org/10.1515/9780748630448</v>
      </c>
      <c r="AH1931" t="str">
        <f>HYPERLINK("http://www.degruyter.com/isbn/9780748630448")</f>
        <v>http://www.degruyter.com/isbn/9780748630448</v>
      </c>
      <c r="AI1931" t="s">
        <v>68</v>
      </c>
      <c r="AL1931" t="s">
        <v>62</v>
      </c>
      <c r="AM1931">
        <v>1</v>
      </c>
      <c r="AN1931" s="2">
        <v>9780748624393</v>
      </c>
    </row>
    <row r="1932" spans="1:40" x14ac:dyDescent="0.3">
      <c r="A1932" t="s">
        <v>9349</v>
      </c>
      <c r="B1932" t="s">
        <v>1</v>
      </c>
      <c r="C1932" t="s">
        <v>9350</v>
      </c>
      <c r="D1932" t="s">
        <v>9351</v>
      </c>
      <c r="E1932" t="s">
        <v>9352</v>
      </c>
      <c r="F1932" t="s">
        <v>5</v>
      </c>
      <c r="G1932" t="s">
        <v>6</v>
      </c>
      <c r="L1932" t="s">
        <v>7</v>
      </c>
      <c r="M1932">
        <v>2018</v>
      </c>
      <c r="N1932" s="1">
        <v>44656</v>
      </c>
      <c r="O1932" t="s">
        <v>9353</v>
      </c>
      <c r="P1932">
        <v>1</v>
      </c>
      <c r="Q1932" t="s">
        <v>8823</v>
      </c>
      <c r="S1932">
        <v>209.95</v>
      </c>
      <c r="T1932">
        <v>240</v>
      </c>
      <c r="U1932">
        <v>180</v>
      </c>
      <c r="V1932" t="s">
        <v>20</v>
      </c>
      <c r="W1932" t="s">
        <v>21</v>
      </c>
      <c r="X1932" t="s">
        <v>22</v>
      </c>
      <c r="Y1932" t="s">
        <v>23</v>
      </c>
      <c r="AF1932" t="s">
        <v>13</v>
      </c>
      <c r="AG1932" t="str">
        <f>HYPERLINK("https://doi.org/10.1515/9781474437899")</f>
        <v>https://doi.org/10.1515/9781474437899</v>
      </c>
      <c r="AH1932" t="str">
        <f>HYPERLINK("http://www.degruyter.com/isbn/9781474437899")</f>
        <v>http://www.degruyter.com/isbn/9781474437899</v>
      </c>
      <c r="AI1932" t="s">
        <v>46</v>
      </c>
      <c r="AL1932" t="s">
        <v>15</v>
      </c>
      <c r="AM1932">
        <v>1</v>
      </c>
      <c r="AN1932" s="2">
        <v>9781474437875</v>
      </c>
    </row>
    <row r="1933" spans="1:40" x14ac:dyDescent="0.3">
      <c r="A1933" t="s">
        <v>9354</v>
      </c>
      <c r="B1933" t="s">
        <v>1</v>
      </c>
      <c r="C1933" t="s">
        <v>9355</v>
      </c>
      <c r="D1933" t="s">
        <v>9356</v>
      </c>
      <c r="E1933" t="s">
        <v>9357</v>
      </c>
      <c r="F1933" t="s">
        <v>5</v>
      </c>
      <c r="G1933" t="s">
        <v>6</v>
      </c>
      <c r="K1933" t="s">
        <v>929</v>
      </c>
      <c r="L1933" t="s">
        <v>7</v>
      </c>
      <c r="M1933">
        <v>2020</v>
      </c>
      <c r="N1933" s="1">
        <v>44095</v>
      </c>
      <c r="O1933" t="s">
        <v>9358</v>
      </c>
      <c r="P1933">
        <v>1</v>
      </c>
      <c r="Q1933" t="s">
        <v>7164</v>
      </c>
      <c r="V1933" t="s">
        <v>58</v>
      </c>
      <c r="W1933" t="s">
        <v>59</v>
      </c>
      <c r="X1933" t="s">
        <v>60</v>
      </c>
      <c r="Y1933" t="s">
        <v>9359</v>
      </c>
      <c r="AF1933" t="s">
        <v>13</v>
      </c>
      <c r="AG1933" t="str">
        <f>HYPERLINK("https://doi.org/10.1515/9781474447027")</f>
        <v>https://doi.org/10.1515/9781474447027</v>
      </c>
      <c r="AH1933" t="str">
        <f>HYPERLINK("http://www.degruyter.com/isbn/9781474447027")</f>
        <v>http://www.degruyter.com/isbn/9781474447027</v>
      </c>
      <c r="AI1933" t="s">
        <v>14</v>
      </c>
      <c r="AM1933">
        <v>1</v>
      </c>
      <c r="AN1933" s="2"/>
    </row>
    <row r="1934" spans="1:40" x14ac:dyDescent="0.3">
      <c r="A1934" t="s">
        <v>9360</v>
      </c>
      <c r="B1934" t="s">
        <v>1</v>
      </c>
      <c r="C1934" t="s">
        <v>9361</v>
      </c>
      <c r="D1934" t="s">
        <v>9362</v>
      </c>
      <c r="E1934" t="s">
        <v>9363</v>
      </c>
      <c r="F1934" t="s">
        <v>5</v>
      </c>
      <c r="G1934" t="s">
        <v>6</v>
      </c>
      <c r="L1934" t="s">
        <v>7</v>
      </c>
      <c r="M1934">
        <v>2019</v>
      </c>
      <c r="N1934" s="1">
        <v>44644</v>
      </c>
      <c r="O1934" t="s">
        <v>6728</v>
      </c>
      <c r="P1934">
        <v>1</v>
      </c>
      <c r="Q1934" t="s">
        <v>6729</v>
      </c>
      <c r="S1934">
        <v>217.95</v>
      </c>
      <c r="T1934">
        <v>250</v>
      </c>
      <c r="U1934">
        <v>190</v>
      </c>
      <c r="V1934" t="s">
        <v>1325</v>
      </c>
      <c r="W1934" t="s">
        <v>2407</v>
      </c>
      <c r="X1934" t="s">
        <v>2407</v>
      </c>
      <c r="Y1934" t="s">
        <v>2408</v>
      </c>
      <c r="AF1934" t="s">
        <v>13</v>
      </c>
      <c r="AG1934" t="str">
        <f>HYPERLINK("https://doi.org/10.1515/9781474449281")</f>
        <v>https://doi.org/10.1515/9781474449281</v>
      </c>
      <c r="AH1934" t="str">
        <f>HYPERLINK("http://www.degruyter.com/isbn/9781474449281")</f>
        <v>http://www.degruyter.com/isbn/9781474449281</v>
      </c>
      <c r="AI1934" t="s">
        <v>9364</v>
      </c>
      <c r="AL1934" t="s">
        <v>1328</v>
      </c>
      <c r="AM1934">
        <v>1</v>
      </c>
      <c r="AN1934" s="2">
        <v>9781474449267</v>
      </c>
    </row>
    <row r="1935" spans="1:40" x14ac:dyDescent="0.3">
      <c r="A1935" t="s">
        <v>9365</v>
      </c>
      <c r="B1935" t="s">
        <v>1</v>
      </c>
      <c r="C1935" t="s">
        <v>9366</v>
      </c>
      <c r="D1935" t="s">
        <v>9367</v>
      </c>
      <c r="E1935" t="s">
        <v>9368</v>
      </c>
      <c r="F1935" t="s">
        <v>5</v>
      </c>
      <c r="G1935" t="s">
        <v>6</v>
      </c>
      <c r="L1935" t="s">
        <v>7</v>
      </c>
      <c r="M1935">
        <v>2018</v>
      </c>
      <c r="N1935" s="1">
        <v>44644</v>
      </c>
      <c r="O1935" t="s">
        <v>9369</v>
      </c>
      <c r="P1935">
        <v>1</v>
      </c>
      <c r="Q1935" t="s">
        <v>6539</v>
      </c>
      <c r="S1935">
        <v>227.95</v>
      </c>
      <c r="T1935">
        <v>260</v>
      </c>
      <c r="U1935">
        <v>200</v>
      </c>
      <c r="V1935" t="s">
        <v>42</v>
      </c>
      <c r="W1935" t="s">
        <v>107</v>
      </c>
      <c r="X1935" t="s">
        <v>108</v>
      </c>
      <c r="Y1935" t="s">
        <v>109</v>
      </c>
      <c r="AF1935" t="s">
        <v>13</v>
      </c>
      <c r="AG1935" t="str">
        <f>HYPERLINK("https://doi.org/10.1515/9781474438971?locatt=mode:legacy")</f>
        <v>https://doi.org/10.1515/9781474438971?locatt=mode:legacy</v>
      </c>
      <c r="AH1935" t="str">
        <f>HYPERLINK("http://www.degruyter.com/isbn/9781474438971")</f>
        <v>http://www.degruyter.com/isbn/9781474438971</v>
      </c>
      <c r="AI1935" t="s">
        <v>46</v>
      </c>
      <c r="AL1935" t="s">
        <v>47</v>
      </c>
      <c r="AM1935">
        <v>1</v>
      </c>
      <c r="AN1935" s="2">
        <v>9781474438957</v>
      </c>
    </row>
    <row r="1936" spans="1:40" x14ac:dyDescent="0.3">
      <c r="A1936" t="s">
        <v>9370</v>
      </c>
      <c r="B1936" t="s">
        <v>1</v>
      </c>
      <c r="C1936" t="s">
        <v>9371</v>
      </c>
      <c r="D1936" t="s">
        <v>9372</v>
      </c>
      <c r="E1936" t="s">
        <v>9373</v>
      </c>
      <c r="F1936" t="s">
        <v>5</v>
      </c>
      <c r="G1936" t="s">
        <v>6</v>
      </c>
      <c r="L1936" t="s">
        <v>7</v>
      </c>
      <c r="M1936">
        <v>2020</v>
      </c>
      <c r="N1936" s="1">
        <v>44656</v>
      </c>
      <c r="O1936" t="s">
        <v>9374</v>
      </c>
      <c r="P1936">
        <v>1</v>
      </c>
      <c r="Q1936" t="s">
        <v>7164</v>
      </c>
      <c r="S1936">
        <v>227.95</v>
      </c>
      <c r="T1936">
        <v>260</v>
      </c>
      <c r="U1936">
        <v>200</v>
      </c>
      <c r="V1936" t="s">
        <v>58</v>
      </c>
      <c r="W1936" t="s">
        <v>59</v>
      </c>
      <c r="X1936" t="s">
        <v>60</v>
      </c>
      <c r="Y1936" t="s">
        <v>2093</v>
      </c>
      <c r="AF1936" t="s">
        <v>13</v>
      </c>
      <c r="AG1936" t="str">
        <f>HYPERLINK("https://doi.org/10.1515/9781474458894")</f>
        <v>https://doi.org/10.1515/9781474458894</v>
      </c>
      <c r="AH1936" t="str">
        <f>HYPERLINK("http://www.degruyter.com/isbn/9781474458894")</f>
        <v>http://www.degruyter.com/isbn/9781474458894</v>
      </c>
      <c r="AI1936" t="s">
        <v>14</v>
      </c>
      <c r="AL1936" t="s">
        <v>62</v>
      </c>
      <c r="AM1936">
        <v>1</v>
      </c>
      <c r="AN1936" s="2">
        <v>9781474458870</v>
      </c>
    </row>
    <row r="1937" spans="1:40" x14ac:dyDescent="0.3">
      <c r="A1937" t="s">
        <v>9375</v>
      </c>
      <c r="B1937" t="s">
        <v>1</v>
      </c>
      <c r="C1937" t="s">
        <v>9376</v>
      </c>
      <c r="D1937" t="s">
        <v>9377</v>
      </c>
      <c r="E1937" t="s">
        <v>9378</v>
      </c>
      <c r="F1937" t="s">
        <v>5</v>
      </c>
      <c r="G1937" t="s">
        <v>6</v>
      </c>
      <c r="L1937" t="s">
        <v>7</v>
      </c>
      <c r="M1937">
        <v>2013</v>
      </c>
      <c r="N1937" s="1">
        <v>41439</v>
      </c>
      <c r="O1937" t="s">
        <v>9379</v>
      </c>
      <c r="P1937">
        <v>1</v>
      </c>
      <c r="Q1937" t="s">
        <v>6539</v>
      </c>
      <c r="S1937">
        <v>217.95</v>
      </c>
      <c r="T1937">
        <v>250</v>
      </c>
      <c r="U1937">
        <v>190</v>
      </c>
      <c r="V1937" t="s">
        <v>42</v>
      </c>
      <c r="W1937" t="s">
        <v>116</v>
      </c>
      <c r="X1937" t="s">
        <v>116</v>
      </c>
      <c r="Y1937" t="s">
        <v>117</v>
      </c>
      <c r="AF1937" t="s">
        <v>13</v>
      </c>
      <c r="AG1937" t="str">
        <f>HYPERLINK("https://doi.org/10.1515/9780748646265?locatt=mode:legacy")</f>
        <v>https://doi.org/10.1515/9780748646265?locatt=mode:legacy</v>
      </c>
      <c r="AH1937" t="str">
        <f>HYPERLINK("http://www.degruyter.com/isbn/9780748646265")</f>
        <v>http://www.degruyter.com/isbn/9780748646265</v>
      </c>
      <c r="AI1937" t="s">
        <v>68</v>
      </c>
      <c r="AL1937" t="s">
        <v>47</v>
      </c>
      <c r="AM1937">
        <v>1</v>
      </c>
      <c r="AN1937" s="2">
        <v>9780748646258</v>
      </c>
    </row>
    <row r="1938" spans="1:40" x14ac:dyDescent="0.3">
      <c r="A1938" t="s">
        <v>9380</v>
      </c>
      <c r="B1938" t="s">
        <v>1</v>
      </c>
      <c r="C1938" t="s">
        <v>9381</v>
      </c>
      <c r="E1938" t="s">
        <v>9382</v>
      </c>
      <c r="F1938" t="s">
        <v>5</v>
      </c>
      <c r="G1938" t="s">
        <v>6</v>
      </c>
      <c r="L1938" t="s">
        <v>7</v>
      </c>
      <c r="M1938">
        <v>2001</v>
      </c>
      <c r="N1938" s="1">
        <v>37189</v>
      </c>
      <c r="O1938" t="s">
        <v>9383</v>
      </c>
      <c r="P1938">
        <v>1</v>
      </c>
      <c r="Q1938" t="s">
        <v>7298</v>
      </c>
      <c r="S1938">
        <v>305.95</v>
      </c>
      <c r="T1938">
        <v>350</v>
      </c>
      <c r="U1938">
        <v>270</v>
      </c>
      <c r="V1938" t="s">
        <v>329</v>
      </c>
      <c r="W1938" t="s">
        <v>330</v>
      </c>
      <c r="X1938" t="s">
        <v>331</v>
      </c>
      <c r="Y1938" t="s">
        <v>4770</v>
      </c>
      <c r="AF1938" t="s">
        <v>13</v>
      </c>
      <c r="AG1938" t="str">
        <f>HYPERLINK("https://doi.org/10.1515/9781474473569")</f>
        <v>https://doi.org/10.1515/9781474473569</v>
      </c>
      <c r="AH1938" t="str">
        <f>HYPERLINK("http://www.degruyter.com/isbn/9781474473569")</f>
        <v>http://www.degruyter.com/isbn/9781474473569</v>
      </c>
      <c r="AI1938" t="s">
        <v>68</v>
      </c>
      <c r="AL1938" t="s">
        <v>333</v>
      </c>
      <c r="AM1938">
        <v>1</v>
      </c>
      <c r="AN1938" s="2">
        <v>9780748612949</v>
      </c>
    </row>
    <row r="1939" spans="1:40" x14ac:dyDescent="0.3">
      <c r="A1939" t="s">
        <v>9384</v>
      </c>
      <c r="B1939" t="s">
        <v>1</v>
      </c>
      <c r="C1939" t="s">
        <v>9385</v>
      </c>
      <c r="E1939" t="s">
        <v>9386</v>
      </c>
      <c r="F1939" t="s">
        <v>5</v>
      </c>
      <c r="G1939" t="s">
        <v>6</v>
      </c>
      <c r="L1939" t="s">
        <v>7</v>
      </c>
      <c r="M1939">
        <v>1987</v>
      </c>
      <c r="N1939" s="1">
        <v>44607</v>
      </c>
      <c r="O1939" t="s">
        <v>7637</v>
      </c>
      <c r="P1939">
        <v>1</v>
      </c>
      <c r="Q1939" t="s">
        <v>6923</v>
      </c>
      <c r="S1939">
        <v>217.95</v>
      </c>
      <c r="T1939">
        <v>250</v>
      </c>
      <c r="U1939">
        <v>190</v>
      </c>
      <c r="V1939" t="s">
        <v>297</v>
      </c>
      <c r="W1939" t="s">
        <v>7781</v>
      </c>
      <c r="X1939" t="s">
        <v>7781</v>
      </c>
      <c r="Y1939" t="s">
        <v>7782</v>
      </c>
      <c r="AF1939" t="s">
        <v>13</v>
      </c>
      <c r="AG1939" t="str">
        <f>HYPERLINK("https://doi.org/10.1515/9781474473477")</f>
        <v>https://doi.org/10.1515/9781474473477</v>
      </c>
      <c r="AH1939" t="str">
        <f>HYPERLINK("http://www.degruyter.com/isbn/9781474473477")</f>
        <v>http://www.degruyter.com/isbn/9781474473477</v>
      </c>
      <c r="AI1939" t="s">
        <v>24</v>
      </c>
      <c r="AL1939" t="s">
        <v>83</v>
      </c>
      <c r="AM1939">
        <v>1</v>
      </c>
      <c r="AN1939" s="2">
        <v>9780748607495</v>
      </c>
    </row>
    <row r="1940" spans="1:40" x14ac:dyDescent="0.3">
      <c r="A1940" t="s">
        <v>9387</v>
      </c>
      <c r="B1940" t="s">
        <v>1</v>
      </c>
      <c r="C1940" t="s">
        <v>9388</v>
      </c>
      <c r="D1940" t="s">
        <v>9389</v>
      </c>
      <c r="E1940" t="s">
        <v>9390</v>
      </c>
      <c r="F1940" t="s">
        <v>5</v>
      </c>
      <c r="G1940" t="s">
        <v>6</v>
      </c>
      <c r="L1940" t="s">
        <v>7</v>
      </c>
      <c r="M1940">
        <v>1997</v>
      </c>
      <c r="N1940" s="1">
        <v>44607</v>
      </c>
      <c r="O1940" t="s">
        <v>9391</v>
      </c>
      <c r="P1940">
        <v>1</v>
      </c>
      <c r="Q1940" t="s">
        <v>6929</v>
      </c>
      <c r="S1940">
        <v>217.95</v>
      </c>
      <c r="T1940">
        <v>250</v>
      </c>
      <c r="U1940">
        <v>190</v>
      </c>
      <c r="V1940" t="s">
        <v>30</v>
      </c>
      <c r="W1940" t="s">
        <v>31</v>
      </c>
      <c r="X1940" t="s">
        <v>32</v>
      </c>
      <c r="Y1940" t="s">
        <v>9392</v>
      </c>
      <c r="AF1940" t="s">
        <v>13</v>
      </c>
      <c r="AG1940" t="str">
        <f>HYPERLINK("https://doi.org/10.1515/9781474468688")</f>
        <v>https://doi.org/10.1515/9781474468688</v>
      </c>
      <c r="AH1940" t="str">
        <f>HYPERLINK("http://www.degruyter.com/isbn/9781474468688")</f>
        <v>http://www.degruyter.com/isbn/9781474468688</v>
      </c>
      <c r="AI1940" t="s">
        <v>24</v>
      </c>
      <c r="AL1940" t="s">
        <v>272</v>
      </c>
      <c r="AM1940">
        <v>1</v>
      </c>
      <c r="AN1940" s="2">
        <v>9780748610334</v>
      </c>
    </row>
    <row r="1941" spans="1:40" x14ac:dyDescent="0.3">
      <c r="A1941" t="s">
        <v>9393</v>
      </c>
      <c r="B1941" t="s">
        <v>1</v>
      </c>
      <c r="C1941" t="s">
        <v>9394</v>
      </c>
      <c r="D1941" t="s">
        <v>9395</v>
      </c>
      <c r="E1941" t="s">
        <v>9396</v>
      </c>
      <c r="F1941" t="s">
        <v>5</v>
      </c>
      <c r="G1941" t="s">
        <v>6</v>
      </c>
      <c r="L1941" t="s">
        <v>7</v>
      </c>
      <c r="M1941">
        <v>2017</v>
      </c>
      <c r="N1941" s="1">
        <v>42817</v>
      </c>
      <c r="O1941" t="s">
        <v>9397</v>
      </c>
      <c r="P1941">
        <v>1</v>
      </c>
      <c r="Q1941" t="s">
        <v>7238</v>
      </c>
      <c r="S1941">
        <v>227.95</v>
      </c>
      <c r="T1941">
        <v>260</v>
      </c>
      <c r="U1941">
        <v>200</v>
      </c>
      <c r="V1941" t="s">
        <v>329</v>
      </c>
      <c r="W1941" t="s">
        <v>330</v>
      </c>
      <c r="X1941" t="s">
        <v>331</v>
      </c>
      <c r="Y1941" t="s">
        <v>4770</v>
      </c>
      <c r="AF1941" t="s">
        <v>13</v>
      </c>
      <c r="AG1941" t="str">
        <f>HYPERLINK("https://doi.org/10.1515/9781474400305")</f>
        <v>https://doi.org/10.1515/9781474400305</v>
      </c>
      <c r="AH1941" t="str">
        <f>HYPERLINK("http://www.degruyter.com/isbn/9781474400305")</f>
        <v>http://www.degruyter.com/isbn/9781474400305</v>
      </c>
      <c r="AI1941" t="s">
        <v>222</v>
      </c>
      <c r="AL1941" t="s">
        <v>333</v>
      </c>
      <c r="AM1941">
        <v>1</v>
      </c>
      <c r="AN1941" s="2">
        <v>9781474400299</v>
      </c>
    </row>
    <row r="1942" spans="1:40" x14ac:dyDescent="0.3">
      <c r="A1942" t="s">
        <v>9398</v>
      </c>
      <c r="B1942" t="s">
        <v>1</v>
      </c>
      <c r="C1942" t="s">
        <v>9399</v>
      </c>
      <c r="D1942" t="s">
        <v>9400</v>
      </c>
      <c r="E1942" t="s">
        <v>9401</v>
      </c>
      <c r="F1942" t="s">
        <v>5</v>
      </c>
      <c r="G1942" t="s">
        <v>6</v>
      </c>
      <c r="L1942" t="s">
        <v>7</v>
      </c>
      <c r="M1942">
        <v>2018</v>
      </c>
      <c r="N1942" s="1">
        <v>44644</v>
      </c>
      <c r="O1942" t="s">
        <v>9402</v>
      </c>
      <c r="P1942">
        <v>1</v>
      </c>
      <c r="S1942">
        <v>253.95</v>
      </c>
      <c r="T1942">
        <v>290</v>
      </c>
      <c r="U1942">
        <v>220</v>
      </c>
      <c r="V1942" t="s">
        <v>79</v>
      </c>
      <c r="W1942" t="s">
        <v>123</v>
      </c>
      <c r="X1942" t="s">
        <v>123</v>
      </c>
      <c r="Y1942" t="s">
        <v>124</v>
      </c>
      <c r="AF1942" t="s">
        <v>13</v>
      </c>
      <c r="AG1942" t="str">
        <f>HYPERLINK("https://doi.org/10.1515/9781474413329")</f>
        <v>https://doi.org/10.1515/9781474413329</v>
      </c>
      <c r="AH1942" t="str">
        <f>HYPERLINK("http://www.degruyter.com/isbn/9781474413329")</f>
        <v>http://www.degruyter.com/isbn/9781474413329</v>
      </c>
      <c r="AI1942" t="s">
        <v>46</v>
      </c>
      <c r="AL1942" t="s">
        <v>83</v>
      </c>
      <c r="AM1942">
        <v>1</v>
      </c>
      <c r="AN1942" s="2">
        <v>9781474413305</v>
      </c>
    </row>
    <row r="1943" spans="1:40" x14ac:dyDescent="0.3">
      <c r="A1943" t="s">
        <v>9403</v>
      </c>
      <c r="B1943" t="s">
        <v>1</v>
      </c>
      <c r="C1943" t="s">
        <v>9404</v>
      </c>
      <c r="D1943" t="s">
        <v>9405</v>
      </c>
      <c r="E1943" t="s">
        <v>9406</v>
      </c>
      <c r="F1943" t="s">
        <v>5</v>
      </c>
      <c r="G1943" t="s">
        <v>6</v>
      </c>
      <c r="L1943" t="s">
        <v>7</v>
      </c>
      <c r="M1943">
        <v>2021</v>
      </c>
      <c r="N1943" s="1">
        <v>44644</v>
      </c>
      <c r="O1943" t="s">
        <v>9407</v>
      </c>
      <c r="P1943">
        <v>1</v>
      </c>
      <c r="Q1943" t="s">
        <v>5764</v>
      </c>
      <c r="S1943">
        <v>217.95</v>
      </c>
      <c r="T1943">
        <v>250</v>
      </c>
      <c r="U1943">
        <v>190</v>
      </c>
      <c r="V1943" t="s">
        <v>9</v>
      </c>
      <c r="W1943" t="s">
        <v>10</v>
      </c>
      <c r="X1943" t="s">
        <v>11</v>
      </c>
      <c r="Y1943" t="s">
        <v>52</v>
      </c>
      <c r="AF1943" t="s">
        <v>13</v>
      </c>
      <c r="AG1943" t="str">
        <f>HYPERLINK("https://doi.org/10.1515/9781474450447")</f>
        <v>https://doi.org/10.1515/9781474450447</v>
      </c>
      <c r="AH1943" t="str">
        <f>HYPERLINK("http://www.degruyter.com/isbn/9781474450447")</f>
        <v>http://www.degruyter.com/isbn/9781474450447</v>
      </c>
      <c r="AI1943" t="s">
        <v>216</v>
      </c>
      <c r="AL1943" t="s">
        <v>15</v>
      </c>
      <c r="AM1943">
        <v>1</v>
      </c>
      <c r="AN1943" s="2">
        <v>9781474450423</v>
      </c>
    </row>
    <row r="1944" spans="1:40" x14ac:dyDescent="0.3">
      <c r="A1944" t="s">
        <v>9408</v>
      </c>
      <c r="B1944" t="s">
        <v>1</v>
      </c>
      <c r="C1944" t="s">
        <v>9409</v>
      </c>
      <c r="D1944" t="s">
        <v>9410</v>
      </c>
      <c r="E1944" t="s">
        <v>9411</v>
      </c>
      <c r="F1944" t="s">
        <v>5</v>
      </c>
      <c r="G1944" t="s">
        <v>6</v>
      </c>
      <c r="L1944" t="s">
        <v>7</v>
      </c>
      <c r="M1944">
        <v>2017</v>
      </c>
      <c r="N1944" s="1">
        <v>42864</v>
      </c>
      <c r="O1944" t="s">
        <v>9412</v>
      </c>
      <c r="P1944">
        <v>1</v>
      </c>
      <c r="Q1944" t="s">
        <v>6785</v>
      </c>
      <c r="S1944">
        <v>227.95</v>
      </c>
      <c r="T1944">
        <v>260</v>
      </c>
      <c r="U1944">
        <v>200</v>
      </c>
      <c r="V1944" t="s">
        <v>20</v>
      </c>
      <c r="W1944" t="s">
        <v>470</v>
      </c>
      <c r="X1944" t="s">
        <v>1269</v>
      </c>
      <c r="Y1944" t="s">
        <v>1270</v>
      </c>
      <c r="AF1944" t="s">
        <v>13</v>
      </c>
      <c r="AG1944" t="str">
        <f>HYPERLINK("https://doi.org/10.1515/9781474419833?locatt=mode:legacy")</f>
        <v>https://doi.org/10.1515/9781474419833?locatt=mode:legacy</v>
      </c>
      <c r="AH1944" t="str">
        <f>HYPERLINK("http://www.degruyter.com/isbn/9781474419833")</f>
        <v>http://www.degruyter.com/isbn/9781474419833</v>
      </c>
      <c r="AI1944" t="s">
        <v>222</v>
      </c>
      <c r="AJ1944" t="s">
        <v>35</v>
      </c>
      <c r="AL1944" t="s">
        <v>1346</v>
      </c>
      <c r="AM1944">
        <v>1</v>
      </c>
      <c r="AN1944" s="2">
        <v>9781474419826</v>
      </c>
    </row>
    <row r="1945" spans="1:40" x14ac:dyDescent="0.3">
      <c r="A1945" t="s">
        <v>9413</v>
      </c>
      <c r="B1945" t="s">
        <v>1</v>
      </c>
      <c r="C1945" t="s">
        <v>9414</v>
      </c>
      <c r="E1945" t="s">
        <v>9415</v>
      </c>
      <c r="F1945" t="s">
        <v>5</v>
      </c>
      <c r="G1945" t="s">
        <v>6</v>
      </c>
      <c r="L1945" t="s">
        <v>7</v>
      </c>
      <c r="M1945">
        <v>2003</v>
      </c>
      <c r="N1945" s="1">
        <v>37943</v>
      </c>
      <c r="O1945" t="s">
        <v>1503</v>
      </c>
      <c r="P1945">
        <v>1</v>
      </c>
      <c r="S1945">
        <v>253.95</v>
      </c>
      <c r="T1945">
        <v>290</v>
      </c>
      <c r="U1945">
        <v>220</v>
      </c>
      <c r="V1945" t="s">
        <v>79</v>
      </c>
      <c r="W1945" t="s">
        <v>783</v>
      </c>
      <c r="X1945" t="s">
        <v>783</v>
      </c>
      <c r="Y1945" t="s">
        <v>784</v>
      </c>
      <c r="AF1945" t="s">
        <v>13</v>
      </c>
      <c r="AG1945" t="str">
        <f>HYPERLINK("https://doi.org/10.1515/9781474469302")</f>
        <v>https://doi.org/10.1515/9781474469302</v>
      </c>
      <c r="AH1945" t="str">
        <f>HYPERLINK("http://www.degruyter.com/isbn/9781474469302")</f>
        <v>http://www.degruyter.com/isbn/9781474469302</v>
      </c>
      <c r="AI1945" t="s">
        <v>68</v>
      </c>
      <c r="AL1945" t="s">
        <v>83</v>
      </c>
      <c r="AM1945">
        <v>1</v>
      </c>
      <c r="AN1945" s="2">
        <v>9780748618408</v>
      </c>
    </row>
    <row r="1946" spans="1:40" x14ac:dyDescent="0.3">
      <c r="A1946" t="s">
        <v>9416</v>
      </c>
      <c r="B1946" t="s">
        <v>1</v>
      </c>
      <c r="C1946" t="s">
        <v>9417</v>
      </c>
      <c r="D1946" t="s">
        <v>9418</v>
      </c>
      <c r="E1946" t="s">
        <v>9419</v>
      </c>
      <c r="F1946" t="s">
        <v>5</v>
      </c>
      <c r="G1946" t="s">
        <v>6</v>
      </c>
      <c r="L1946" t="s">
        <v>7</v>
      </c>
      <c r="M1946">
        <v>2006</v>
      </c>
      <c r="N1946" s="1">
        <v>38763</v>
      </c>
      <c r="O1946" t="s">
        <v>9420</v>
      </c>
      <c r="P1946">
        <v>1</v>
      </c>
      <c r="Q1946" t="s">
        <v>6659</v>
      </c>
      <c r="S1946">
        <v>279.95</v>
      </c>
      <c r="T1946">
        <v>320</v>
      </c>
      <c r="U1946">
        <v>240</v>
      </c>
      <c r="V1946" t="s">
        <v>268</v>
      </c>
      <c r="W1946" t="s">
        <v>269</v>
      </c>
      <c r="X1946" t="s">
        <v>269</v>
      </c>
      <c r="Y1946" t="s">
        <v>1045</v>
      </c>
      <c r="AF1946" t="s">
        <v>13</v>
      </c>
      <c r="AG1946" t="str">
        <f>HYPERLINK("https://doi.org/10.1515/9781474470582")</f>
        <v>https://doi.org/10.1515/9781474470582</v>
      </c>
      <c r="AH1946" t="str">
        <f>HYPERLINK("http://www.degruyter.com/isbn/9781474470582")</f>
        <v>http://www.degruyter.com/isbn/9781474470582</v>
      </c>
      <c r="AI1946" t="s">
        <v>1003</v>
      </c>
      <c r="AL1946" t="s">
        <v>272</v>
      </c>
      <c r="AM1946">
        <v>1</v>
      </c>
      <c r="AN1946" s="2">
        <v>9780748624256</v>
      </c>
    </row>
    <row r="1947" spans="1:40" x14ac:dyDescent="0.3">
      <c r="A1947" t="s">
        <v>9421</v>
      </c>
      <c r="B1947" t="s">
        <v>1</v>
      </c>
      <c r="C1947" t="s">
        <v>9422</v>
      </c>
      <c r="D1947" t="s">
        <v>9423</v>
      </c>
      <c r="E1947" t="s">
        <v>9424</v>
      </c>
      <c r="F1947" t="s">
        <v>5</v>
      </c>
      <c r="G1947" t="s">
        <v>6</v>
      </c>
      <c r="L1947" t="s">
        <v>7</v>
      </c>
      <c r="M1947">
        <v>2015</v>
      </c>
      <c r="N1947" s="1">
        <v>42040</v>
      </c>
      <c r="O1947" t="s">
        <v>9425</v>
      </c>
      <c r="P1947">
        <v>1</v>
      </c>
      <c r="S1947">
        <v>243.95</v>
      </c>
      <c r="T1947">
        <v>280</v>
      </c>
      <c r="U1947">
        <v>210</v>
      </c>
      <c r="V1947" t="s">
        <v>58</v>
      </c>
      <c r="W1947" t="s">
        <v>1135</v>
      </c>
      <c r="X1947" t="s">
        <v>3337</v>
      </c>
      <c r="Y1947" t="s">
        <v>7188</v>
      </c>
      <c r="AF1947" t="s">
        <v>13</v>
      </c>
      <c r="AG1947" t="str">
        <f>HYPERLINK("https://doi.org/10.1515/9780748694471")</f>
        <v>https://doi.org/10.1515/9780748694471</v>
      </c>
      <c r="AH1947" t="str">
        <f>HYPERLINK("http://www.degruyter.com/isbn/9780748694471")</f>
        <v>http://www.degruyter.com/isbn/9780748694471</v>
      </c>
      <c r="AI1947" t="s">
        <v>34</v>
      </c>
      <c r="AL1947" t="s">
        <v>62</v>
      </c>
      <c r="AM1947">
        <v>1</v>
      </c>
      <c r="AN1947" s="2">
        <v>9780748694457</v>
      </c>
    </row>
    <row r="1948" spans="1:40" x14ac:dyDescent="0.3">
      <c r="A1948" t="s">
        <v>9426</v>
      </c>
      <c r="B1948" t="s">
        <v>1</v>
      </c>
      <c r="C1948" t="s">
        <v>9427</v>
      </c>
      <c r="D1948" t="s">
        <v>9428</v>
      </c>
      <c r="E1948" t="s">
        <v>9429</v>
      </c>
      <c r="F1948" t="s">
        <v>5</v>
      </c>
      <c r="G1948" t="s">
        <v>6</v>
      </c>
      <c r="L1948" t="s">
        <v>7</v>
      </c>
      <c r="M1948">
        <v>2013</v>
      </c>
      <c r="N1948" s="1">
        <v>41311</v>
      </c>
      <c r="O1948" t="s">
        <v>9430</v>
      </c>
      <c r="P1948">
        <v>1</v>
      </c>
      <c r="S1948">
        <v>217.95</v>
      </c>
      <c r="T1948">
        <v>250</v>
      </c>
      <c r="U1948">
        <v>190</v>
      </c>
      <c r="V1948" t="s">
        <v>42</v>
      </c>
      <c r="W1948" t="s">
        <v>116</v>
      </c>
      <c r="X1948" t="s">
        <v>116</v>
      </c>
      <c r="Y1948" t="s">
        <v>1129</v>
      </c>
      <c r="AF1948" t="s">
        <v>13</v>
      </c>
      <c r="AG1948" t="str">
        <f>HYPERLINK("https://doi.org/10.1515/9780748669929?locatt=mode:legacy")</f>
        <v>https://doi.org/10.1515/9780748669929?locatt=mode:legacy</v>
      </c>
      <c r="AH1948" t="str">
        <f>HYPERLINK("http://www.degruyter.com/isbn/9780748669929")</f>
        <v>http://www.degruyter.com/isbn/9780748669929</v>
      </c>
      <c r="AI1948" t="s">
        <v>68</v>
      </c>
      <c r="AL1948" t="s">
        <v>47</v>
      </c>
      <c r="AM1948">
        <v>1</v>
      </c>
      <c r="AN1948" s="2">
        <v>9780748669912</v>
      </c>
    </row>
    <row r="1949" spans="1:40" x14ac:dyDescent="0.3">
      <c r="A1949" t="s">
        <v>9431</v>
      </c>
      <c r="B1949" t="s">
        <v>1</v>
      </c>
      <c r="C1949" t="s">
        <v>9432</v>
      </c>
      <c r="D1949" t="s">
        <v>9433</v>
      </c>
      <c r="E1949" t="s">
        <v>9434</v>
      </c>
      <c r="F1949" t="s">
        <v>5</v>
      </c>
      <c r="G1949" t="s">
        <v>6</v>
      </c>
      <c r="L1949" t="s">
        <v>7</v>
      </c>
      <c r="M1949">
        <v>2013</v>
      </c>
      <c r="N1949" s="1">
        <v>41414</v>
      </c>
      <c r="O1949" t="s">
        <v>9435</v>
      </c>
      <c r="P1949">
        <v>1</v>
      </c>
      <c r="Q1949" t="s">
        <v>7289</v>
      </c>
      <c r="S1949">
        <v>217.95</v>
      </c>
      <c r="T1949">
        <v>250</v>
      </c>
      <c r="U1949">
        <v>190</v>
      </c>
      <c r="V1949" t="s">
        <v>42</v>
      </c>
      <c r="W1949" t="s">
        <v>161</v>
      </c>
      <c r="X1949" t="s">
        <v>162</v>
      </c>
      <c r="Y1949" t="s">
        <v>896</v>
      </c>
      <c r="AF1949" t="s">
        <v>13</v>
      </c>
      <c r="AG1949" t="str">
        <f>HYPERLINK("https://doi.org/10.1515/9780748668656?locatt=mode:legacy")</f>
        <v>https://doi.org/10.1515/9780748668656?locatt=mode:legacy</v>
      </c>
      <c r="AH1949" t="str">
        <f>HYPERLINK("http://www.degruyter.com/isbn/9780748668656")</f>
        <v>http://www.degruyter.com/isbn/9780748668656</v>
      </c>
      <c r="AI1949" t="s">
        <v>68</v>
      </c>
      <c r="AL1949" t="s">
        <v>47</v>
      </c>
      <c r="AM1949">
        <v>1</v>
      </c>
      <c r="AN1949" s="2">
        <v>9780748668649</v>
      </c>
    </row>
    <row r="1950" spans="1:40" x14ac:dyDescent="0.3">
      <c r="A1950" t="s">
        <v>9436</v>
      </c>
      <c r="B1950" t="s">
        <v>1</v>
      </c>
      <c r="C1950" t="s">
        <v>9437</v>
      </c>
      <c r="D1950" t="s">
        <v>9438</v>
      </c>
      <c r="E1950" t="s">
        <v>9439</v>
      </c>
      <c r="F1950" t="s">
        <v>5</v>
      </c>
      <c r="G1950" t="s">
        <v>6</v>
      </c>
      <c r="L1950" t="s">
        <v>7</v>
      </c>
      <c r="M1950">
        <v>2013</v>
      </c>
      <c r="N1950" s="1">
        <v>41291</v>
      </c>
      <c r="O1950" t="s">
        <v>8814</v>
      </c>
      <c r="P1950">
        <v>1</v>
      </c>
      <c r="Q1950" t="s">
        <v>7174</v>
      </c>
      <c r="S1950">
        <v>217.95</v>
      </c>
      <c r="T1950">
        <v>250</v>
      </c>
      <c r="U1950">
        <v>190</v>
      </c>
      <c r="V1950" t="s">
        <v>42</v>
      </c>
      <c r="W1950" t="s">
        <v>116</v>
      </c>
      <c r="X1950" t="s">
        <v>116</v>
      </c>
      <c r="Y1950" t="s">
        <v>117</v>
      </c>
      <c r="AF1950" t="s">
        <v>13</v>
      </c>
      <c r="AG1950" t="str">
        <f>HYPERLINK("https://doi.org/10.1515/9780748676309?locatt=mode:legacy")</f>
        <v>https://doi.org/10.1515/9780748676309?locatt=mode:legacy</v>
      </c>
      <c r="AH1950" t="str">
        <f>HYPERLINK("http://www.degruyter.com/isbn/9780748676309")</f>
        <v>http://www.degruyter.com/isbn/9780748676309</v>
      </c>
      <c r="AI1950" t="s">
        <v>68</v>
      </c>
      <c r="AL1950" t="s">
        <v>47</v>
      </c>
      <c r="AM1950">
        <v>1</v>
      </c>
      <c r="AN1950" s="2">
        <v>9780748676293</v>
      </c>
    </row>
    <row r="1951" spans="1:40" x14ac:dyDescent="0.3">
      <c r="A1951" t="s">
        <v>9440</v>
      </c>
      <c r="B1951" t="s">
        <v>1</v>
      </c>
      <c r="C1951" t="s">
        <v>9441</v>
      </c>
      <c r="E1951" t="s">
        <v>9442</v>
      </c>
      <c r="F1951" t="s">
        <v>5</v>
      </c>
      <c r="G1951" t="s">
        <v>6</v>
      </c>
      <c r="L1951" t="s">
        <v>7</v>
      </c>
      <c r="M1951">
        <v>2016</v>
      </c>
      <c r="N1951" s="1">
        <v>42419</v>
      </c>
      <c r="O1951" t="s">
        <v>9443</v>
      </c>
      <c r="P1951">
        <v>1</v>
      </c>
      <c r="Q1951" t="s">
        <v>6665</v>
      </c>
      <c r="S1951">
        <v>217.95</v>
      </c>
      <c r="T1951">
        <v>250</v>
      </c>
      <c r="U1951">
        <v>190</v>
      </c>
      <c r="V1951" t="s">
        <v>42</v>
      </c>
      <c r="W1951" t="s">
        <v>43</v>
      </c>
      <c r="X1951" t="s">
        <v>44</v>
      </c>
      <c r="Y1951" t="s">
        <v>45</v>
      </c>
      <c r="AF1951" t="s">
        <v>13</v>
      </c>
      <c r="AG1951" t="str">
        <f>HYPERLINK("https://doi.org/10.1515/9781474403269")</f>
        <v>https://doi.org/10.1515/9781474403269</v>
      </c>
      <c r="AH1951" t="str">
        <f>HYPERLINK("http://www.degruyter.com/isbn/9781474403269")</f>
        <v>http://www.degruyter.com/isbn/9781474403269</v>
      </c>
      <c r="AI1951" t="s">
        <v>180</v>
      </c>
      <c r="AL1951" t="s">
        <v>47</v>
      </c>
      <c r="AM1951">
        <v>1</v>
      </c>
      <c r="AN1951" s="2">
        <v>9781474403252</v>
      </c>
    </row>
    <row r="1952" spans="1:40" x14ac:dyDescent="0.3">
      <c r="A1952" t="s">
        <v>9444</v>
      </c>
      <c r="B1952" t="s">
        <v>1</v>
      </c>
      <c r="C1952" t="s">
        <v>9445</v>
      </c>
      <c r="E1952" t="s">
        <v>9446</v>
      </c>
      <c r="F1952" t="s">
        <v>5</v>
      </c>
      <c r="G1952" t="s">
        <v>6</v>
      </c>
      <c r="L1952" t="s">
        <v>7</v>
      </c>
      <c r="M1952">
        <v>2011</v>
      </c>
      <c r="N1952" s="1">
        <v>40651</v>
      </c>
      <c r="O1952" t="s">
        <v>9447</v>
      </c>
      <c r="P1952">
        <v>1</v>
      </c>
      <c r="Q1952" t="s">
        <v>7481</v>
      </c>
      <c r="S1952">
        <v>227.95</v>
      </c>
      <c r="T1952">
        <v>260</v>
      </c>
      <c r="U1952">
        <v>200</v>
      </c>
      <c r="V1952" t="s">
        <v>42</v>
      </c>
      <c r="W1952" t="s">
        <v>43</v>
      </c>
      <c r="X1952" t="s">
        <v>178</v>
      </c>
      <c r="Y1952" t="s">
        <v>6508</v>
      </c>
      <c r="AF1952" t="s">
        <v>13</v>
      </c>
      <c r="AG1952" t="str">
        <f>HYPERLINK("https://doi.org/10.1515/9780748646081")</f>
        <v>https://doi.org/10.1515/9780748646081</v>
      </c>
      <c r="AH1952" t="str">
        <f>HYPERLINK("http://www.degruyter.com/isbn/9780748646081")</f>
        <v>http://www.degruyter.com/isbn/9780748646081</v>
      </c>
      <c r="AI1952" t="s">
        <v>68</v>
      </c>
      <c r="AL1952" t="s">
        <v>47</v>
      </c>
      <c r="AM1952">
        <v>1</v>
      </c>
      <c r="AN1952" s="2">
        <v>9780748641581</v>
      </c>
    </row>
    <row r="1953" spans="1:40" x14ac:dyDescent="0.3">
      <c r="A1953" t="s">
        <v>9448</v>
      </c>
      <c r="B1953" t="s">
        <v>1</v>
      </c>
      <c r="C1953" t="s">
        <v>9449</v>
      </c>
      <c r="D1953" t="s">
        <v>9450</v>
      </c>
      <c r="E1953" t="s">
        <v>9451</v>
      </c>
      <c r="F1953" t="s">
        <v>5</v>
      </c>
      <c r="G1953" t="s">
        <v>6</v>
      </c>
      <c r="L1953" t="s">
        <v>7</v>
      </c>
      <c r="M1953">
        <v>2016</v>
      </c>
      <c r="N1953" s="1">
        <v>42662</v>
      </c>
      <c r="O1953" t="s">
        <v>9452</v>
      </c>
      <c r="P1953">
        <v>1</v>
      </c>
      <c r="Q1953" t="s">
        <v>8096</v>
      </c>
      <c r="S1953">
        <v>227.95</v>
      </c>
      <c r="T1953">
        <v>260</v>
      </c>
      <c r="U1953">
        <v>200</v>
      </c>
      <c r="V1953" t="s">
        <v>42</v>
      </c>
      <c r="W1953" t="s">
        <v>116</v>
      </c>
      <c r="X1953" t="s">
        <v>116</v>
      </c>
      <c r="Y1953" t="s">
        <v>117</v>
      </c>
      <c r="AF1953" t="s">
        <v>13</v>
      </c>
      <c r="AG1953" t="str">
        <f>HYPERLINK("https://doi.org/10.1515/9781474413480")</f>
        <v>https://doi.org/10.1515/9781474413480</v>
      </c>
      <c r="AH1953" t="str">
        <f>HYPERLINK("http://www.degruyter.com/isbn/9781474413480")</f>
        <v>http://www.degruyter.com/isbn/9781474413480</v>
      </c>
      <c r="AI1953" t="s">
        <v>180</v>
      </c>
      <c r="AL1953" t="s">
        <v>47</v>
      </c>
      <c r="AM1953">
        <v>1</v>
      </c>
      <c r="AN1953" s="2">
        <v>9781474413473</v>
      </c>
    </row>
    <row r="1954" spans="1:40" x14ac:dyDescent="0.3">
      <c r="A1954" t="s">
        <v>9453</v>
      </c>
      <c r="B1954" t="s">
        <v>1</v>
      </c>
      <c r="C1954" t="s">
        <v>9454</v>
      </c>
      <c r="E1954" t="s">
        <v>9455</v>
      </c>
      <c r="F1954" t="s">
        <v>5</v>
      </c>
      <c r="G1954" t="s">
        <v>6</v>
      </c>
      <c r="L1954" t="s">
        <v>7</v>
      </c>
      <c r="M1954">
        <v>2009</v>
      </c>
      <c r="N1954" s="1">
        <v>39879</v>
      </c>
      <c r="O1954" t="s">
        <v>9456</v>
      </c>
      <c r="P1954">
        <v>1</v>
      </c>
      <c r="Q1954" t="s">
        <v>8412</v>
      </c>
      <c r="S1954">
        <v>191.95</v>
      </c>
      <c r="T1954">
        <v>220</v>
      </c>
      <c r="U1954">
        <v>170</v>
      </c>
      <c r="V1954" t="s">
        <v>42</v>
      </c>
      <c r="W1954" t="s">
        <v>43</v>
      </c>
      <c r="X1954" t="s">
        <v>178</v>
      </c>
      <c r="Y1954" t="s">
        <v>1745</v>
      </c>
      <c r="AF1954" t="s">
        <v>13</v>
      </c>
      <c r="AG1954" t="str">
        <f>HYPERLINK("https://doi.org/10.1515/9780748631698")</f>
        <v>https://doi.org/10.1515/9780748631698</v>
      </c>
      <c r="AH1954" t="str">
        <f>HYPERLINK("http://www.degruyter.com/isbn/9780748631698")</f>
        <v>http://www.degruyter.com/isbn/9780748631698</v>
      </c>
      <c r="AI1954" t="s">
        <v>68</v>
      </c>
      <c r="AL1954" t="s">
        <v>47</v>
      </c>
      <c r="AM1954">
        <v>1</v>
      </c>
      <c r="AN1954" s="2">
        <v>9780748627806</v>
      </c>
    </row>
    <row r="1955" spans="1:40" x14ac:dyDescent="0.3">
      <c r="A1955" t="s">
        <v>9457</v>
      </c>
      <c r="B1955" t="s">
        <v>1</v>
      </c>
      <c r="C1955" t="s">
        <v>9458</v>
      </c>
      <c r="E1955" t="s">
        <v>9459</v>
      </c>
      <c r="F1955" t="s">
        <v>5</v>
      </c>
      <c r="G1955" t="s">
        <v>6</v>
      </c>
      <c r="L1955" t="s">
        <v>7</v>
      </c>
      <c r="M1955">
        <v>2010</v>
      </c>
      <c r="N1955" s="1">
        <v>40209</v>
      </c>
      <c r="O1955" t="s">
        <v>6377</v>
      </c>
      <c r="P1955">
        <v>1</v>
      </c>
      <c r="S1955">
        <v>253.95</v>
      </c>
      <c r="T1955">
        <v>290</v>
      </c>
      <c r="U1955">
        <v>220</v>
      </c>
      <c r="V1955" t="s">
        <v>58</v>
      </c>
      <c r="W1955" t="s">
        <v>59</v>
      </c>
      <c r="X1955" t="s">
        <v>60</v>
      </c>
      <c r="Y1955" t="s">
        <v>399</v>
      </c>
      <c r="AF1955" t="s">
        <v>13</v>
      </c>
      <c r="AG1955" t="str">
        <f>HYPERLINK("https://doi.org/10.1515/9780748635023")</f>
        <v>https://doi.org/10.1515/9780748635023</v>
      </c>
      <c r="AH1955" t="str">
        <f>HYPERLINK("http://www.degruyter.com/isbn/9780748635023")</f>
        <v>http://www.degruyter.com/isbn/9780748635023</v>
      </c>
      <c r="AI1955" t="s">
        <v>68</v>
      </c>
      <c r="AL1955" t="s">
        <v>62</v>
      </c>
      <c r="AM1955">
        <v>1</v>
      </c>
      <c r="AN1955" s="2">
        <v>9780748635016</v>
      </c>
    </row>
    <row r="1956" spans="1:40" x14ac:dyDescent="0.3">
      <c r="A1956" t="s">
        <v>9460</v>
      </c>
      <c r="B1956" t="s">
        <v>1</v>
      </c>
      <c r="C1956" t="s">
        <v>9461</v>
      </c>
      <c r="D1956" t="s">
        <v>9462</v>
      </c>
      <c r="E1956" t="s">
        <v>9463</v>
      </c>
      <c r="F1956" t="s">
        <v>5</v>
      </c>
      <c r="G1956" t="s">
        <v>6</v>
      </c>
      <c r="L1956" t="s">
        <v>7</v>
      </c>
      <c r="M1956">
        <v>2014</v>
      </c>
      <c r="N1956" s="1">
        <v>41778</v>
      </c>
      <c r="O1956" t="s">
        <v>9464</v>
      </c>
      <c r="P1956">
        <v>1</v>
      </c>
      <c r="Q1956" t="s">
        <v>7571</v>
      </c>
      <c r="S1956">
        <v>191.95</v>
      </c>
      <c r="T1956">
        <v>220</v>
      </c>
      <c r="U1956">
        <v>170</v>
      </c>
      <c r="V1956" t="s">
        <v>20</v>
      </c>
      <c r="W1956" t="s">
        <v>21</v>
      </c>
      <c r="X1956" t="s">
        <v>22</v>
      </c>
      <c r="Y1956" t="s">
        <v>23</v>
      </c>
      <c r="AF1956" t="s">
        <v>13</v>
      </c>
      <c r="AG1956" t="str">
        <f>HYPERLINK("https://doi.org/10.1515/9780748694198")</f>
        <v>https://doi.org/10.1515/9780748694198</v>
      </c>
      <c r="AH1956" t="str">
        <f>HYPERLINK("http://www.degruyter.com/isbn/9780748694198")</f>
        <v>http://www.degruyter.com/isbn/9780748694198</v>
      </c>
      <c r="AI1956" t="s">
        <v>34</v>
      </c>
      <c r="AL1956" t="s">
        <v>15</v>
      </c>
      <c r="AM1956">
        <v>1</v>
      </c>
      <c r="AN1956" s="2">
        <v>9780748645879</v>
      </c>
    </row>
    <row r="1957" spans="1:40" x14ac:dyDescent="0.3">
      <c r="A1957" t="s">
        <v>9465</v>
      </c>
      <c r="B1957" t="s">
        <v>1</v>
      </c>
      <c r="C1957" t="s">
        <v>9466</v>
      </c>
      <c r="D1957" t="s">
        <v>5690</v>
      </c>
      <c r="E1957" t="s">
        <v>9467</v>
      </c>
      <c r="F1957" t="s">
        <v>5</v>
      </c>
      <c r="G1957" t="s">
        <v>6</v>
      </c>
      <c r="L1957" t="s">
        <v>7</v>
      </c>
      <c r="M1957">
        <v>2012</v>
      </c>
      <c r="N1957" s="1">
        <v>41003</v>
      </c>
      <c r="O1957" t="s">
        <v>9468</v>
      </c>
      <c r="P1957">
        <v>1</v>
      </c>
      <c r="Q1957" t="s">
        <v>5693</v>
      </c>
      <c r="S1957">
        <v>227.95</v>
      </c>
      <c r="T1957">
        <v>260</v>
      </c>
      <c r="U1957">
        <v>200</v>
      </c>
      <c r="V1957" t="s">
        <v>42</v>
      </c>
      <c r="W1957" t="s">
        <v>116</v>
      </c>
      <c r="X1957" t="s">
        <v>116</v>
      </c>
      <c r="Y1957" t="s">
        <v>117</v>
      </c>
      <c r="AF1957" t="s">
        <v>13</v>
      </c>
      <c r="AG1957" t="str">
        <f>HYPERLINK("https://doi.org/10.1515/9780748654970")</f>
        <v>https://doi.org/10.1515/9780748654970</v>
      </c>
      <c r="AH1957" t="str">
        <f>HYPERLINK("http://www.degruyter.com/isbn/9780748654970")</f>
        <v>http://www.degruyter.com/isbn/9780748654970</v>
      </c>
      <c r="AI1957" t="s">
        <v>68</v>
      </c>
      <c r="AL1957" t="s">
        <v>47</v>
      </c>
      <c r="AM1957">
        <v>1</v>
      </c>
      <c r="AN1957" s="2">
        <v>9780748642496</v>
      </c>
    </row>
    <row r="1958" spans="1:40" x14ac:dyDescent="0.3">
      <c r="A1958" t="s">
        <v>9469</v>
      </c>
      <c r="B1958" t="s">
        <v>1</v>
      </c>
      <c r="C1958" t="s">
        <v>9470</v>
      </c>
      <c r="D1958" t="s">
        <v>9471</v>
      </c>
      <c r="E1958" t="s">
        <v>9472</v>
      </c>
      <c r="F1958" t="s">
        <v>5</v>
      </c>
      <c r="G1958" t="s">
        <v>6</v>
      </c>
      <c r="L1958" t="s">
        <v>7</v>
      </c>
      <c r="M1958">
        <v>2015</v>
      </c>
      <c r="N1958" s="1">
        <v>42153</v>
      </c>
      <c r="O1958" t="s">
        <v>9473</v>
      </c>
      <c r="P1958">
        <v>1</v>
      </c>
      <c r="S1958">
        <v>243.95</v>
      </c>
      <c r="T1958">
        <v>280</v>
      </c>
      <c r="U1958">
        <v>210</v>
      </c>
      <c r="V1958" t="s">
        <v>20</v>
      </c>
      <c r="W1958" t="s">
        <v>21</v>
      </c>
      <c r="X1958" t="s">
        <v>458</v>
      </c>
      <c r="Y1958" t="s">
        <v>459</v>
      </c>
      <c r="AF1958" t="s">
        <v>13</v>
      </c>
      <c r="AG1958" t="str">
        <f>HYPERLINK("https://doi.org/10.1515/9780748686117")</f>
        <v>https://doi.org/10.1515/9780748686117</v>
      </c>
      <c r="AH1958" t="str">
        <f>HYPERLINK("http://www.degruyter.com/isbn/9780748686117")</f>
        <v>http://www.degruyter.com/isbn/9780748686117</v>
      </c>
      <c r="AI1958" t="s">
        <v>34</v>
      </c>
      <c r="AL1958" t="s">
        <v>15</v>
      </c>
      <c r="AM1958">
        <v>1</v>
      </c>
      <c r="AN1958" s="2">
        <v>9780748686100</v>
      </c>
    </row>
    <row r="1959" spans="1:40" x14ac:dyDescent="0.3">
      <c r="A1959" t="s">
        <v>9474</v>
      </c>
      <c r="B1959" t="s">
        <v>1</v>
      </c>
      <c r="C1959" t="s">
        <v>9475</v>
      </c>
      <c r="D1959" t="s">
        <v>9476</v>
      </c>
      <c r="E1959" t="s">
        <v>9477</v>
      </c>
      <c r="F1959" t="s">
        <v>5</v>
      </c>
      <c r="G1959" t="s">
        <v>6</v>
      </c>
      <c r="L1959" t="s">
        <v>7</v>
      </c>
      <c r="M1959">
        <v>2021</v>
      </c>
      <c r="N1959" s="1">
        <v>44622</v>
      </c>
      <c r="O1959" t="s">
        <v>9478</v>
      </c>
      <c r="P1959">
        <v>1</v>
      </c>
      <c r="Q1959" t="s">
        <v>8869</v>
      </c>
      <c r="S1959">
        <v>217.95</v>
      </c>
      <c r="T1959">
        <v>250</v>
      </c>
      <c r="U1959">
        <v>190</v>
      </c>
      <c r="V1959" t="s">
        <v>268</v>
      </c>
      <c r="W1959" t="s">
        <v>269</v>
      </c>
      <c r="X1959" t="s">
        <v>269</v>
      </c>
      <c r="Y1959" t="s">
        <v>360</v>
      </c>
      <c r="AF1959" t="s">
        <v>13</v>
      </c>
      <c r="AG1959" t="str">
        <f>HYPERLINK("https://doi.org/10.1515/9781474446693")</f>
        <v>https://doi.org/10.1515/9781474446693</v>
      </c>
      <c r="AH1959" t="str">
        <f>HYPERLINK("http://www.degruyter.com/isbn/9781474446693")</f>
        <v>http://www.degruyter.com/isbn/9781474446693</v>
      </c>
      <c r="AI1959" t="s">
        <v>9479</v>
      </c>
      <c r="AL1959" t="s">
        <v>272</v>
      </c>
      <c r="AM1959">
        <v>1</v>
      </c>
      <c r="AN1959" s="2">
        <v>9781474446679</v>
      </c>
    </row>
    <row r="1960" spans="1:40" x14ac:dyDescent="0.3">
      <c r="A1960" t="s">
        <v>9480</v>
      </c>
      <c r="B1960" t="s">
        <v>1</v>
      </c>
      <c r="C1960" t="s">
        <v>9481</v>
      </c>
      <c r="D1960" t="s">
        <v>9482</v>
      </c>
      <c r="E1960" t="s">
        <v>9483</v>
      </c>
      <c r="F1960" t="s">
        <v>5</v>
      </c>
      <c r="G1960" t="s">
        <v>6</v>
      </c>
      <c r="L1960" t="s">
        <v>7</v>
      </c>
      <c r="M1960">
        <v>2011</v>
      </c>
      <c r="N1960" s="1">
        <v>40598</v>
      </c>
      <c r="O1960" t="s">
        <v>9484</v>
      </c>
      <c r="P1960">
        <v>1</v>
      </c>
      <c r="Q1960" t="s">
        <v>6539</v>
      </c>
      <c r="S1960">
        <v>217.95</v>
      </c>
      <c r="T1960">
        <v>250</v>
      </c>
      <c r="U1960">
        <v>190</v>
      </c>
      <c r="V1960" t="s">
        <v>42</v>
      </c>
      <c r="W1960" t="s">
        <v>107</v>
      </c>
      <c r="X1960" t="s">
        <v>108</v>
      </c>
      <c r="Y1960" t="s">
        <v>109</v>
      </c>
      <c r="AF1960" t="s">
        <v>13</v>
      </c>
      <c r="AG1960" t="str">
        <f>HYPERLINK("https://doi.org/10.1515/9780748645459")</f>
        <v>https://doi.org/10.1515/9780748645459</v>
      </c>
      <c r="AH1960" t="str">
        <f>HYPERLINK("http://www.degruyter.com/isbn/9780748645459")</f>
        <v>http://www.degruyter.com/isbn/9780748645459</v>
      </c>
      <c r="AI1960" t="s">
        <v>68</v>
      </c>
      <c r="AL1960" t="s">
        <v>47</v>
      </c>
      <c r="AM1960">
        <v>1</v>
      </c>
      <c r="AN1960" s="2">
        <v>9780748640676</v>
      </c>
    </row>
    <row r="1961" spans="1:40" x14ac:dyDescent="0.3">
      <c r="A1961" t="s">
        <v>9485</v>
      </c>
      <c r="B1961" t="s">
        <v>1</v>
      </c>
      <c r="C1961" t="s">
        <v>9486</v>
      </c>
      <c r="E1961" t="s">
        <v>9487</v>
      </c>
      <c r="F1961" t="s">
        <v>5</v>
      </c>
      <c r="G1961" t="s">
        <v>6</v>
      </c>
      <c r="L1961" t="s">
        <v>7</v>
      </c>
      <c r="M1961">
        <v>2010</v>
      </c>
      <c r="N1961" s="1">
        <v>40421</v>
      </c>
      <c r="O1961" t="s">
        <v>9488</v>
      </c>
      <c r="P1961">
        <v>1</v>
      </c>
      <c r="Q1961" t="s">
        <v>7027</v>
      </c>
      <c r="S1961">
        <v>217.95</v>
      </c>
      <c r="T1961">
        <v>250</v>
      </c>
      <c r="U1961">
        <v>190</v>
      </c>
      <c r="V1961" t="s">
        <v>98</v>
      </c>
      <c r="W1961" t="s">
        <v>99</v>
      </c>
      <c r="X1961" t="s">
        <v>386</v>
      </c>
      <c r="Y1961" t="s">
        <v>387</v>
      </c>
      <c r="AF1961" t="s">
        <v>13</v>
      </c>
      <c r="AG1961" t="str">
        <f>HYPERLINK("https://doi.org/10.1515/9780748635979")</f>
        <v>https://doi.org/10.1515/9780748635979</v>
      </c>
      <c r="AH1961" t="str">
        <f>HYPERLINK("http://www.degruyter.com/isbn/9780748635979")</f>
        <v>http://www.degruyter.com/isbn/9780748635979</v>
      </c>
      <c r="AI1961" t="s">
        <v>68</v>
      </c>
      <c r="AL1961" t="s">
        <v>102</v>
      </c>
      <c r="AM1961">
        <v>1</v>
      </c>
      <c r="AN1961" s="2">
        <v>9780748635955</v>
      </c>
    </row>
    <row r="1962" spans="1:40" x14ac:dyDescent="0.3">
      <c r="A1962" t="s">
        <v>9489</v>
      </c>
      <c r="B1962" t="s">
        <v>1</v>
      </c>
      <c r="C1962" t="s">
        <v>9490</v>
      </c>
      <c r="D1962" t="s">
        <v>9491</v>
      </c>
      <c r="E1962" t="s">
        <v>9492</v>
      </c>
      <c r="F1962" t="s">
        <v>5</v>
      </c>
      <c r="G1962" t="s">
        <v>6</v>
      </c>
      <c r="L1962" t="s">
        <v>7</v>
      </c>
      <c r="M1962">
        <v>2016</v>
      </c>
      <c r="N1962" s="1">
        <v>42453</v>
      </c>
      <c r="O1962" t="s">
        <v>9493</v>
      </c>
      <c r="P1962">
        <v>1</v>
      </c>
      <c r="Q1962" t="s">
        <v>7571</v>
      </c>
      <c r="S1962">
        <v>191.95</v>
      </c>
      <c r="T1962">
        <v>220</v>
      </c>
      <c r="U1962">
        <v>170</v>
      </c>
      <c r="V1962" t="s">
        <v>20</v>
      </c>
      <c r="W1962" t="s">
        <v>21</v>
      </c>
      <c r="X1962" t="s">
        <v>22</v>
      </c>
      <c r="Y1962" t="s">
        <v>23</v>
      </c>
      <c r="AF1962" t="s">
        <v>13</v>
      </c>
      <c r="AG1962" t="str">
        <f>HYPERLINK("https://doi.org/10.1515/9781474468978")</f>
        <v>https://doi.org/10.1515/9781474468978</v>
      </c>
      <c r="AH1962" t="str">
        <f>HYPERLINK("http://www.degruyter.com/isbn/9781474468978")</f>
        <v>http://www.degruyter.com/isbn/9781474468978</v>
      </c>
      <c r="AI1962" t="s">
        <v>180</v>
      </c>
      <c r="AL1962" t="s">
        <v>15</v>
      </c>
      <c r="AM1962">
        <v>1</v>
      </c>
      <c r="AN1962" s="2">
        <v>9780748682362</v>
      </c>
    </row>
    <row r="1963" spans="1:40" x14ac:dyDescent="0.3">
      <c r="A1963" t="s">
        <v>9494</v>
      </c>
      <c r="B1963" t="s">
        <v>1</v>
      </c>
      <c r="C1963" t="s">
        <v>9495</v>
      </c>
      <c r="E1963" t="s">
        <v>9496</v>
      </c>
      <c r="F1963" t="s">
        <v>5</v>
      </c>
      <c r="G1963" t="s">
        <v>6</v>
      </c>
      <c r="L1963" t="s">
        <v>7</v>
      </c>
      <c r="M1963">
        <v>2021</v>
      </c>
      <c r="N1963" s="1">
        <v>44656</v>
      </c>
      <c r="O1963" t="s">
        <v>2551</v>
      </c>
      <c r="P1963">
        <v>1</v>
      </c>
      <c r="Q1963" t="s">
        <v>6187</v>
      </c>
      <c r="S1963">
        <v>305.95</v>
      </c>
      <c r="T1963">
        <v>350</v>
      </c>
      <c r="U1963">
        <v>270</v>
      </c>
      <c r="V1963" t="s">
        <v>847</v>
      </c>
      <c r="W1963" t="s">
        <v>848</v>
      </c>
      <c r="X1963" t="s">
        <v>20</v>
      </c>
      <c r="Y1963" t="s">
        <v>2273</v>
      </c>
      <c r="AF1963" t="s">
        <v>13</v>
      </c>
      <c r="AG1963" t="str">
        <f>HYPERLINK("https://doi.org/10.1515/9781474474870")</f>
        <v>https://doi.org/10.1515/9781474474870</v>
      </c>
      <c r="AH1963" t="str">
        <f>HYPERLINK("http://www.degruyter.com/isbn/9781474474870")</f>
        <v>http://www.degruyter.com/isbn/9781474474870</v>
      </c>
      <c r="AI1963" t="s">
        <v>9497</v>
      </c>
      <c r="AL1963" t="s">
        <v>1070</v>
      </c>
      <c r="AM1963">
        <v>1</v>
      </c>
      <c r="AN1963" s="2">
        <v>9781474474849</v>
      </c>
    </row>
    <row r="1964" spans="1:40" x14ac:dyDescent="0.3">
      <c r="A1964" t="s">
        <v>9498</v>
      </c>
      <c r="B1964" t="s">
        <v>1</v>
      </c>
      <c r="C1964" t="s">
        <v>9499</v>
      </c>
      <c r="D1964" t="s">
        <v>9500</v>
      </c>
      <c r="E1964" t="s">
        <v>9501</v>
      </c>
      <c r="F1964" t="s">
        <v>5</v>
      </c>
      <c r="G1964" t="s">
        <v>6</v>
      </c>
      <c r="L1964" t="s">
        <v>7</v>
      </c>
      <c r="M1964">
        <v>2016</v>
      </c>
      <c r="N1964" s="1">
        <v>42437</v>
      </c>
      <c r="O1964" t="s">
        <v>9502</v>
      </c>
      <c r="P1964">
        <v>1</v>
      </c>
      <c r="Q1964" t="s">
        <v>6606</v>
      </c>
      <c r="S1964">
        <v>227.95</v>
      </c>
      <c r="T1964">
        <v>260</v>
      </c>
      <c r="U1964">
        <v>200</v>
      </c>
      <c r="V1964" t="s">
        <v>79</v>
      </c>
      <c r="W1964" t="s">
        <v>209</v>
      </c>
      <c r="X1964" t="s">
        <v>209</v>
      </c>
      <c r="Y1964" t="s">
        <v>510</v>
      </c>
      <c r="AF1964" t="s">
        <v>13</v>
      </c>
      <c r="AG1964" t="str">
        <f>HYPERLINK("https://doi.org/10.1515/9780748691586")</f>
        <v>https://doi.org/10.1515/9780748691586</v>
      </c>
      <c r="AH1964" t="str">
        <f>HYPERLINK("http://www.degruyter.com/isbn/9780748691586")</f>
        <v>http://www.degruyter.com/isbn/9780748691586</v>
      </c>
      <c r="AI1964" t="s">
        <v>180</v>
      </c>
      <c r="AL1964" t="s">
        <v>83</v>
      </c>
      <c r="AM1964">
        <v>1</v>
      </c>
      <c r="AN1964" s="2">
        <v>9780748691579</v>
      </c>
    </row>
    <row r="1965" spans="1:40" x14ac:dyDescent="0.3">
      <c r="A1965" t="s">
        <v>9503</v>
      </c>
      <c r="B1965" t="s">
        <v>1</v>
      </c>
      <c r="C1965" t="s">
        <v>9504</v>
      </c>
      <c r="D1965" t="s">
        <v>9505</v>
      </c>
      <c r="E1965" t="s">
        <v>9506</v>
      </c>
      <c r="F1965" t="s">
        <v>5</v>
      </c>
      <c r="G1965" t="s">
        <v>6</v>
      </c>
      <c r="K1965" t="s">
        <v>929</v>
      </c>
      <c r="L1965" t="s">
        <v>7</v>
      </c>
      <c r="M1965">
        <v>2019</v>
      </c>
      <c r="N1965" s="1">
        <v>43588</v>
      </c>
      <c r="O1965" t="s">
        <v>9507</v>
      </c>
      <c r="P1965">
        <v>1</v>
      </c>
      <c r="Q1965" t="s">
        <v>7059</v>
      </c>
      <c r="V1965" t="s">
        <v>9</v>
      </c>
      <c r="W1965" t="s">
        <v>10</v>
      </c>
      <c r="X1965" t="s">
        <v>11</v>
      </c>
      <c r="Y1965" t="s">
        <v>52</v>
      </c>
      <c r="AF1965" t="s">
        <v>13</v>
      </c>
      <c r="AG1965" t="str">
        <f>HYPERLINK("https://doi.org/10.1515/9781474427869")</f>
        <v>https://doi.org/10.1515/9781474427869</v>
      </c>
      <c r="AH1965" t="str">
        <f>HYPERLINK("http://www.degruyter.com/isbn/9781474427869")</f>
        <v>http://www.degruyter.com/isbn/9781474427869</v>
      </c>
      <c r="AI1965" t="s">
        <v>280</v>
      </c>
      <c r="AM1965">
        <v>1</v>
      </c>
      <c r="AN1965" s="2"/>
    </row>
    <row r="1966" spans="1:40" x14ac:dyDescent="0.3">
      <c r="A1966" t="s">
        <v>9508</v>
      </c>
      <c r="B1966" t="s">
        <v>1</v>
      </c>
      <c r="C1966" t="s">
        <v>9509</v>
      </c>
      <c r="D1966" t="s">
        <v>9510</v>
      </c>
      <c r="E1966" t="s">
        <v>9511</v>
      </c>
      <c r="F1966" t="s">
        <v>5</v>
      </c>
      <c r="G1966" t="s">
        <v>6</v>
      </c>
      <c r="L1966" t="s">
        <v>7</v>
      </c>
      <c r="M1966">
        <v>2017</v>
      </c>
      <c r="N1966" s="1">
        <v>42876</v>
      </c>
      <c r="O1966" t="s">
        <v>9512</v>
      </c>
      <c r="P1966">
        <v>1</v>
      </c>
      <c r="Q1966" t="s">
        <v>8869</v>
      </c>
      <c r="S1966">
        <v>227.95</v>
      </c>
      <c r="T1966">
        <v>260</v>
      </c>
      <c r="U1966">
        <v>200</v>
      </c>
      <c r="V1966" t="s">
        <v>268</v>
      </c>
      <c r="W1966" t="s">
        <v>269</v>
      </c>
      <c r="X1966" t="s">
        <v>269</v>
      </c>
      <c r="Y1966" t="s">
        <v>360</v>
      </c>
      <c r="AF1966" t="s">
        <v>13</v>
      </c>
      <c r="AG1966" t="str">
        <f>HYPERLINK("https://doi.org/10.1515/9780748697786?locatt=mode:legacy")</f>
        <v>https://doi.org/10.1515/9780748697786?locatt=mode:legacy</v>
      </c>
      <c r="AH1966" t="str">
        <f>HYPERLINK("http://www.degruyter.com/isbn/9780748697786")</f>
        <v>http://www.degruyter.com/isbn/9780748697786</v>
      </c>
      <c r="AI1966" t="s">
        <v>9513</v>
      </c>
      <c r="AL1966" t="s">
        <v>272</v>
      </c>
      <c r="AM1966">
        <v>1</v>
      </c>
      <c r="AN1966" s="2">
        <v>9780748697762</v>
      </c>
    </row>
    <row r="1967" spans="1:40" x14ac:dyDescent="0.3">
      <c r="A1967" t="s">
        <v>9514</v>
      </c>
      <c r="B1967" t="s">
        <v>1</v>
      </c>
      <c r="C1967" t="s">
        <v>9515</v>
      </c>
      <c r="E1967" t="s">
        <v>9516</v>
      </c>
      <c r="F1967" t="s">
        <v>5</v>
      </c>
      <c r="G1967" t="s">
        <v>6</v>
      </c>
      <c r="L1967" t="s">
        <v>7</v>
      </c>
      <c r="M1967">
        <v>2008</v>
      </c>
      <c r="N1967" s="1">
        <v>39680</v>
      </c>
      <c r="O1967" t="s">
        <v>9517</v>
      </c>
      <c r="P1967">
        <v>1</v>
      </c>
      <c r="Q1967" t="s">
        <v>7738</v>
      </c>
      <c r="S1967">
        <v>227.95</v>
      </c>
      <c r="T1967">
        <v>260</v>
      </c>
      <c r="U1967">
        <v>200</v>
      </c>
      <c r="V1967" t="s">
        <v>98</v>
      </c>
      <c r="W1967" t="s">
        <v>99</v>
      </c>
      <c r="X1967" t="s">
        <v>386</v>
      </c>
      <c r="Y1967" t="s">
        <v>387</v>
      </c>
      <c r="AF1967" t="s">
        <v>13</v>
      </c>
      <c r="AG1967" t="str">
        <f>HYPERLINK("https://doi.org/10.1515/9780748633623")</f>
        <v>https://doi.org/10.1515/9780748633623</v>
      </c>
      <c r="AH1967" t="str">
        <f>HYPERLINK("http://www.degruyter.com/isbn/9780748633623")</f>
        <v>http://www.degruyter.com/isbn/9780748633623</v>
      </c>
      <c r="AI1967" t="s">
        <v>68</v>
      </c>
      <c r="AL1967" t="s">
        <v>102</v>
      </c>
      <c r="AM1967">
        <v>1</v>
      </c>
      <c r="AN1967" s="2">
        <v>9780748633609</v>
      </c>
    </row>
    <row r="1968" spans="1:40" x14ac:dyDescent="0.3">
      <c r="A1968" t="s">
        <v>9518</v>
      </c>
      <c r="B1968" t="s">
        <v>1</v>
      </c>
      <c r="C1968" t="s">
        <v>9519</v>
      </c>
      <c r="E1968" t="s">
        <v>9520</v>
      </c>
      <c r="F1968" t="s">
        <v>5</v>
      </c>
      <c r="G1968" t="s">
        <v>6</v>
      </c>
      <c r="L1968" t="s">
        <v>7</v>
      </c>
      <c r="M1968">
        <v>2019</v>
      </c>
      <c r="N1968" s="1">
        <v>44656</v>
      </c>
      <c r="O1968" t="s">
        <v>9521</v>
      </c>
      <c r="P1968">
        <v>1</v>
      </c>
      <c r="Q1968" t="s">
        <v>6665</v>
      </c>
      <c r="S1968">
        <v>217.95</v>
      </c>
      <c r="T1968">
        <v>250</v>
      </c>
      <c r="U1968">
        <v>190</v>
      </c>
      <c r="V1968" t="s">
        <v>9</v>
      </c>
      <c r="W1968" t="s">
        <v>10</v>
      </c>
      <c r="X1968" t="s">
        <v>11</v>
      </c>
      <c r="Y1968" t="s">
        <v>52</v>
      </c>
      <c r="AF1968" t="s">
        <v>13</v>
      </c>
      <c r="AG1968" t="str">
        <f>HYPERLINK("https://doi.org/10.1515/9781474420778")</f>
        <v>https://doi.org/10.1515/9781474420778</v>
      </c>
      <c r="AH1968" t="str">
        <f>HYPERLINK("http://www.degruyter.com/isbn/9781474420778")</f>
        <v>http://www.degruyter.com/isbn/9781474420778</v>
      </c>
      <c r="AI1968" t="s">
        <v>280</v>
      </c>
      <c r="AL1968" t="s">
        <v>15</v>
      </c>
      <c r="AM1968">
        <v>1</v>
      </c>
      <c r="AN1968" s="2">
        <v>9781474420761</v>
      </c>
    </row>
    <row r="1969" spans="1:40" x14ac:dyDescent="0.3">
      <c r="A1969" t="s">
        <v>9522</v>
      </c>
      <c r="B1969" t="s">
        <v>1</v>
      </c>
      <c r="C1969" t="s">
        <v>9523</v>
      </c>
      <c r="D1969" t="s">
        <v>7030</v>
      </c>
      <c r="E1969" t="s">
        <v>9524</v>
      </c>
      <c r="F1969" t="s">
        <v>5</v>
      </c>
      <c r="G1969" t="s">
        <v>6</v>
      </c>
      <c r="L1969" t="s">
        <v>7</v>
      </c>
      <c r="M1969">
        <v>2010</v>
      </c>
      <c r="N1969" s="1">
        <v>40345</v>
      </c>
      <c r="O1969" t="s">
        <v>9525</v>
      </c>
      <c r="P1969">
        <v>1</v>
      </c>
      <c r="Q1969" t="s">
        <v>7033</v>
      </c>
      <c r="S1969">
        <v>253.95</v>
      </c>
      <c r="T1969">
        <v>290</v>
      </c>
      <c r="U1969">
        <v>220</v>
      </c>
      <c r="V1969" t="s">
        <v>79</v>
      </c>
      <c r="W1969" t="s">
        <v>209</v>
      </c>
      <c r="X1969" t="s">
        <v>209</v>
      </c>
      <c r="Y1969" t="s">
        <v>510</v>
      </c>
      <c r="AF1969" t="s">
        <v>13</v>
      </c>
      <c r="AG1969" t="str">
        <f>HYPERLINK("https://doi.org/10.1515/9780748642434")</f>
        <v>https://doi.org/10.1515/9780748642434</v>
      </c>
      <c r="AH1969" t="str">
        <f>HYPERLINK("http://www.degruyter.com/isbn/9780748642434")</f>
        <v>http://www.degruyter.com/isbn/9780748642434</v>
      </c>
      <c r="AI1969" t="s">
        <v>68</v>
      </c>
      <c r="AL1969" t="s">
        <v>83</v>
      </c>
      <c r="AM1969">
        <v>1</v>
      </c>
      <c r="AN1969" s="2">
        <v>9780748638321</v>
      </c>
    </row>
    <row r="1970" spans="1:40" x14ac:dyDescent="0.3">
      <c r="A1970" t="s">
        <v>9526</v>
      </c>
      <c r="B1970" t="s">
        <v>1</v>
      </c>
      <c r="C1970" t="s">
        <v>9527</v>
      </c>
      <c r="E1970" t="s">
        <v>9528</v>
      </c>
      <c r="F1970" t="s">
        <v>5</v>
      </c>
      <c r="G1970" t="s">
        <v>6</v>
      </c>
      <c r="L1970" t="s">
        <v>7</v>
      </c>
      <c r="M1970">
        <v>2021</v>
      </c>
      <c r="N1970" s="1">
        <v>44656</v>
      </c>
      <c r="O1970" t="s">
        <v>9529</v>
      </c>
      <c r="P1970">
        <v>1</v>
      </c>
      <c r="Q1970" t="s">
        <v>6815</v>
      </c>
      <c r="S1970">
        <v>217.95</v>
      </c>
      <c r="T1970">
        <v>250</v>
      </c>
      <c r="U1970">
        <v>190</v>
      </c>
      <c r="V1970" t="s">
        <v>42</v>
      </c>
      <c r="W1970" t="s">
        <v>107</v>
      </c>
      <c r="X1970" t="s">
        <v>108</v>
      </c>
      <c r="Y1970" t="s">
        <v>221</v>
      </c>
      <c r="AF1970" t="s">
        <v>13</v>
      </c>
      <c r="AG1970" t="str">
        <f>HYPERLINK("https://doi.org/10.1515/9781474434058")</f>
        <v>https://doi.org/10.1515/9781474434058</v>
      </c>
      <c r="AH1970" t="str">
        <f>HYPERLINK("http://www.degruyter.com/isbn/9781474434058")</f>
        <v>http://www.degruyter.com/isbn/9781474434058</v>
      </c>
      <c r="AI1970" t="s">
        <v>110</v>
      </c>
      <c r="AL1970" t="s">
        <v>47</v>
      </c>
      <c r="AM1970">
        <v>1</v>
      </c>
      <c r="AN1970" s="2">
        <v>9781474434041</v>
      </c>
    </row>
    <row r="1971" spans="1:40" x14ac:dyDescent="0.3">
      <c r="A1971" t="s">
        <v>9530</v>
      </c>
      <c r="B1971" t="s">
        <v>1</v>
      </c>
      <c r="C1971" t="s">
        <v>9531</v>
      </c>
      <c r="E1971" t="s">
        <v>9532</v>
      </c>
      <c r="F1971" t="s">
        <v>5</v>
      </c>
      <c r="G1971" t="s">
        <v>6</v>
      </c>
      <c r="L1971" t="s">
        <v>7</v>
      </c>
      <c r="M1971">
        <v>2013</v>
      </c>
      <c r="N1971" s="1">
        <v>41619</v>
      </c>
      <c r="O1971" t="s">
        <v>9533</v>
      </c>
      <c r="P1971">
        <v>1</v>
      </c>
      <c r="Q1971" t="s">
        <v>7362</v>
      </c>
      <c r="S1971">
        <v>227.95</v>
      </c>
      <c r="T1971">
        <v>260</v>
      </c>
      <c r="U1971">
        <v>200</v>
      </c>
      <c r="V1971" t="s">
        <v>79</v>
      </c>
      <c r="W1971" t="s">
        <v>123</v>
      </c>
      <c r="X1971" t="s">
        <v>123</v>
      </c>
      <c r="Y1971" t="s">
        <v>124</v>
      </c>
      <c r="AF1971" t="s">
        <v>13</v>
      </c>
      <c r="AG1971" t="str">
        <f>HYPERLINK("https://doi.org/10.1515/9780748675906?locatt=mode:legacy")</f>
        <v>https://doi.org/10.1515/9780748675906?locatt=mode:legacy</v>
      </c>
      <c r="AH1971" t="str">
        <f>HYPERLINK("http://www.degruyter.com/isbn/9780748675906")</f>
        <v>http://www.degruyter.com/isbn/9780748675906</v>
      </c>
      <c r="AI1971" t="s">
        <v>68</v>
      </c>
      <c r="AL1971" t="s">
        <v>83</v>
      </c>
      <c r="AM1971">
        <v>1</v>
      </c>
      <c r="AN1971" s="2">
        <v>9780748675890</v>
      </c>
    </row>
    <row r="1972" spans="1:40" x14ac:dyDescent="0.3">
      <c r="A1972" t="s">
        <v>9534</v>
      </c>
      <c r="B1972" t="s">
        <v>1</v>
      </c>
      <c r="C1972" t="s">
        <v>6983</v>
      </c>
      <c r="D1972" t="s">
        <v>9535</v>
      </c>
      <c r="E1972" t="s">
        <v>6985</v>
      </c>
      <c r="F1972" t="s">
        <v>5</v>
      </c>
      <c r="G1972" t="s">
        <v>6</v>
      </c>
      <c r="L1972" t="s">
        <v>7</v>
      </c>
      <c r="M1972">
        <v>2021</v>
      </c>
      <c r="N1972" s="1">
        <v>44656</v>
      </c>
      <c r="O1972" t="s">
        <v>9536</v>
      </c>
      <c r="P1972">
        <v>1</v>
      </c>
      <c r="Q1972" t="s">
        <v>7655</v>
      </c>
      <c r="S1972">
        <v>227.95</v>
      </c>
      <c r="T1972">
        <v>260</v>
      </c>
      <c r="U1972">
        <v>200</v>
      </c>
      <c r="V1972" t="s">
        <v>9</v>
      </c>
      <c r="W1972" t="s">
        <v>10</v>
      </c>
      <c r="X1972" t="s">
        <v>11</v>
      </c>
      <c r="Y1972" t="s">
        <v>52</v>
      </c>
      <c r="AF1972" t="s">
        <v>13</v>
      </c>
      <c r="AG1972" t="str">
        <f>HYPERLINK("https://doi.org/10.1515/9781474449045")</f>
        <v>https://doi.org/10.1515/9781474449045</v>
      </c>
      <c r="AH1972" t="str">
        <f>HYPERLINK("http://www.degruyter.com/isbn/9781474449045")</f>
        <v>http://www.degruyter.com/isbn/9781474449045</v>
      </c>
      <c r="AI1972" t="s">
        <v>908</v>
      </c>
      <c r="AL1972" t="s">
        <v>15</v>
      </c>
      <c r="AM1972">
        <v>1</v>
      </c>
      <c r="AN1972" s="2">
        <v>9781474449021</v>
      </c>
    </row>
    <row r="1973" spans="1:40" x14ac:dyDescent="0.3">
      <c r="A1973" t="s">
        <v>9537</v>
      </c>
      <c r="B1973" t="s">
        <v>1</v>
      </c>
      <c r="C1973" t="s">
        <v>9538</v>
      </c>
      <c r="D1973" t="s">
        <v>9539</v>
      </c>
      <c r="E1973" t="s">
        <v>9540</v>
      </c>
      <c r="F1973" t="s">
        <v>5</v>
      </c>
      <c r="G1973" t="s">
        <v>6</v>
      </c>
      <c r="L1973" t="s">
        <v>7</v>
      </c>
      <c r="M1973">
        <v>2015</v>
      </c>
      <c r="N1973" s="1">
        <v>42193</v>
      </c>
      <c r="O1973" t="s">
        <v>9541</v>
      </c>
      <c r="P1973">
        <v>1</v>
      </c>
      <c r="S1973">
        <v>243.95</v>
      </c>
      <c r="T1973">
        <v>280</v>
      </c>
      <c r="U1973">
        <v>210</v>
      </c>
      <c r="V1973" t="s">
        <v>58</v>
      </c>
      <c r="W1973" t="s">
        <v>59</v>
      </c>
      <c r="X1973" t="s">
        <v>60</v>
      </c>
      <c r="Y1973" t="s">
        <v>73</v>
      </c>
      <c r="AF1973" t="s">
        <v>13</v>
      </c>
      <c r="AG1973" t="str">
        <f>HYPERLINK("https://doi.org/10.1515/9780748699728")</f>
        <v>https://doi.org/10.1515/9780748699728</v>
      </c>
      <c r="AH1973" t="str">
        <f>HYPERLINK("http://www.degruyter.com/isbn/9780748699728")</f>
        <v>http://www.degruyter.com/isbn/9780748699728</v>
      </c>
      <c r="AI1973" t="s">
        <v>34</v>
      </c>
      <c r="AJ1973" t="s">
        <v>35</v>
      </c>
      <c r="AL1973" t="s">
        <v>155</v>
      </c>
      <c r="AM1973">
        <v>1</v>
      </c>
      <c r="AN1973" s="2">
        <v>9780748699711</v>
      </c>
    </row>
    <row r="1974" spans="1:40" x14ac:dyDescent="0.3">
      <c r="A1974" t="s">
        <v>9542</v>
      </c>
      <c r="B1974" t="s">
        <v>1</v>
      </c>
      <c r="C1974" t="s">
        <v>9543</v>
      </c>
      <c r="E1974" t="s">
        <v>9544</v>
      </c>
      <c r="F1974" t="s">
        <v>5</v>
      </c>
      <c r="G1974" t="s">
        <v>6</v>
      </c>
      <c r="L1974" t="s">
        <v>7</v>
      </c>
      <c r="M1974">
        <v>2017</v>
      </c>
      <c r="N1974" s="1">
        <v>42787</v>
      </c>
      <c r="O1974" t="s">
        <v>9545</v>
      </c>
      <c r="P1974">
        <v>1</v>
      </c>
      <c r="Q1974" t="s">
        <v>7095</v>
      </c>
      <c r="S1974">
        <v>253.95</v>
      </c>
      <c r="T1974">
        <v>290</v>
      </c>
      <c r="U1974">
        <v>220</v>
      </c>
      <c r="V1974" t="s">
        <v>79</v>
      </c>
      <c r="W1974" t="s">
        <v>123</v>
      </c>
      <c r="X1974" t="s">
        <v>123</v>
      </c>
      <c r="Y1974" t="s">
        <v>124</v>
      </c>
      <c r="AF1974" t="s">
        <v>13</v>
      </c>
      <c r="AG1974" t="str">
        <f>HYPERLINK("https://doi.org/10.1515/9781474404228")</f>
        <v>https://doi.org/10.1515/9781474404228</v>
      </c>
      <c r="AH1974" t="str">
        <f>HYPERLINK("http://www.degruyter.com/isbn/9781474404228")</f>
        <v>http://www.degruyter.com/isbn/9781474404228</v>
      </c>
      <c r="AI1974" t="s">
        <v>222</v>
      </c>
      <c r="AL1974" t="s">
        <v>83</v>
      </c>
      <c r="AM1974">
        <v>1</v>
      </c>
      <c r="AN1974" s="2">
        <v>9781474404211</v>
      </c>
    </row>
    <row r="1975" spans="1:40" x14ac:dyDescent="0.3">
      <c r="A1975" t="s">
        <v>9546</v>
      </c>
      <c r="B1975" t="s">
        <v>1</v>
      </c>
      <c r="C1975" t="s">
        <v>9547</v>
      </c>
      <c r="D1975" t="s">
        <v>9548</v>
      </c>
      <c r="E1975" t="s">
        <v>9549</v>
      </c>
      <c r="F1975" t="s">
        <v>5</v>
      </c>
      <c r="G1975" t="s">
        <v>6</v>
      </c>
      <c r="L1975" t="s">
        <v>7</v>
      </c>
      <c r="M1975">
        <v>2008</v>
      </c>
      <c r="N1975" s="1">
        <v>39619</v>
      </c>
      <c r="O1975" t="s">
        <v>9550</v>
      </c>
      <c r="P1975">
        <v>1</v>
      </c>
      <c r="S1975">
        <v>261.95</v>
      </c>
      <c r="T1975">
        <v>300</v>
      </c>
      <c r="U1975">
        <v>230</v>
      </c>
      <c r="V1975" t="s">
        <v>42</v>
      </c>
      <c r="W1975" t="s">
        <v>107</v>
      </c>
      <c r="X1975" t="s">
        <v>108</v>
      </c>
      <c r="Y1975" t="s">
        <v>2244</v>
      </c>
      <c r="AF1975" t="s">
        <v>13</v>
      </c>
      <c r="AG1975" t="str">
        <f>HYPERLINK("https://doi.org/10.1515/9780748630424?locatt=mode:legacy")</f>
        <v>https://doi.org/10.1515/9780748630424?locatt=mode:legacy</v>
      </c>
      <c r="AH1975" t="str">
        <f>HYPERLINK("http://www.degruyter.com/isbn/9780748630424")</f>
        <v>http://www.degruyter.com/isbn/9780748630424</v>
      </c>
      <c r="AI1975" t="s">
        <v>68</v>
      </c>
      <c r="AL1975" t="s">
        <v>47</v>
      </c>
      <c r="AM1975">
        <v>1</v>
      </c>
      <c r="AN1975" s="2">
        <v>9780748624362</v>
      </c>
    </row>
    <row r="1976" spans="1:40" x14ac:dyDescent="0.3">
      <c r="A1976" t="s">
        <v>9551</v>
      </c>
      <c r="B1976" t="s">
        <v>1</v>
      </c>
      <c r="C1976" t="s">
        <v>9552</v>
      </c>
      <c r="D1976" t="s">
        <v>9553</v>
      </c>
      <c r="E1976" t="s">
        <v>9554</v>
      </c>
      <c r="F1976" t="s">
        <v>5</v>
      </c>
      <c r="G1976" t="s">
        <v>6</v>
      </c>
      <c r="L1976" t="s">
        <v>7</v>
      </c>
      <c r="M1976">
        <v>1996</v>
      </c>
      <c r="N1976" s="1">
        <v>44599</v>
      </c>
      <c r="O1976" t="s">
        <v>9555</v>
      </c>
      <c r="P1976">
        <v>1</v>
      </c>
      <c r="Q1976" t="s">
        <v>8002</v>
      </c>
      <c r="S1976">
        <v>217.95</v>
      </c>
      <c r="T1976">
        <v>250</v>
      </c>
      <c r="U1976">
        <v>190</v>
      </c>
      <c r="V1976" t="s">
        <v>42</v>
      </c>
      <c r="W1976" t="s">
        <v>740</v>
      </c>
      <c r="X1976" t="s">
        <v>741</v>
      </c>
      <c r="Y1976" t="s">
        <v>9556</v>
      </c>
      <c r="AF1976" t="s">
        <v>13</v>
      </c>
      <c r="AG1976" t="str">
        <f>HYPERLINK("https://doi.org/10.1515/9780585159041")</f>
        <v>https://doi.org/10.1515/9780585159041</v>
      </c>
      <c r="AH1976" t="str">
        <f>HYPERLINK("http://www.degruyter.com/isbn/9780585159041")</f>
        <v>http://www.degruyter.com/isbn/9780585159041</v>
      </c>
      <c r="AI1976" t="s">
        <v>24</v>
      </c>
      <c r="AL1976" t="s">
        <v>47</v>
      </c>
      <c r="AM1976">
        <v>1</v>
      </c>
      <c r="AN1976" s="2">
        <v>9781853311697</v>
      </c>
    </row>
    <row r="1977" spans="1:40" x14ac:dyDescent="0.3">
      <c r="A1977" t="s">
        <v>9557</v>
      </c>
      <c r="B1977" t="s">
        <v>1</v>
      </c>
      <c r="C1977" t="s">
        <v>9558</v>
      </c>
      <c r="D1977" t="s">
        <v>9559</v>
      </c>
      <c r="E1977" t="s">
        <v>9560</v>
      </c>
      <c r="F1977" t="s">
        <v>5</v>
      </c>
      <c r="G1977" t="s">
        <v>6</v>
      </c>
      <c r="L1977" t="s">
        <v>7</v>
      </c>
      <c r="M1977">
        <v>2018</v>
      </c>
      <c r="N1977" s="1">
        <v>44644</v>
      </c>
      <c r="O1977" t="s">
        <v>9561</v>
      </c>
      <c r="P1977">
        <v>1</v>
      </c>
      <c r="Q1977" t="s">
        <v>6606</v>
      </c>
      <c r="S1977">
        <v>253.95</v>
      </c>
      <c r="T1977">
        <v>290</v>
      </c>
      <c r="U1977">
        <v>220</v>
      </c>
      <c r="V1977" t="s">
        <v>79</v>
      </c>
      <c r="W1977" t="s">
        <v>734</v>
      </c>
      <c r="X1977" t="s">
        <v>734</v>
      </c>
      <c r="Y1977" t="s">
        <v>735</v>
      </c>
      <c r="AF1977" t="s">
        <v>13</v>
      </c>
      <c r="AG1977" t="str">
        <f>HYPERLINK("https://doi.org/10.1515/9781474417754?locatt=mode:legacy")</f>
        <v>https://doi.org/10.1515/9781474417754?locatt=mode:legacy</v>
      </c>
      <c r="AH1977" t="str">
        <f>HYPERLINK("http://www.degruyter.com/isbn/9781474417754")</f>
        <v>http://www.degruyter.com/isbn/9781474417754</v>
      </c>
      <c r="AI1977" t="s">
        <v>46</v>
      </c>
      <c r="AL1977" t="s">
        <v>83</v>
      </c>
      <c r="AM1977">
        <v>1</v>
      </c>
      <c r="AN1977" s="2">
        <v>9781474417747</v>
      </c>
    </row>
    <row r="1978" spans="1:40" x14ac:dyDescent="0.3">
      <c r="A1978" t="s">
        <v>9562</v>
      </c>
      <c r="B1978" t="s">
        <v>1</v>
      </c>
      <c r="C1978" t="s">
        <v>9563</v>
      </c>
      <c r="D1978" t="s">
        <v>9564</v>
      </c>
      <c r="E1978" t="s">
        <v>9565</v>
      </c>
      <c r="F1978" t="s">
        <v>5</v>
      </c>
      <c r="G1978" t="s">
        <v>6</v>
      </c>
      <c r="L1978" t="s">
        <v>7</v>
      </c>
      <c r="M1978">
        <v>2018</v>
      </c>
      <c r="N1978" s="1">
        <v>44644</v>
      </c>
      <c r="O1978" t="s">
        <v>9566</v>
      </c>
      <c r="P1978">
        <v>1</v>
      </c>
      <c r="Q1978" t="s">
        <v>7810</v>
      </c>
      <c r="S1978">
        <v>217.95</v>
      </c>
      <c r="T1978">
        <v>250</v>
      </c>
      <c r="U1978">
        <v>190</v>
      </c>
      <c r="V1978" t="s">
        <v>79</v>
      </c>
      <c r="W1978" t="s">
        <v>80</v>
      </c>
      <c r="X1978" t="s">
        <v>80</v>
      </c>
      <c r="Y1978" t="s">
        <v>81</v>
      </c>
      <c r="AF1978" t="s">
        <v>13</v>
      </c>
      <c r="AG1978" t="str">
        <f>HYPERLINK("https://doi.org/10.1515/9781474436410")</f>
        <v>https://doi.org/10.1515/9781474436410</v>
      </c>
      <c r="AH1978" t="str">
        <f>HYPERLINK("http://www.degruyter.com/isbn/9781474436410")</f>
        <v>http://www.degruyter.com/isbn/9781474436410</v>
      </c>
      <c r="AI1978" t="s">
        <v>46</v>
      </c>
      <c r="AL1978" t="s">
        <v>83</v>
      </c>
      <c r="AM1978">
        <v>1</v>
      </c>
      <c r="AN1978" s="2">
        <v>9781474436397</v>
      </c>
    </row>
    <row r="1979" spans="1:40" x14ac:dyDescent="0.3">
      <c r="A1979" t="s">
        <v>9567</v>
      </c>
      <c r="B1979" t="s">
        <v>1</v>
      </c>
      <c r="C1979" t="s">
        <v>9568</v>
      </c>
      <c r="E1979" t="s">
        <v>9569</v>
      </c>
      <c r="F1979" t="s">
        <v>5</v>
      </c>
      <c r="G1979" t="s">
        <v>6</v>
      </c>
      <c r="K1979" t="s">
        <v>7100</v>
      </c>
      <c r="L1979" t="s">
        <v>7</v>
      </c>
      <c r="M1979">
        <v>2018</v>
      </c>
      <c r="N1979" s="1">
        <v>44656</v>
      </c>
      <c r="O1979" t="s">
        <v>9570</v>
      </c>
      <c r="P1979">
        <v>1</v>
      </c>
      <c r="Q1979" t="s">
        <v>7102</v>
      </c>
      <c r="V1979" t="s">
        <v>20</v>
      </c>
      <c r="W1979" t="s">
        <v>21</v>
      </c>
      <c r="X1979" t="s">
        <v>458</v>
      </c>
      <c r="Y1979" t="s">
        <v>459</v>
      </c>
      <c r="AF1979" t="s">
        <v>13</v>
      </c>
      <c r="AG1979" t="str">
        <f>HYPERLINK("https://doi.org/10.1515/9781474437097?locatt=mode:legacy")</f>
        <v>https://doi.org/10.1515/9781474437097?locatt=mode:legacy</v>
      </c>
      <c r="AH1979" t="str">
        <f>HYPERLINK("http://www.degruyter.com/isbn/9781474437097")</f>
        <v>http://www.degruyter.com/isbn/9781474437097</v>
      </c>
      <c r="AI1979" t="s">
        <v>46</v>
      </c>
      <c r="AJ1979" t="s">
        <v>35</v>
      </c>
      <c r="AM1979">
        <v>1</v>
      </c>
      <c r="AN1979" s="2">
        <v>9781474437073</v>
      </c>
    </row>
    <row r="1980" spans="1:40" x14ac:dyDescent="0.3">
      <c r="A1980" t="s">
        <v>9571</v>
      </c>
      <c r="B1980" t="s">
        <v>1</v>
      </c>
      <c r="C1980" t="s">
        <v>9572</v>
      </c>
      <c r="E1980" t="s">
        <v>9573</v>
      </c>
      <c r="F1980" t="s">
        <v>5</v>
      </c>
      <c r="G1980" t="s">
        <v>6</v>
      </c>
      <c r="L1980" t="s">
        <v>7</v>
      </c>
      <c r="M1980">
        <v>2006</v>
      </c>
      <c r="N1980" s="1">
        <v>39044</v>
      </c>
      <c r="O1980" t="s">
        <v>7265</v>
      </c>
      <c r="P1980">
        <v>1</v>
      </c>
      <c r="Q1980" t="s">
        <v>7266</v>
      </c>
      <c r="S1980">
        <v>279.95</v>
      </c>
      <c r="T1980">
        <v>320</v>
      </c>
      <c r="U1980">
        <v>240</v>
      </c>
      <c r="V1980" t="s">
        <v>42</v>
      </c>
      <c r="W1980" t="s">
        <v>116</v>
      </c>
      <c r="X1980" t="s">
        <v>116</v>
      </c>
      <c r="Y1980" t="s">
        <v>117</v>
      </c>
      <c r="AF1980" t="s">
        <v>13</v>
      </c>
      <c r="AG1980" t="str">
        <f>HYPERLINK("https://doi.org/10.1515/9780748628360")</f>
        <v>https://doi.org/10.1515/9780748628360</v>
      </c>
      <c r="AH1980" t="str">
        <f>HYPERLINK("http://www.degruyter.com/isbn/9780748628360")</f>
        <v>http://www.degruyter.com/isbn/9780748628360</v>
      </c>
      <c r="AI1980" t="s">
        <v>68</v>
      </c>
      <c r="AL1980" t="s">
        <v>47</v>
      </c>
      <c r="AM1980">
        <v>1</v>
      </c>
      <c r="AN1980" s="2">
        <v>9780748605873</v>
      </c>
    </row>
    <row r="1981" spans="1:40" x14ac:dyDescent="0.3">
      <c r="A1981" t="s">
        <v>9574</v>
      </c>
      <c r="B1981" t="s">
        <v>1</v>
      </c>
      <c r="C1981" t="s">
        <v>9575</v>
      </c>
      <c r="E1981" t="s">
        <v>9576</v>
      </c>
      <c r="F1981" t="s">
        <v>5</v>
      </c>
      <c r="G1981" t="s">
        <v>6</v>
      </c>
      <c r="L1981" t="s">
        <v>7</v>
      </c>
      <c r="M1981">
        <v>2004</v>
      </c>
      <c r="N1981" s="1">
        <v>38061</v>
      </c>
      <c r="O1981" t="s">
        <v>9577</v>
      </c>
      <c r="P1981">
        <v>1</v>
      </c>
      <c r="Q1981" t="s">
        <v>8317</v>
      </c>
      <c r="S1981">
        <v>227.95</v>
      </c>
      <c r="T1981">
        <v>260</v>
      </c>
      <c r="U1981">
        <v>200</v>
      </c>
      <c r="V1981" t="s">
        <v>305</v>
      </c>
      <c r="W1981" t="s">
        <v>2566</v>
      </c>
      <c r="X1981" t="s">
        <v>2567</v>
      </c>
      <c r="Y1981" t="s">
        <v>2833</v>
      </c>
      <c r="AF1981" t="s">
        <v>13</v>
      </c>
      <c r="AG1981" t="str">
        <f>HYPERLINK("https://doi.org/10.1515/9781474463898")</f>
        <v>https://doi.org/10.1515/9781474463898</v>
      </c>
      <c r="AH1981" t="str">
        <f>HYPERLINK("http://www.degruyter.com/isbn/9781474463898")</f>
        <v>http://www.degruyter.com/isbn/9781474463898</v>
      </c>
      <c r="AI1981" t="s">
        <v>68</v>
      </c>
      <c r="AL1981" t="s">
        <v>308</v>
      </c>
      <c r="AM1981">
        <v>1</v>
      </c>
      <c r="AN1981" s="2">
        <v>9780748617739</v>
      </c>
    </row>
    <row r="1982" spans="1:40" x14ac:dyDescent="0.3">
      <c r="A1982" t="s">
        <v>9578</v>
      </c>
      <c r="B1982" t="s">
        <v>1</v>
      </c>
      <c r="C1982" t="s">
        <v>9579</v>
      </c>
      <c r="E1982" t="s">
        <v>9580</v>
      </c>
      <c r="F1982" t="s">
        <v>5</v>
      </c>
      <c r="G1982" t="s">
        <v>6</v>
      </c>
      <c r="L1982" t="s">
        <v>7</v>
      </c>
      <c r="M1982">
        <v>2011</v>
      </c>
      <c r="N1982" s="1">
        <v>40722</v>
      </c>
      <c r="O1982" t="s">
        <v>9581</v>
      </c>
      <c r="P1982">
        <v>1</v>
      </c>
      <c r="Q1982" t="s">
        <v>8317</v>
      </c>
      <c r="S1982">
        <v>217.95</v>
      </c>
      <c r="T1982">
        <v>250</v>
      </c>
      <c r="U1982">
        <v>190</v>
      </c>
      <c r="V1982" t="s">
        <v>305</v>
      </c>
      <c r="W1982" t="s">
        <v>2566</v>
      </c>
      <c r="X1982" t="s">
        <v>2567</v>
      </c>
      <c r="Y1982" t="s">
        <v>2568</v>
      </c>
      <c r="AF1982" t="s">
        <v>13</v>
      </c>
      <c r="AG1982" t="str">
        <f>HYPERLINK("https://doi.org/10.1515/9780748647071?locatt=mode:legacy")</f>
        <v>https://doi.org/10.1515/9780748647071?locatt=mode:legacy</v>
      </c>
      <c r="AH1982" t="str">
        <f>HYPERLINK("http://www.degruyter.com/isbn/9780748647071")</f>
        <v>http://www.degruyter.com/isbn/9780748647071</v>
      </c>
      <c r="AI1982" t="s">
        <v>68</v>
      </c>
      <c r="AL1982" t="s">
        <v>308</v>
      </c>
      <c r="AM1982">
        <v>1</v>
      </c>
      <c r="AN1982" s="2">
        <v>9780748640348</v>
      </c>
    </row>
    <row r="1983" spans="1:40" x14ac:dyDescent="0.3">
      <c r="A1983" t="s">
        <v>9582</v>
      </c>
      <c r="B1983" t="s">
        <v>1</v>
      </c>
      <c r="C1983" t="s">
        <v>9583</v>
      </c>
      <c r="E1983" t="s">
        <v>9584</v>
      </c>
      <c r="F1983" t="s">
        <v>5</v>
      </c>
      <c r="G1983" t="s">
        <v>6</v>
      </c>
      <c r="L1983" t="s">
        <v>7</v>
      </c>
      <c r="M1983">
        <v>2006</v>
      </c>
      <c r="N1983" s="1">
        <v>38810</v>
      </c>
      <c r="O1983" t="s">
        <v>9585</v>
      </c>
      <c r="P1983">
        <v>1</v>
      </c>
      <c r="Q1983" t="s">
        <v>6437</v>
      </c>
      <c r="S1983">
        <v>217.95</v>
      </c>
      <c r="T1983">
        <v>250</v>
      </c>
      <c r="U1983">
        <v>190</v>
      </c>
      <c r="V1983" t="s">
        <v>58</v>
      </c>
      <c r="W1983" t="s">
        <v>59</v>
      </c>
      <c r="X1983" t="s">
        <v>60</v>
      </c>
      <c r="Y1983" t="s">
        <v>8564</v>
      </c>
      <c r="AF1983" t="s">
        <v>13</v>
      </c>
      <c r="AG1983" t="str">
        <f>HYPERLINK("https://doi.org/10.1515/9780748626687")</f>
        <v>https://doi.org/10.1515/9780748626687</v>
      </c>
      <c r="AH1983" t="str">
        <f>HYPERLINK("http://www.degruyter.com/isbn/9780748626687")</f>
        <v>http://www.degruyter.com/isbn/9780748626687</v>
      </c>
      <c r="AI1983" t="s">
        <v>68</v>
      </c>
      <c r="AL1983" t="s">
        <v>62</v>
      </c>
      <c r="AM1983">
        <v>1</v>
      </c>
      <c r="AN1983" s="2">
        <v>9780748622894</v>
      </c>
    </row>
    <row r="1984" spans="1:40" x14ac:dyDescent="0.3">
      <c r="A1984" t="s">
        <v>9586</v>
      </c>
      <c r="B1984" t="s">
        <v>1</v>
      </c>
      <c r="C1984" t="s">
        <v>9587</v>
      </c>
      <c r="D1984" t="s">
        <v>9588</v>
      </c>
      <c r="E1984" t="s">
        <v>9589</v>
      </c>
      <c r="F1984" t="s">
        <v>5</v>
      </c>
      <c r="G1984" t="s">
        <v>6</v>
      </c>
      <c r="L1984" t="s">
        <v>7</v>
      </c>
      <c r="M1984">
        <v>2015</v>
      </c>
      <c r="N1984" s="1">
        <v>42107</v>
      </c>
      <c r="O1984" t="s">
        <v>9590</v>
      </c>
      <c r="P1984">
        <v>1</v>
      </c>
      <c r="Q1984" t="s">
        <v>6539</v>
      </c>
      <c r="S1984">
        <v>217.95</v>
      </c>
      <c r="T1984">
        <v>250</v>
      </c>
      <c r="U1984">
        <v>190</v>
      </c>
      <c r="V1984" t="s">
        <v>42</v>
      </c>
      <c r="W1984" t="s">
        <v>290</v>
      </c>
      <c r="X1984" t="s">
        <v>290</v>
      </c>
      <c r="Y1984" t="s">
        <v>515</v>
      </c>
      <c r="AF1984" t="s">
        <v>13</v>
      </c>
      <c r="AG1984" t="str">
        <f>HYPERLINK("https://doi.org/10.1515/9780748698561")</f>
        <v>https://doi.org/10.1515/9780748698561</v>
      </c>
      <c r="AH1984" t="str">
        <f>HYPERLINK("http://www.degruyter.com/isbn/9780748698561")</f>
        <v>http://www.degruyter.com/isbn/9780748698561</v>
      </c>
      <c r="AI1984" t="s">
        <v>34</v>
      </c>
      <c r="AL1984" t="s">
        <v>47</v>
      </c>
      <c r="AM1984">
        <v>1</v>
      </c>
      <c r="AN1984" s="2">
        <v>9780748698554</v>
      </c>
    </row>
    <row r="1985" spans="1:40" x14ac:dyDescent="0.3">
      <c r="A1985" t="s">
        <v>9591</v>
      </c>
      <c r="B1985" t="s">
        <v>1</v>
      </c>
      <c r="C1985" t="s">
        <v>9592</v>
      </c>
      <c r="E1985" t="s">
        <v>9593</v>
      </c>
      <c r="F1985" t="s">
        <v>5</v>
      </c>
      <c r="G1985" t="s">
        <v>6</v>
      </c>
      <c r="L1985" t="s">
        <v>7</v>
      </c>
      <c r="M1985">
        <v>2007</v>
      </c>
      <c r="N1985" s="1">
        <v>39164</v>
      </c>
      <c r="O1985" t="s">
        <v>9594</v>
      </c>
      <c r="P1985">
        <v>1</v>
      </c>
      <c r="Q1985" t="s">
        <v>6723</v>
      </c>
      <c r="S1985">
        <v>253.95</v>
      </c>
      <c r="T1985">
        <v>290</v>
      </c>
      <c r="U1985">
        <v>220</v>
      </c>
      <c r="V1985" t="s">
        <v>79</v>
      </c>
      <c r="W1985" t="s">
        <v>227</v>
      </c>
      <c r="X1985" t="s">
        <v>234</v>
      </c>
      <c r="Y1985" t="s">
        <v>355</v>
      </c>
      <c r="AF1985" t="s">
        <v>13</v>
      </c>
      <c r="AG1985" t="str">
        <f>HYPERLINK("https://doi.org/10.1515/9780748629497")</f>
        <v>https://doi.org/10.1515/9780748629497</v>
      </c>
      <c r="AH1985" t="str">
        <f>HYPERLINK("http://www.degruyter.com/isbn/9780748629497")</f>
        <v>http://www.degruyter.com/isbn/9780748629497</v>
      </c>
      <c r="AI1985" t="s">
        <v>68</v>
      </c>
      <c r="AL1985" t="s">
        <v>83</v>
      </c>
      <c r="AM1985">
        <v>1</v>
      </c>
      <c r="AN1985" s="2">
        <v>9780748622177</v>
      </c>
    </row>
    <row r="1986" spans="1:40" x14ac:dyDescent="0.3">
      <c r="A1986" t="s">
        <v>9595</v>
      </c>
      <c r="B1986" t="s">
        <v>1</v>
      </c>
      <c r="C1986" t="s">
        <v>9596</v>
      </c>
      <c r="E1986" t="s">
        <v>9597</v>
      </c>
      <c r="F1986" t="s">
        <v>5</v>
      </c>
      <c r="G1986" t="s">
        <v>6</v>
      </c>
      <c r="L1986" t="s">
        <v>7</v>
      </c>
      <c r="M1986">
        <v>2010</v>
      </c>
      <c r="N1986" s="1">
        <v>40268</v>
      </c>
      <c r="O1986" t="s">
        <v>9598</v>
      </c>
      <c r="P1986">
        <v>1</v>
      </c>
      <c r="Q1986" t="s">
        <v>6644</v>
      </c>
      <c r="S1986">
        <v>243.95</v>
      </c>
      <c r="T1986">
        <v>280</v>
      </c>
      <c r="U1986">
        <v>210</v>
      </c>
      <c r="V1986" t="s">
        <v>20</v>
      </c>
      <c r="W1986" t="s">
        <v>21</v>
      </c>
      <c r="X1986" t="s">
        <v>3445</v>
      </c>
      <c r="Y1986" t="s">
        <v>3446</v>
      </c>
      <c r="AF1986" t="s">
        <v>13</v>
      </c>
      <c r="AG1986" t="str">
        <f>HYPERLINK("https://doi.org/10.1515/9780748634255")</f>
        <v>https://doi.org/10.1515/9780748634255</v>
      </c>
      <c r="AH1986" t="str">
        <f>HYPERLINK("http://www.degruyter.com/isbn/9780748634255")</f>
        <v>http://www.degruyter.com/isbn/9780748634255</v>
      </c>
      <c r="AI1986" t="s">
        <v>68</v>
      </c>
      <c r="AL1986" t="s">
        <v>15</v>
      </c>
      <c r="AM1986">
        <v>1</v>
      </c>
      <c r="AN1986" s="2">
        <v>9780748634231</v>
      </c>
    </row>
    <row r="1987" spans="1:40" x14ac:dyDescent="0.3">
      <c r="A1987" t="s">
        <v>9599</v>
      </c>
      <c r="B1987" t="s">
        <v>1</v>
      </c>
      <c r="C1987" t="s">
        <v>9600</v>
      </c>
      <c r="D1987" t="s">
        <v>9601</v>
      </c>
      <c r="E1987" t="s">
        <v>9602</v>
      </c>
      <c r="F1987" t="s">
        <v>5</v>
      </c>
      <c r="G1987" t="s">
        <v>6</v>
      </c>
      <c r="L1987" t="s">
        <v>7</v>
      </c>
      <c r="M1987">
        <v>2019</v>
      </c>
      <c r="N1987" s="1">
        <v>44656</v>
      </c>
      <c r="O1987" t="s">
        <v>9603</v>
      </c>
      <c r="P1987">
        <v>1</v>
      </c>
      <c r="Q1987" t="s">
        <v>9604</v>
      </c>
      <c r="S1987">
        <v>227.95</v>
      </c>
      <c r="T1987">
        <v>260</v>
      </c>
      <c r="U1987">
        <v>200</v>
      </c>
      <c r="V1987" t="s">
        <v>42</v>
      </c>
      <c r="W1987" t="s">
        <v>43</v>
      </c>
      <c r="X1987" t="s">
        <v>1061</v>
      </c>
      <c r="Y1987" t="s">
        <v>9605</v>
      </c>
      <c r="AF1987" t="s">
        <v>13</v>
      </c>
      <c r="AG1987" t="str">
        <f>HYPERLINK("https://doi.org/10.1515/9781474441179")</f>
        <v>https://doi.org/10.1515/9781474441179</v>
      </c>
      <c r="AH1987" t="str">
        <f>HYPERLINK("http://www.degruyter.com/isbn/9781474441179")</f>
        <v>http://www.degruyter.com/isbn/9781474441179</v>
      </c>
      <c r="AI1987" t="s">
        <v>280</v>
      </c>
      <c r="AL1987" t="s">
        <v>47</v>
      </c>
      <c r="AM1987">
        <v>1</v>
      </c>
      <c r="AN1987" s="2">
        <v>9781474441155</v>
      </c>
    </row>
    <row r="1988" spans="1:40" x14ac:dyDescent="0.3">
      <c r="A1988" t="s">
        <v>9606</v>
      </c>
      <c r="B1988" t="s">
        <v>1</v>
      </c>
      <c r="C1988" t="s">
        <v>9607</v>
      </c>
      <c r="D1988" t="s">
        <v>9608</v>
      </c>
      <c r="E1988" t="s">
        <v>9609</v>
      </c>
      <c r="F1988" t="s">
        <v>5</v>
      </c>
      <c r="G1988" t="s">
        <v>6</v>
      </c>
      <c r="L1988" t="s">
        <v>7</v>
      </c>
      <c r="M1988">
        <v>2020</v>
      </c>
      <c r="N1988" s="1">
        <v>44656</v>
      </c>
      <c r="O1988" t="s">
        <v>9610</v>
      </c>
      <c r="P1988">
        <v>1</v>
      </c>
      <c r="Q1988" t="s">
        <v>9611</v>
      </c>
      <c r="S1988">
        <v>227.95</v>
      </c>
      <c r="T1988">
        <v>260</v>
      </c>
      <c r="U1988">
        <v>200</v>
      </c>
      <c r="V1988" t="s">
        <v>20</v>
      </c>
      <c r="W1988" t="s">
        <v>470</v>
      </c>
      <c r="X1988" t="s">
        <v>1269</v>
      </c>
      <c r="Y1988" t="s">
        <v>1705</v>
      </c>
      <c r="AF1988" t="s">
        <v>13</v>
      </c>
      <c r="AG1988" t="str">
        <f>HYPERLINK("https://doi.org/10.1515/9781474430395?locatt=mode:legacy")</f>
        <v>https://doi.org/10.1515/9781474430395?locatt=mode:legacy</v>
      </c>
      <c r="AH1988" t="str">
        <f>HYPERLINK("http://www.degruyter.com/isbn/9781474430395")</f>
        <v>http://www.degruyter.com/isbn/9781474430395</v>
      </c>
      <c r="AI1988" t="s">
        <v>14</v>
      </c>
      <c r="AL1988" t="s">
        <v>15</v>
      </c>
      <c r="AM1988">
        <v>1</v>
      </c>
      <c r="AN1988" s="2">
        <v>9781474430371</v>
      </c>
    </row>
    <row r="1989" spans="1:40" x14ac:dyDescent="0.3">
      <c r="A1989" t="s">
        <v>9612</v>
      </c>
      <c r="B1989" t="s">
        <v>1</v>
      </c>
      <c r="C1989" t="s">
        <v>9613</v>
      </c>
      <c r="D1989" t="s">
        <v>9614</v>
      </c>
      <c r="E1989" t="s">
        <v>9615</v>
      </c>
      <c r="F1989" t="s">
        <v>5</v>
      </c>
      <c r="G1989" t="s">
        <v>6</v>
      </c>
      <c r="L1989" t="s">
        <v>7</v>
      </c>
      <c r="M1989">
        <v>2015</v>
      </c>
      <c r="N1989" s="1">
        <v>42025</v>
      </c>
      <c r="O1989" t="s">
        <v>9616</v>
      </c>
      <c r="P1989">
        <v>1</v>
      </c>
      <c r="Q1989" t="s">
        <v>7539</v>
      </c>
      <c r="S1989">
        <v>253.95</v>
      </c>
      <c r="T1989">
        <v>290</v>
      </c>
      <c r="U1989">
        <v>220</v>
      </c>
      <c r="V1989" t="s">
        <v>20</v>
      </c>
      <c r="W1989" t="s">
        <v>21</v>
      </c>
      <c r="X1989" t="s">
        <v>575</v>
      </c>
      <c r="Y1989" t="s">
        <v>576</v>
      </c>
      <c r="AF1989" t="s">
        <v>13</v>
      </c>
      <c r="AG1989" t="str">
        <f>HYPERLINK("https://doi.org/10.1515/9780748631995")</f>
        <v>https://doi.org/10.1515/9780748631995</v>
      </c>
      <c r="AH1989" t="str">
        <f>HYPERLINK("http://www.degruyter.com/isbn/9780748631995")</f>
        <v>http://www.degruyter.com/isbn/9780748631995</v>
      </c>
      <c r="AI1989" t="s">
        <v>34</v>
      </c>
      <c r="AL1989" t="s">
        <v>15</v>
      </c>
      <c r="AM1989">
        <v>1</v>
      </c>
      <c r="AN1989" s="2">
        <v>9780748636051</v>
      </c>
    </row>
    <row r="1990" spans="1:40" x14ac:dyDescent="0.3">
      <c r="A1990" t="s">
        <v>9617</v>
      </c>
      <c r="B1990" t="s">
        <v>1</v>
      </c>
      <c r="C1990" t="s">
        <v>9618</v>
      </c>
      <c r="E1990" t="s">
        <v>9619</v>
      </c>
      <c r="F1990" t="s">
        <v>5</v>
      </c>
      <c r="G1990" t="s">
        <v>6</v>
      </c>
      <c r="L1990" t="s">
        <v>7</v>
      </c>
      <c r="M1990">
        <v>2010</v>
      </c>
      <c r="N1990" s="1">
        <v>40214</v>
      </c>
      <c r="O1990" t="s">
        <v>2056</v>
      </c>
      <c r="P1990">
        <v>1</v>
      </c>
      <c r="Q1990" t="s">
        <v>6923</v>
      </c>
      <c r="S1990">
        <v>253.95</v>
      </c>
      <c r="T1990">
        <v>290</v>
      </c>
      <c r="U1990">
        <v>220</v>
      </c>
      <c r="V1990" t="s">
        <v>20</v>
      </c>
      <c r="W1990" t="s">
        <v>21</v>
      </c>
      <c r="X1990" t="s">
        <v>458</v>
      </c>
      <c r="Y1990" t="s">
        <v>459</v>
      </c>
      <c r="AF1990" t="s">
        <v>13</v>
      </c>
      <c r="AG1990" t="str">
        <f>HYPERLINK("https://doi.org/10.1515/9780748629954?locatt=mode:legacy")</f>
        <v>https://doi.org/10.1515/9780748629954?locatt=mode:legacy</v>
      </c>
      <c r="AH1990" t="str">
        <f>HYPERLINK("http://www.degruyter.com/isbn/9780748629954")</f>
        <v>http://www.degruyter.com/isbn/9780748629954</v>
      </c>
      <c r="AI1990" t="s">
        <v>68</v>
      </c>
      <c r="AL1990" t="s">
        <v>15</v>
      </c>
      <c r="AM1990">
        <v>1</v>
      </c>
      <c r="AN1990" s="2">
        <v>9780748623105</v>
      </c>
    </row>
    <row r="1991" spans="1:40" x14ac:dyDescent="0.3">
      <c r="A1991" t="s">
        <v>9620</v>
      </c>
      <c r="B1991" t="s">
        <v>1</v>
      </c>
      <c r="C1991" t="s">
        <v>9621</v>
      </c>
      <c r="E1991" t="s">
        <v>9622</v>
      </c>
      <c r="F1991" t="s">
        <v>5</v>
      </c>
      <c r="G1991" t="s">
        <v>6</v>
      </c>
      <c r="L1991" t="s">
        <v>7</v>
      </c>
      <c r="M1991">
        <v>1999</v>
      </c>
      <c r="N1991" s="1">
        <v>44599</v>
      </c>
      <c r="O1991" t="s">
        <v>1875</v>
      </c>
      <c r="P1991">
        <v>1</v>
      </c>
      <c r="S1991">
        <v>321.95</v>
      </c>
      <c r="T1991">
        <v>370</v>
      </c>
      <c r="U1991">
        <v>280</v>
      </c>
      <c r="V1991" t="s">
        <v>42</v>
      </c>
      <c r="W1991" t="s">
        <v>107</v>
      </c>
      <c r="X1991" t="s">
        <v>108</v>
      </c>
      <c r="Y1991" t="s">
        <v>109</v>
      </c>
      <c r="AF1991" t="s">
        <v>13</v>
      </c>
      <c r="AG1991" t="str">
        <f>HYPERLINK("https://doi.org/10.1515/9781474400503")</f>
        <v>https://doi.org/10.1515/9781474400503</v>
      </c>
      <c r="AH1991" t="str">
        <f>HYPERLINK("http://www.degruyter.com/isbn/9781474400503")</f>
        <v>http://www.degruyter.com/isbn/9781474400503</v>
      </c>
      <c r="AI1991" t="s">
        <v>24</v>
      </c>
      <c r="AL1991" t="s">
        <v>47</v>
      </c>
      <c r="AM1991">
        <v>1</v>
      </c>
      <c r="AN1991" s="2">
        <v>9780748609857</v>
      </c>
    </row>
    <row r="1992" spans="1:40" x14ac:dyDescent="0.3">
      <c r="A1992" t="s">
        <v>9623</v>
      </c>
      <c r="B1992" t="s">
        <v>1</v>
      </c>
      <c r="C1992" t="s">
        <v>9624</v>
      </c>
      <c r="E1992" t="s">
        <v>9625</v>
      </c>
      <c r="F1992" t="s">
        <v>5</v>
      </c>
      <c r="G1992" t="s">
        <v>6</v>
      </c>
      <c r="L1992" t="s">
        <v>7</v>
      </c>
      <c r="M1992">
        <v>2013</v>
      </c>
      <c r="N1992" s="1">
        <v>41290</v>
      </c>
      <c r="O1992" t="s">
        <v>9626</v>
      </c>
      <c r="P1992">
        <v>1</v>
      </c>
      <c r="S1992">
        <v>253.95</v>
      </c>
      <c r="T1992">
        <v>290</v>
      </c>
      <c r="U1992">
        <v>220</v>
      </c>
      <c r="V1992" t="s">
        <v>58</v>
      </c>
      <c r="W1992" t="s">
        <v>59</v>
      </c>
      <c r="X1992" t="s">
        <v>60</v>
      </c>
      <c r="Y1992" t="s">
        <v>73</v>
      </c>
      <c r="AF1992" t="s">
        <v>13</v>
      </c>
      <c r="AG1992" t="str">
        <f>HYPERLINK("https://doi.org/10.1515/9780748674541")</f>
        <v>https://doi.org/10.1515/9780748674541</v>
      </c>
      <c r="AH1992" t="str">
        <f>HYPERLINK("http://www.degruyter.com/isbn/9780748674541")</f>
        <v>http://www.degruyter.com/isbn/9780748674541</v>
      </c>
      <c r="AI1992" t="s">
        <v>68</v>
      </c>
      <c r="AL1992" t="s">
        <v>62</v>
      </c>
      <c r="AM1992">
        <v>1</v>
      </c>
      <c r="AN1992" s="2">
        <v>9780748640294</v>
      </c>
    </row>
    <row r="1993" spans="1:40" x14ac:dyDescent="0.3">
      <c r="A1993" t="s">
        <v>9627</v>
      </c>
      <c r="B1993" t="s">
        <v>1</v>
      </c>
      <c r="C1993" t="s">
        <v>9628</v>
      </c>
      <c r="D1993" t="s">
        <v>9629</v>
      </c>
      <c r="E1993" t="s">
        <v>9630</v>
      </c>
      <c r="F1993" t="s">
        <v>5</v>
      </c>
      <c r="G1993" t="s">
        <v>6</v>
      </c>
      <c r="L1993" t="s">
        <v>7</v>
      </c>
      <c r="M1993">
        <v>2021</v>
      </c>
      <c r="N1993" s="1">
        <v>44644</v>
      </c>
      <c r="O1993" t="s">
        <v>9631</v>
      </c>
      <c r="P1993">
        <v>1</v>
      </c>
      <c r="Q1993" t="s">
        <v>5764</v>
      </c>
      <c r="S1993">
        <v>217.95</v>
      </c>
      <c r="T1993">
        <v>250</v>
      </c>
      <c r="U1993">
        <v>190</v>
      </c>
      <c r="V1993" t="s">
        <v>9</v>
      </c>
      <c r="W1993" t="s">
        <v>10</v>
      </c>
      <c r="X1993" t="s">
        <v>11</v>
      </c>
      <c r="Y1993" t="s">
        <v>52</v>
      </c>
      <c r="AF1993" t="s">
        <v>13</v>
      </c>
      <c r="AG1993" t="str">
        <f>HYPERLINK("https://doi.org/10.1515/9781474410571")</f>
        <v>https://doi.org/10.1515/9781474410571</v>
      </c>
      <c r="AH1993" t="str">
        <f>HYPERLINK("http://www.degruyter.com/isbn/9781474410571")</f>
        <v>http://www.degruyter.com/isbn/9781474410571</v>
      </c>
      <c r="AI1993" t="s">
        <v>216</v>
      </c>
      <c r="AL1993" t="s">
        <v>15</v>
      </c>
      <c r="AM1993">
        <v>1</v>
      </c>
      <c r="AN1993" s="2">
        <v>9781474410564</v>
      </c>
    </row>
    <row r="1994" spans="1:40" x14ac:dyDescent="0.3">
      <c r="A1994" t="s">
        <v>9632</v>
      </c>
      <c r="B1994" t="s">
        <v>1</v>
      </c>
      <c r="C1994" t="s">
        <v>9633</v>
      </c>
      <c r="D1994" t="s">
        <v>9634</v>
      </c>
      <c r="E1994" t="s">
        <v>9635</v>
      </c>
      <c r="F1994" t="s">
        <v>5</v>
      </c>
      <c r="G1994" t="s">
        <v>6</v>
      </c>
      <c r="L1994" t="s">
        <v>7</v>
      </c>
      <c r="M1994">
        <v>2019</v>
      </c>
      <c r="N1994" s="1">
        <v>44644</v>
      </c>
      <c r="O1994" t="s">
        <v>9636</v>
      </c>
      <c r="P1994">
        <v>1</v>
      </c>
      <c r="Q1994" t="s">
        <v>7086</v>
      </c>
      <c r="S1994">
        <v>227.95</v>
      </c>
      <c r="T1994">
        <v>260</v>
      </c>
      <c r="U1994">
        <v>200</v>
      </c>
      <c r="V1994" t="s">
        <v>20</v>
      </c>
      <c r="W1994" t="s">
        <v>470</v>
      </c>
      <c r="X1994" t="s">
        <v>2114</v>
      </c>
      <c r="Y1994" t="s">
        <v>9637</v>
      </c>
      <c r="AF1994" t="s">
        <v>13</v>
      </c>
      <c r="AG1994" t="str">
        <f>HYPERLINK("https://doi.org/10.1515/9781474432702")</f>
        <v>https://doi.org/10.1515/9781474432702</v>
      </c>
      <c r="AH1994" t="str">
        <f>HYPERLINK("http://www.degruyter.com/isbn/9781474432702")</f>
        <v>http://www.degruyter.com/isbn/9781474432702</v>
      </c>
      <c r="AI1994" t="s">
        <v>3968</v>
      </c>
      <c r="AL1994" t="s">
        <v>15</v>
      </c>
      <c r="AM1994">
        <v>1</v>
      </c>
      <c r="AN1994" s="2">
        <v>9781474432689</v>
      </c>
    </row>
    <row r="1995" spans="1:40" x14ac:dyDescent="0.3">
      <c r="A1995" t="s">
        <v>9638</v>
      </c>
      <c r="B1995" t="s">
        <v>1</v>
      </c>
      <c r="C1995" t="s">
        <v>9639</v>
      </c>
      <c r="D1995" t="s">
        <v>4112</v>
      </c>
      <c r="E1995" t="s">
        <v>9640</v>
      </c>
      <c r="F1995" t="s">
        <v>5</v>
      </c>
      <c r="G1995" t="s">
        <v>6</v>
      </c>
      <c r="L1995" t="s">
        <v>7</v>
      </c>
      <c r="M1995">
        <v>2014</v>
      </c>
      <c r="N1995" s="1">
        <v>41961</v>
      </c>
      <c r="O1995" t="s">
        <v>9641</v>
      </c>
      <c r="P1995">
        <v>1</v>
      </c>
      <c r="Q1995" t="s">
        <v>7449</v>
      </c>
      <c r="S1995">
        <v>253.95</v>
      </c>
      <c r="T1995">
        <v>290</v>
      </c>
      <c r="U1995">
        <v>220</v>
      </c>
      <c r="V1995" t="s">
        <v>79</v>
      </c>
      <c r="W1995" t="s">
        <v>123</v>
      </c>
      <c r="X1995" t="s">
        <v>123</v>
      </c>
      <c r="Y1995" t="s">
        <v>124</v>
      </c>
      <c r="AF1995" t="s">
        <v>13</v>
      </c>
      <c r="AG1995" t="str">
        <f>HYPERLINK("https://doi.org/10.1515/9780748676873")</f>
        <v>https://doi.org/10.1515/9780748676873</v>
      </c>
      <c r="AH1995" t="str">
        <f>HYPERLINK("http://www.degruyter.com/isbn/9780748676873")</f>
        <v>http://www.degruyter.com/isbn/9780748676873</v>
      </c>
      <c r="AI1995" t="s">
        <v>34</v>
      </c>
      <c r="AL1995" t="s">
        <v>83</v>
      </c>
      <c r="AM1995">
        <v>1</v>
      </c>
      <c r="AN1995" s="2">
        <v>9780748676859</v>
      </c>
    </row>
    <row r="1996" spans="1:40" x14ac:dyDescent="0.3">
      <c r="A1996" t="s">
        <v>9642</v>
      </c>
      <c r="B1996" t="s">
        <v>1</v>
      </c>
      <c r="C1996" t="s">
        <v>9643</v>
      </c>
      <c r="E1996" t="s">
        <v>9644</v>
      </c>
      <c r="F1996" t="s">
        <v>5</v>
      </c>
      <c r="G1996" t="s">
        <v>6</v>
      </c>
      <c r="L1996" t="s">
        <v>7</v>
      </c>
      <c r="M1996">
        <v>2009</v>
      </c>
      <c r="N1996" s="1">
        <v>39893</v>
      </c>
      <c r="O1996" t="s">
        <v>9645</v>
      </c>
      <c r="P1996">
        <v>1</v>
      </c>
      <c r="Q1996" t="s">
        <v>6437</v>
      </c>
      <c r="S1996">
        <v>217.95</v>
      </c>
      <c r="T1996">
        <v>250</v>
      </c>
      <c r="U1996">
        <v>190</v>
      </c>
      <c r="V1996" t="s">
        <v>58</v>
      </c>
      <c r="W1996" t="s">
        <v>59</v>
      </c>
      <c r="X1996" t="s">
        <v>60</v>
      </c>
      <c r="Y1996" t="s">
        <v>145</v>
      </c>
      <c r="AF1996" t="s">
        <v>13</v>
      </c>
      <c r="AG1996" t="str">
        <f>HYPERLINK("https://doi.org/10.1515/9780748629725")</f>
        <v>https://doi.org/10.1515/9780748629725</v>
      </c>
      <c r="AH1996" t="str">
        <f>HYPERLINK("http://www.degruyter.com/isbn/9780748629725")</f>
        <v>http://www.degruyter.com/isbn/9780748629725</v>
      </c>
      <c r="AI1996" t="s">
        <v>68</v>
      </c>
      <c r="AL1996" t="s">
        <v>62</v>
      </c>
      <c r="AM1996">
        <v>1</v>
      </c>
      <c r="AN1996" s="2">
        <v>9780748622610</v>
      </c>
    </row>
    <row r="1997" spans="1:40" x14ac:dyDescent="0.3">
      <c r="A1997" t="s">
        <v>9646</v>
      </c>
      <c r="B1997" t="s">
        <v>1</v>
      </c>
      <c r="C1997" t="s">
        <v>9647</v>
      </c>
      <c r="E1997" t="s">
        <v>9648</v>
      </c>
      <c r="F1997" t="s">
        <v>5</v>
      </c>
      <c r="G1997" t="s">
        <v>6</v>
      </c>
      <c r="L1997" t="s">
        <v>7</v>
      </c>
      <c r="M1997">
        <v>2010</v>
      </c>
      <c r="N1997" s="1">
        <v>40261</v>
      </c>
      <c r="O1997" t="s">
        <v>9649</v>
      </c>
      <c r="P1997">
        <v>1</v>
      </c>
      <c r="S1997">
        <v>217.95</v>
      </c>
      <c r="T1997">
        <v>250</v>
      </c>
      <c r="U1997">
        <v>190</v>
      </c>
      <c r="V1997" t="s">
        <v>58</v>
      </c>
      <c r="W1997" t="s">
        <v>59</v>
      </c>
      <c r="X1997" t="s">
        <v>60</v>
      </c>
      <c r="Y1997" t="s">
        <v>145</v>
      </c>
      <c r="AF1997" t="s">
        <v>13</v>
      </c>
      <c r="AG1997" t="str">
        <f>HYPERLINK("https://doi.org/10.1515/9780748634972?locatt=mode:legacy")</f>
        <v>https://doi.org/10.1515/9780748634972?locatt=mode:legacy</v>
      </c>
      <c r="AH1997" t="str">
        <f>HYPERLINK("http://www.degruyter.com/isbn/9780748634972")</f>
        <v>http://www.degruyter.com/isbn/9780748634972</v>
      </c>
      <c r="AI1997" t="s">
        <v>68</v>
      </c>
      <c r="AL1997" t="s">
        <v>62</v>
      </c>
      <c r="AM1997">
        <v>1</v>
      </c>
      <c r="AN1997" s="2">
        <v>9780748634958</v>
      </c>
    </row>
    <row r="1998" spans="1:40" x14ac:dyDescent="0.3">
      <c r="A1998" t="s">
        <v>9650</v>
      </c>
      <c r="B1998" t="s">
        <v>1</v>
      </c>
      <c r="C1998" t="s">
        <v>9651</v>
      </c>
      <c r="D1998" t="s">
        <v>9652</v>
      </c>
      <c r="E1998" t="s">
        <v>9653</v>
      </c>
      <c r="F1998" t="s">
        <v>5</v>
      </c>
      <c r="G1998" t="s">
        <v>6</v>
      </c>
      <c r="L1998" t="s">
        <v>7</v>
      </c>
      <c r="M1998">
        <v>2011</v>
      </c>
      <c r="N1998" s="1">
        <v>44592</v>
      </c>
      <c r="O1998" t="s">
        <v>9654</v>
      </c>
      <c r="P1998">
        <v>1</v>
      </c>
      <c r="S1998">
        <v>217.95</v>
      </c>
      <c r="T1998">
        <v>250</v>
      </c>
      <c r="U1998">
        <v>190</v>
      </c>
      <c r="V1998" t="s">
        <v>268</v>
      </c>
      <c r="W1998" t="s">
        <v>269</v>
      </c>
      <c r="X1998" t="s">
        <v>269</v>
      </c>
      <c r="Y1998" t="s">
        <v>9655</v>
      </c>
      <c r="AF1998" t="s">
        <v>13</v>
      </c>
      <c r="AG1998" t="str">
        <f>HYPERLINK("https://doi.org/10.1515/9780748699377")</f>
        <v>https://doi.org/10.1515/9780748699377</v>
      </c>
      <c r="AH1998" t="str">
        <f>HYPERLINK("http://www.degruyter.com/isbn/9780748699377")</f>
        <v>http://www.degruyter.com/isbn/9780748699377</v>
      </c>
      <c r="AI1998" t="s">
        <v>6092</v>
      </c>
      <c r="AL1998" t="s">
        <v>272</v>
      </c>
      <c r="AM1998">
        <v>1</v>
      </c>
      <c r="AN1998" s="2">
        <v>9781845861070</v>
      </c>
    </row>
    <row r="1999" spans="1:40" x14ac:dyDescent="0.3">
      <c r="A1999" t="s">
        <v>9656</v>
      </c>
      <c r="B1999" t="s">
        <v>1</v>
      </c>
      <c r="C1999" t="s">
        <v>9657</v>
      </c>
      <c r="D1999" t="s">
        <v>9658</v>
      </c>
      <c r="E1999" t="s">
        <v>9659</v>
      </c>
      <c r="F1999" t="s">
        <v>5</v>
      </c>
      <c r="G1999" t="s">
        <v>6</v>
      </c>
      <c r="L1999" t="s">
        <v>7</v>
      </c>
      <c r="M1999">
        <v>2017</v>
      </c>
      <c r="N1999" s="1">
        <v>42914</v>
      </c>
      <c r="O1999" t="s">
        <v>9660</v>
      </c>
      <c r="P1999">
        <v>1</v>
      </c>
      <c r="Q1999" t="s">
        <v>8096</v>
      </c>
      <c r="S1999">
        <v>227.95</v>
      </c>
      <c r="T1999">
        <v>260</v>
      </c>
      <c r="U1999">
        <v>200</v>
      </c>
      <c r="V1999" t="s">
        <v>42</v>
      </c>
      <c r="W1999" t="s">
        <v>116</v>
      </c>
      <c r="X1999" t="s">
        <v>116</v>
      </c>
      <c r="Y1999" t="s">
        <v>117</v>
      </c>
      <c r="AF1999" t="s">
        <v>13</v>
      </c>
      <c r="AG1999" t="str">
        <f>HYPERLINK("https://doi.org/10.1515/9781474419604?locatt=mode:legacy")</f>
        <v>https://doi.org/10.1515/9781474419604?locatt=mode:legacy</v>
      </c>
      <c r="AH1999" t="str">
        <f>HYPERLINK("http://www.degruyter.com/isbn/9781474419604")</f>
        <v>http://www.degruyter.com/isbn/9781474419604</v>
      </c>
      <c r="AI1999" t="s">
        <v>222</v>
      </c>
      <c r="AL1999" t="s">
        <v>47</v>
      </c>
      <c r="AM1999">
        <v>1</v>
      </c>
      <c r="AN1999" s="2">
        <v>9781474419598</v>
      </c>
    </row>
    <row r="2000" spans="1:40" x14ac:dyDescent="0.3">
      <c r="A2000" t="s">
        <v>9661</v>
      </c>
      <c r="B2000" t="s">
        <v>1</v>
      </c>
      <c r="C2000" t="s">
        <v>9662</v>
      </c>
      <c r="D2000" t="s">
        <v>9663</v>
      </c>
      <c r="E2000" t="s">
        <v>9664</v>
      </c>
      <c r="F2000" t="s">
        <v>5</v>
      </c>
      <c r="G2000" t="s">
        <v>6</v>
      </c>
      <c r="K2000" t="s">
        <v>929</v>
      </c>
      <c r="L2000" t="s">
        <v>7</v>
      </c>
      <c r="M2000">
        <v>2019</v>
      </c>
      <c r="N2000" s="1">
        <v>43752</v>
      </c>
      <c r="O2000" t="s">
        <v>9665</v>
      </c>
      <c r="P2000">
        <v>1</v>
      </c>
      <c r="Q2000" t="s">
        <v>7059</v>
      </c>
      <c r="V2000" t="s">
        <v>9</v>
      </c>
      <c r="W2000" t="s">
        <v>10</v>
      </c>
      <c r="X2000" t="s">
        <v>11</v>
      </c>
      <c r="Y2000" t="s">
        <v>52</v>
      </c>
      <c r="AF2000" t="s">
        <v>13</v>
      </c>
      <c r="AG2000" t="str">
        <f>HYPERLINK("https://doi.org/10.1515/9781474440707")</f>
        <v>https://doi.org/10.1515/9781474440707</v>
      </c>
      <c r="AH2000" t="str">
        <f>HYPERLINK("http://www.degruyter.com/isbn/9781474440707")</f>
        <v>http://www.degruyter.com/isbn/9781474440707</v>
      </c>
      <c r="AI2000" t="s">
        <v>280</v>
      </c>
      <c r="AM2000">
        <v>1</v>
      </c>
      <c r="AN2000" s="2"/>
    </row>
    <row r="2001" spans="1:40" x14ac:dyDescent="0.3">
      <c r="A2001" t="s">
        <v>9666</v>
      </c>
      <c r="B2001" t="s">
        <v>1</v>
      </c>
      <c r="C2001" t="s">
        <v>9667</v>
      </c>
      <c r="D2001" t="s">
        <v>9668</v>
      </c>
      <c r="E2001" t="s">
        <v>9669</v>
      </c>
      <c r="F2001" t="s">
        <v>5</v>
      </c>
      <c r="G2001" t="s">
        <v>6</v>
      </c>
      <c r="L2001" t="s">
        <v>7</v>
      </c>
      <c r="M2001">
        <v>1996</v>
      </c>
      <c r="N2001" s="1">
        <v>44607</v>
      </c>
      <c r="O2001" t="s">
        <v>9670</v>
      </c>
      <c r="P2001">
        <v>1</v>
      </c>
      <c r="Q2001" t="s">
        <v>7950</v>
      </c>
      <c r="S2001">
        <v>217.95</v>
      </c>
      <c r="T2001">
        <v>250</v>
      </c>
      <c r="U2001">
        <v>190</v>
      </c>
      <c r="V2001" t="s">
        <v>98</v>
      </c>
      <c r="W2001" t="s">
        <v>99</v>
      </c>
      <c r="X2001" t="s">
        <v>386</v>
      </c>
      <c r="Y2001" t="s">
        <v>387</v>
      </c>
      <c r="AF2001" t="s">
        <v>13</v>
      </c>
      <c r="AG2001" t="str">
        <f>HYPERLINK("https://doi.org/10.1515/9781474464185")</f>
        <v>https://doi.org/10.1515/9781474464185</v>
      </c>
      <c r="AH2001" t="str">
        <f>HYPERLINK("http://www.degruyter.com/isbn/9781474464185")</f>
        <v>http://www.degruyter.com/isbn/9781474464185</v>
      </c>
      <c r="AI2001" t="s">
        <v>24</v>
      </c>
      <c r="AL2001" t="s">
        <v>102</v>
      </c>
      <c r="AM2001">
        <v>1</v>
      </c>
      <c r="AN2001" s="2">
        <v>9780748607853</v>
      </c>
    </row>
    <row r="2002" spans="1:40" x14ac:dyDescent="0.3">
      <c r="A2002" t="s">
        <v>9671</v>
      </c>
      <c r="B2002" t="s">
        <v>1</v>
      </c>
      <c r="C2002" t="s">
        <v>9672</v>
      </c>
      <c r="D2002" t="s">
        <v>7030</v>
      </c>
      <c r="E2002" t="s">
        <v>9673</v>
      </c>
      <c r="F2002" t="s">
        <v>5</v>
      </c>
      <c r="G2002" t="s">
        <v>6</v>
      </c>
      <c r="L2002" t="s">
        <v>7</v>
      </c>
      <c r="M2002">
        <v>2013</v>
      </c>
      <c r="N2002" s="1">
        <v>41333</v>
      </c>
      <c r="O2002" t="s">
        <v>9641</v>
      </c>
      <c r="P2002">
        <v>1</v>
      </c>
      <c r="Q2002" t="s">
        <v>7033</v>
      </c>
      <c r="S2002">
        <v>253.95</v>
      </c>
      <c r="T2002">
        <v>290</v>
      </c>
      <c r="U2002">
        <v>220</v>
      </c>
      <c r="V2002" t="s">
        <v>79</v>
      </c>
      <c r="W2002" t="s">
        <v>209</v>
      </c>
      <c r="X2002" t="s">
        <v>209</v>
      </c>
      <c r="Y2002" t="s">
        <v>510</v>
      </c>
      <c r="AF2002" t="s">
        <v>13</v>
      </c>
      <c r="AG2002" t="str">
        <f>HYPERLINK("https://doi.org/10.1515/9780748648917")</f>
        <v>https://doi.org/10.1515/9780748648917</v>
      </c>
      <c r="AH2002" t="str">
        <f>HYPERLINK("http://www.degruyter.com/isbn/9780748648917")</f>
        <v>http://www.degruyter.com/isbn/9780748648917</v>
      </c>
      <c r="AI2002" t="s">
        <v>68</v>
      </c>
      <c r="AL2002" t="s">
        <v>83</v>
      </c>
      <c r="AM2002">
        <v>1</v>
      </c>
      <c r="AN2002" s="2">
        <v>9780748648900</v>
      </c>
    </row>
    <row r="2003" spans="1:40" x14ac:dyDescent="0.3">
      <c r="A2003" t="s">
        <v>9674</v>
      </c>
      <c r="B2003" t="s">
        <v>1</v>
      </c>
      <c r="C2003" t="s">
        <v>9675</v>
      </c>
      <c r="E2003" t="s">
        <v>9676</v>
      </c>
      <c r="F2003" t="s">
        <v>5</v>
      </c>
      <c r="G2003" t="s">
        <v>6</v>
      </c>
      <c r="L2003" t="s">
        <v>7</v>
      </c>
      <c r="M2003">
        <v>2021</v>
      </c>
      <c r="N2003" s="1">
        <v>44644</v>
      </c>
      <c r="O2003" t="s">
        <v>9677</v>
      </c>
      <c r="P2003">
        <v>1</v>
      </c>
      <c r="Q2003" t="s">
        <v>9678</v>
      </c>
      <c r="S2003">
        <v>217.95</v>
      </c>
      <c r="T2003">
        <v>250</v>
      </c>
      <c r="U2003">
        <v>190</v>
      </c>
      <c r="V2003" t="s">
        <v>329</v>
      </c>
      <c r="W2003" t="s">
        <v>330</v>
      </c>
      <c r="X2003" t="s">
        <v>331</v>
      </c>
      <c r="Y2003" t="s">
        <v>332</v>
      </c>
      <c r="AF2003" t="s">
        <v>13</v>
      </c>
      <c r="AG2003" t="str">
        <f>HYPERLINK("https://doi.org/10.1515/9781474462372")</f>
        <v>https://doi.org/10.1515/9781474462372</v>
      </c>
      <c r="AH2003" t="str">
        <f>HYPERLINK("http://www.degruyter.com/isbn/9781474462372")</f>
        <v>http://www.degruyter.com/isbn/9781474462372</v>
      </c>
      <c r="AI2003" t="s">
        <v>9679</v>
      </c>
      <c r="AL2003" t="s">
        <v>333</v>
      </c>
      <c r="AM2003">
        <v>1</v>
      </c>
      <c r="AN2003" s="2">
        <v>9781474462358</v>
      </c>
    </row>
    <row r="2004" spans="1:40" x14ac:dyDescent="0.3">
      <c r="A2004" t="s">
        <v>9680</v>
      </c>
      <c r="B2004" t="s">
        <v>1</v>
      </c>
      <c r="C2004" t="s">
        <v>9681</v>
      </c>
      <c r="D2004" t="s">
        <v>9682</v>
      </c>
      <c r="E2004" t="s">
        <v>9683</v>
      </c>
      <c r="F2004" t="s">
        <v>5</v>
      </c>
      <c r="G2004" t="s">
        <v>6</v>
      </c>
      <c r="L2004" t="s">
        <v>7</v>
      </c>
      <c r="M2004">
        <v>2010</v>
      </c>
      <c r="N2004" s="1">
        <v>40237</v>
      </c>
      <c r="O2004" t="s">
        <v>9684</v>
      </c>
      <c r="P2004">
        <v>1</v>
      </c>
      <c r="Q2004" t="s">
        <v>7052</v>
      </c>
      <c r="S2004">
        <v>227.95</v>
      </c>
      <c r="T2004">
        <v>260</v>
      </c>
      <c r="U2004">
        <v>200</v>
      </c>
      <c r="V2004" t="s">
        <v>42</v>
      </c>
      <c r="W2004" t="s">
        <v>107</v>
      </c>
      <c r="X2004" t="s">
        <v>108</v>
      </c>
      <c r="Y2004" t="s">
        <v>221</v>
      </c>
      <c r="AF2004" t="s">
        <v>13</v>
      </c>
      <c r="AG2004" t="str">
        <f>HYPERLINK("https://doi.org/10.1515/9780748641611")</f>
        <v>https://doi.org/10.1515/9780748641611</v>
      </c>
      <c r="AH2004" t="str">
        <f>HYPERLINK("http://www.degruyter.com/isbn/9780748641611")</f>
        <v>http://www.degruyter.com/isbn/9780748641611</v>
      </c>
      <c r="AI2004" t="s">
        <v>68</v>
      </c>
      <c r="AL2004" t="s">
        <v>47</v>
      </c>
      <c r="AM2004">
        <v>1</v>
      </c>
      <c r="AN2004" s="2">
        <v>9780748638680</v>
      </c>
    </row>
    <row r="2005" spans="1:40" x14ac:dyDescent="0.3">
      <c r="A2005" t="s">
        <v>9685</v>
      </c>
      <c r="B2005" t="s">
        <v>1</v>
      </c>
      <c r="C2005" t="s">
        <v>9686</v>
      </c>
      <c r="D2005" t="s">
        <v>9687</v>
      </c>
      <c r="E2005" t="s">
        <v>9688</v>
      </c>
      <c r="F2005" t="s">
        <v>5</v>
      </c>
      <c r="G2005" t="s">
        <v>6</v>
      </c>
      <c r="L2005" t="s">
        <v>7</v>
      </c>
      <c r="M2005">
        <v>2019</v>
      </c>
      <c r="N2005" s="1">
        <v>44656</v>
      </c>
      <c r="O2005" t="s">
        <v>9689</v>
      </c>
      <c r="P2005">
        <v>1</v>
      </c>
      <c r="Q2005" t="s">
        <v>7086</v>
      </c>
      <c r="S2005">
        <v>217.95</v>
      </c>
      <c r="T2005">
        <v>250</v>
      </c>
      <c r="U2005">
        <v>190</v>
      </c>
      <c r="V2005" t="s">
        <v>20</v>
      </c>
      <c r="W2005" t="s">
        <v>470</v>
      </c>
      <c r="X2005" t="s">
        <v>1269</v>
      </c>
      <c r="Y2005" t="s">
        <v>6700</v>
      </c>
      <c r="AF2005" t="s">
        <v>13</v>
      </c>
      <c r="AG2005" t="str">
        <f>HYPERLINK("https://doi.org/10.1515/9781474443333")</f>
        <v>https://doi.org/10.1515/9781474443333</v>
      </c>
      <c r="AH2005" t="str">
        <f>HYPERLINK("http://www.degruyter.com/isbn/9781474443333")</f>
        <v>http://www.degruyter.com/isbn/9781474443333</v>
      </c>
      <c r="AI2005" t="s">
        <v>280</v>
      </c>
      <c r="AL2005" t="s">
        <v>15</v>
      </c>
      <c r="AM2005">
        <v>1</v>
      </c>
      <c r="AN2005" s="2">
        <v>9781474443319</v>
      </c>
    </row>
    <row r="2006" spans="1:40" x14ac:dyDescent="0.3">
      <c r="A2006" t="s">
        <v>9690</v>
      </c>
      <c r="B2006" t="s">
        <v>1</v>
      </c>
      <c r="C2006" t="s">
        <v>9691</v>
      </c>
      <c r="D2006" t="s">
        <v>9692</v>
      </c>
      <c r="E2006" t="s">
        <v>9693</v>
      </c>
      <c r="F2006" t="s">
        <v>5</v>
      </c>
      <c r="G2006" t="s">
        <v>6</v>
      </c>
      <c r="L2006" t="s">
        <v>7</v>
      </c>
      <c r="M2006">
        <v>2009</v>
      </c>
      <c r="N2006" s="1">
        <v>40116</v>
      </c>
      <c r="O2006" t="s">
        <v>9694</v>
      </c>
      <c r="P2006">
        <v>1</v>
      </c>
      <c r="S2006">
        <v>217.95</v>
      </c>
      <c r="T2006">
        <v>250</v>
      </c>
      <c r="U2006">
        <v>190</v>
      </c>
      <c r="V2006" t="s">
        <v>268</v>
      </c>
      <c r="W2006" t="s">
        <v>269</v>
      </c>
      <c r="X2006" t="s">
        <v>269</v>
      </c>
      <c r="Y2006" t="s">
        <v>411</v>
      </c>
      <c r="AF2006" t="s">
        <v>13</v>
      </c>
      <c r="AG2006" t="str">
        <f>HYPERLINK("https://doi.org/10.1515/9780748699544?locatt=mode:legacy")</f>
        <v>https://doi.org/10.1515/9780748699544?locatt=mode:legacy</v>
      </c>
      <c r="AH2006" t="str">
        <f>HYPERLINK("http://www.degruyter.com/isbn/9780748699544")</f>
        <v>http://www.degruyter.com/isbn/9780748699544</v>
      </c>
      <c r="AI2006" t="s">
        <v>6127</v>
      </c>
      <c r="AL2006" t="s">
        <v>272</v>
      </c>
      <c r="AM2006">
        <v>1</v>
      </c>
      <c r="AN2006" s="2">
        <v>9781845860271</v>
      </c>
    </row>
    <row r="2007" spans="1:40" x14ac:dyDescent="0.3">
      <c r="A2007" t="s">
        <v>9695</v>
      </c>
      <c r="B2007" t="s">
        <v>1</v>
      </c>
      <c r="C2007" t="s">
        <v>9696</v>
      </c>
      <c r="E2007" t="s">
        <v>9697</v>
      </c>
      <c r="F2007" t="s">
        <v>5</v>
      </c>
      <c r="G2007" t="s">
        <v>6</v>
      </c>
      <c r="L2007" t="s">
        <v>7</v>
      </c>
      <c r="M2007">
        <v>2009</v>
      </c>
      <c r="N2007" s="1">
        <v>39814</v>
      </c>
      <c r="O2007" t="s">
        <v>9698</v>
      </c>
      <c r="P2007">
        <v>1</v>
      </c>
      <c r="Q2007" t="s">
        <v>6418</v>
      </c>
      <c r="S2007">
        <v>279.95</v>
      </c>
      <c r="T2007">
        <v>320</v>
      </c>
      <c r="U2007">
        <v>240</v>
      </c>
      <c r="V2007" t="s">
        <v>79</v>
      </c>
      <c r="W2007" t="s">
        <v>209</v>
      </c>
      <c r="X2007" t="s">
        <v>209</v>
      </c>
      <c r="Y2007" t="s">
        <v>510</v>
      </c>
      <c r="AF2007" t="s">
        <v>13</v>
      </c>
      <c r="AG2007" t="str">
        <f>HYPERLINK("https://doi.org/10.1515/9780748633371?locatt=mode:legacy")</f>
        <v>https://doi.org/10.1515/9780748633371?locatt=mode:legacy</v>
      </c>
      <c r="AH2007" t="str">
        <f>HYPERLINK("http://www.degruyter.com/isbn/9780748633371")</f>
        <v>http://www.degruyter.com/isbn/9780748633371</v>
      </c>
      <c r="AI2007" t="s">
        <v>68</v>
      </c>
      <c r="AJ2007" t="s">
        <v>35</v>
      </c>
      <c r="AL2007" t="s">
        <v>718</v>
      </c>
      <c r="AM2007">
        <v>1</v>
      </c>
      <c r="AN2007" s="2">
        <v>9780748633364</v>
      </c>
    </row>
    <row r="2008" spans="1:40" x14ac:dyDescent="0.3">
      <c r="A2008" t="s">
        <v>9699</v>
      </c>
      <c r="B2008" t="s">
        <v>1</v>
      </c>
      <c r="C2008" t="s">
        <v>9700</v>
      </c>
      <c r="D2008" t="s">
        <v>9701</v>
      </c>
      <c r="E2008" t="s">
        <v>9702</v>
      </c>
      <c r="F2008" t="s">
        <v>5</v>
      </c>
      <c r="G2008" t="s">
        <v>6</v>
      </c>
      <c r="L2008" t="s">
        <v>7</v>
      </c>
      <c r="M2008">
        <v>2020</v>
      </c>
      <c r="N2008" s="1">
        <v>44656</v>
      </c>
      <c r="O2008" t="s">
        <v>9703</v>
      </c>
      <c r="P2008">
        <v>1</v>
      </c>
      <c r="Q2008" t="s">
        <v>8096</v>
      </c>
      <c r="S2008">
        <v>217.95</v>
      </c>
      <c r="T2008">
        <v>250</v>
      </c>
      <c r="U2008">
        <v>190</v>
      </c>
      <c r="V2008" t="s">
        <v>42</v>
      </c>
      <c r="W2008" t="s">
        <v>107</v>
      </c>
      <c r="X2008" t="s">
        <v>108</v>
      </c>
      <c r="Y2008" t="s">
        <v>109</v>
      </c>
      <c r="AF2008" t="s">
        <v>13</v>
      </c>
      <c r="AG2008" t="str">
        <f>HYPERLINK("https://doi.org/10.1515/9781474458412")</f>
        <v>https://doi.org/10.1515/9781474458412</v>
      </c>
      <c r="AH2008" t="str">
        <f>HYPERLINK("http://www.degruyter.com/isbn/9781474458412")</f>
        <v>http://www.degruyter.com/isbn/9781474458412</v>
      </c>
      <c r="AI2008" t="s">
        <v>14</v>
      </c>
      <c r="AL2008" t="s">
        <v>47</v>
      </c>
      <c r="AM2008">
        <v>1</v>
      </c>
      <c r="AN2008" s="2">
        <v>9781474458399</v>
      </c>
    </row>
    <row r="2009" spans="1:40" x14ac:dyDescent="0.3">
      <c r="A2009" t="s">
        <v>9704</v>
      </c>
      <c r="B2009" t="s">
        <v>1</v>
      </c>
      <c r="C2009" t="s">
        <v>9705</v>
      </c>
      <c r="E2009" t="s">
        <v>9706</v>
      </c>
      <c r="F2009" t="s">
        <v>5</v>
      </c>
      <c r="G2009" t="s">
        <v>6</v>
      </c>
      <c r="L2009" t="s">
        <v>7</v>
      </c>
      <c r="M2009">
        <v>2012</v>
      </c>
      <c r="N2009" s="1">
        <v>41239</v>
      </c>
      <c r="O2009" t="s">
        <v>9707</v>
      </c>
      <c r="P2009">
        <v>1</v>
      </c>
      <c r="Q2009" t="s">
        <v>6418</v>
      </c>
      <c r="S2009">
        <v>253.95</v>
      </c>
      <c r="T2009">
        <v>290</v>
      </c>
      <c r="U2009">
        <v>220</v>
      </c>
      <c r="V2009" t="s">
        <v>79</v>
      </c>
      <c r="W2009" t="s">
        <v>209</v>
      </c>
      <c r="X2009" t="s">
        <v>209</v>
      </c>
      <c r="Y2009" t="s">
        <v>510</v>
      </c>
      <c r="AF2009" t="s">
        <v>13</v>
      </c>
      <c r="AG2009" t="str">
        <f>HYPERLINK("https://doi.org/10.1515/9780748669608")</f>
        <v>https://doi.org/10.1515/9780748669608</v>
      </c>
      <c r="AH2009" t="str">
        <f>HYPERLINK("http://www.degruyter.com/isbn/9780748669608")</f>
        <v>http://www.degruyter.com/isbn/9780748669608</v>
      </c>
      <c r="AI2009" t="s">
        <v>68</v>
      </c>
      <c r="AL2009" t="s">
        <v>83</v>
      </c>
      <c r="AM2009">
        <v>1</v>
      </c>
      <c r="AN2009" s="2">
        <v>9780748669585</v>
      </c>
    </row>
    <row r="2010" spans="1:40" x14ac:dyDescent="0.3">
      <c r="A2010" t="s">
        <v>9708</v>
      </c>
      <c r="B2010" t="s">
        <v>1</v>
      </c>
      <c r="C2010" t="s">
        <v>9709</v>
      </c>
      <c r="D2010" t="s">
        <v>7030</v>
      </c>
      <c r="E2010" t="s">
        <v>9710</v>
      </c>
      <c r="F2010" t="s">
        <v>5</v>
      </c>
      <c r="G2010" t="s">
        <v>6</v>
      </c>
      <c r="L2010" t="s">
        <v>7</v>
      </c>
      <c r="M2010">
        <v>2008</v>
      </c>
      <c r="N2010" s="1">
        <v>39568</v>
      </c>
      <c r="O2010" t="s">
        <v>9711</v>
      </c>
      <c r="P2010">
        <v>1</v>
      </c>
      <c r="Q2010" t="s">
        <v>7033</v>
      </c>
      <c r="S2010">
        <v>253.95</v>
      </c>
      <c r="T2010">
        <v>290</v>
      </c>
      <c r="U2010">
        <v>220</v>
      </c>
      <c r="V2010" t="s">
        <v>79</v>
      </c>
      <c r="W2010" t="s">
        <v>209</v>
      </c>
      <c r="X2010" t="s">
        <v>209</v>
      </c>
      <c r="Y2010" t="s">
        <v>510</v>
      </c>
      <c r="AF2010" t="s">
        <v>13</v>
      </c>
      <c r="AG2010" t="str">
        <f>HYPERLINK("https://doi.org/10.1515/9780748631391")</f>
        <v>https://doi.org/10.1515/9780748631391</v>
      </c>
      <c r="AH2010" t="str">
        <f>HYPERLINK("http://www.degruyter.com/isbn/9780748631391")</f>
        <v>http://www.degruyter.com/isbn/9780748631391</v>
      </c>
      <c r="AI2010" t="s">
        <v>68</v>
      </c>
      <c r="AL2010" t="s">
        <v>83</v>
      </c>
      <c r="AM2010">
        <v>1</v>
      </c>
      <c r="AN2010" s="2">
        <v>9780748626120</v>
      </c>
    </row>
    <row r="2011" spans="1:40" x14ac:dyDescent="0.3">
      <c r="A2011" t="s">
        <v>9712</v>
      </c>
      <c r="B2011" t="s">
        <v>1</v>
      </c>
      <c r="C2011" t="s">
        <v>6983</v>
      </c>
      <c r="D2011" t="s">
        <v>9713</v>
      </c>
      <c r="E2011" t="s">
        <v>6985</v>
      </c>
      <c r="F2011" t="s">
        <v>5</v>
      </c>
      <c r="G2011" t="s">
        <v>6</v>
      </c>
      <c r="L2011" t="s">
        <v>7</v>
      </c>
      <c r="M2011">
        <v>2021</v>
      </c>
      <c r="N2011" s="1">
        <v>44656</v>
      </c>
      <c r="O2011" t="s">
        <v>9714</v>
      </c>
      <c r="P2011">
        <v>1</v>
      </c>
      <c r="Q2011" t="s">
        <v>7655</v>
      </c>
      <c r="S2011">
        <v>209.95</v>
      </c>
      <c r="T2011">
        <v>240</v>
      </c>
      <c r="U2011">
        <v>180</v>
      </c>
      <c r="V2011" t="s">
        <v>9</v>
      </c>
      <c r="W2011" t="s">
        <v>10</v>
      </c>
      <c r="X2011" t="s">
        <v>11</v>
      </c>
      <c r="Y2011" t="s">
        <v>52</v>
      </c>
      <c r="AF2011" t="s">
        <v>13</v>
      </c>
      <c r="AG2011" t="str">
        <f>HYPERLINK("https://doi.org/10.1515/9781474434263")</f>
        <v>https://doi.org/10.1515/9781474434263</v>
      </c>
      <c r="AH2011" t="str">
        <f>HYPERLINK("http://www.degruyter.com/isbn/9781474434263")</f>
        <v>http://www.degruyter.com/isbn/9781474434263</v>
      </c>
      <c r="AI2011" t="s">
        <v>908</v>
      </c>
      <c r="AL2011" t="s">
        <v>15</v>
      </c>
      <c r="AM2011">
        <v>1</v>
      </c>
      <c r="AN2011" s="2">
        <v>9781474434256</v>
      </c>
    </row>
    <row r="2012" spans="1:40" x14ac:dyDescent="0.3">
      <c r="A2012" t="s">
        <v>9715</v>
      </c>
      <c r="B2012" t="s">
        <v>1</v>
      </c>
      <c r="C2012" t="s">
        <v>9716</v>
      </c>
      <c r="E2012" t="s">
        <v>9717</v>
      </c>
      <c r="F2012" t="s">
        <v>5</v>
      </c>
      <c r="G2012" t="s">
        <v>6</v>
      </c>
      <c r="L2012" t="s">
        <v>7</v>
      </c>
      <c r="M2012">
        <v>2012</v>
      </c>
      <c r="N2012" s="1">
        <v>41080</v>
      </c>
      <c r="O2012" t="s">
        <v>9718</v>
      </c>
      <c r="P2012">
        <v>1</v>
      </c>
      <c r="Q2012" t="s">
        <v>6418</v>
      </c>
      <c r="S2012">
        <v>279.95</v>
      </c>
      <c r="T2012">
        <v>320</v>
      </c>
      <c r="U2012">
        <v>240</v>
      </c>
      <c r="V2012" t="s">
        <v>268</v>
      </c>
      <c r="W2012" t="s">
        <v>269</v>
      </c>
      <c r="X2012" t="s">
        <v>269</v>
      </c>
      <c r="Y2012" t="s">
        <v>5838</v>
      </c>
      <c r="AF2012" t="s">
        <v>13</v>
      </c>
      <c r="AG2012" t="str">
        <f>HYPERLINK("https://doi.org/10.1515/9780748664542")</f>
        <v>https://doi.org/10.1515/9780748664542</v>
      </c>
      <c r="AH2012" t="str">
        <f>HYPERLINK("http://www.degruyter.com/isbn/9780748664542")</f>
        <v>http://www.degruyter.com/isbn/9780748664542</v>
      </c>
      <c r="AI2012" t="s">
        <v>444</v>
      </c>
      <c r="AL2012" t="s">
        <v>272</v>
      </c>
      <c r="AM2012">
        <v>1</v>
      </c>
      <c r="AN2012" s="2">
        <v>9780748644148</v>
      </c>
    </row>
    <row r="2013" spans="1:40" x14ac:dyDescent="0.3">
      <c r="A2013" t="s">
        <v>9719</v>
      </c>
      <c r="B2013" t="s">
        <v>1</v>
      </c>
      <c r="C2013" t="s">
        <v>9720</v>
      </c>
      <c r="D2013" t="s">
        <v>9721</v>
      </c>
      <c r="E2013" t="s">
        <v>9722</v>
      </c>
      <c r="F2013" t="s">
        <v>5</v>
      </c>
      <c r="G2013" t="s">
        <v>6</v>
      </c>
      <c r="L2013" t="s">
        <v>7</v>
      </c>
      <c r="M2013">
        <v>2013</v>
      </c>
      <c r="N2013" s="1">
        <v>41407</v>
      </c>
      <c r="O2013" t="s">
        <v>4527</v>
      </c>
      <c r="P2013">
        <v>1</v>
      </c>
      <c r="Q2013" t="s">
        <v>6606</v>
      </c>
      <c r="S2013">
        <v>243.95</v>
      </c>
      <c r="T2013">
        <v>280</v>
      </c>
      <c r="U2013">
        <v>210</v>
      </c>
      <c r="V2013" t="s">
        <v>79</v>
      </c>
      <c r="W2013" t="s">
        <v>209</v>
      </c>
      <c r="X2013" t="s">
        <v>209</v>
      </c>
      <c r="Y2013" t="s">
        <v>510</v>
      </c>
      <c r="AF2013" t="s">
        <v>13</v>
      </c>
      <c r="AG2013" t="str">
        <f>HYPERLINK("https://doi.org/10.1515/9780748645930?locatt=mode:legacy")</f>
        <v>https://doi.org/10.1515/9780748645930?locatt=mode:legacy</v>
      </c>
      <c r="AH2013" t="str">
        <f>HYPERLINK("http://www.degruyter.com/isbn/9780748645930")</f>
        <v>http://www.degruyter.com/isbn/9780748645930</v>
      </c>
      <c r="AI2013" t="s">
        <v>68</v>
      </c>
      <c r="AL2013" t="s">
        <v>83</v>
      </c>
      <c r="AM2013">
        <v>1</v>
      </c>
      <c r="AN2013" s="2">
        <v>9780748645923</v>
      </c>
    </row>
    <row r="2014" spans="1:40" x14ac:dyDescent="0.3">
      <c r="A2014" t="s">
        <v>9723</v>
      </c>
      <c r="B2014" t="s">
        <v>1</v>
      </c>
      <c r="C2014" t="s">
        <v>9724</v>
      </c>
      <c r="E2014" t="s">
        <v>9725</v>
      </c>
      <c r="F2014" t="s">
        <v>5</v>
      </c>
      <c r="G2014" t="s">
        <v>6</v>
      </c>
      <c r="L2014" t="s">
        <v>7</v>
      </c>
      <c r="M2014">
        <v>2013</v>
      </c>
      <c r="N2014" s="1">
        <v>41425</v>
      </c>
      <c r="O2014" t="s">
        <v>9726</v>
      </c>
      <c r="P2014">
        <v>1</v>
      </c>
      <c r="Q2014" t="s">
        <v>7481</v>
      </c>
      <c r="S2014">
        <v>209.95</v>
      </c>
      <c r="T2014">
        <v>240</v>
      </c>
      <c r="U2014">
        <v>180</v>
      </c>
      <c r="V2014" t="s">
        <v>187</v>
      </c>
      <c r="W2014" t="s">
        <v>187</v>
      </c>
      <c r="X2014" t="s">
        <v>187</v>
      </c>
      <c r="Y2014" t="s">
        <v>9727</v>
      </c>
      <c r="AF2014" t="s">
        <v>13</v>
      </c>
      <c r="AG2014" t="str">
        <f>HYPERLINK("https://doi.org/10.1515/9780748683475")</f>
        <v>https://doi.org/10.1515/9780748683475</v>
      </c>
      <c r="AH2014" t="str">
        <f>HYPERLINK("http://www.degruyter.com/isbn/9780748683475")</f>
        <v>http://www.degruyter.com/isbn/9780748683475</v>
      </c>
      <c r="AI2014" t="s">
        <v>68</v>
      </c>
      <c r="AL2014" t="s">
        <v>190</v>
      </c>
      <c r="AM2014">
        <v>1</v>
      </c>
      <c r="AN2014" s="2">
        <v>9780748645961</v>
      </c>
    </row>
    <row r="2015" spans="1:40" x14ac:dyDescent="0.3">
      <c r="A2015" t="s">
        <v>9728</v>
      </c>
      <c r="B2015" t="s">
        <v>1</v>
      </c>
      <c r="C2015" t="s">
        <v>9729</v>
      </c>
      <c r="D2015" t="s">
        <v>7731</v>
      </c>
      <c r="E2015" t="s">
        <v>9730</v>
      </c>
      <c r="F2015" t="s">
        <v>5</v>
      </c>
      <c r="G2015" t="s">
        <v>6</v>
      </c>
      <c r="L2015" t="s">
        <v>7</v>
      </c>
      <c r="M2015">
        <v>2014</v>
      </c>
      <c r="N2015" s="1">
        <v>41848</v>
      </c>
      <c r="O2015" t="s">
        <v>9731</v>
      </c>
      <c r="P2015">
        <v>1</v>
      </c>
      <c r="Q2015" t="s">
        <v>7733</v>
      </c>
      <c r="S2015">
        <v>253.95</v>
      </c>
      <c r="T2015">
        <v>290</v>
      </c>
      <c r="U2015">
        <v>220</v>
      </c>
      <c r="V2015" t="s">
        <v>79</v>
      </c>
      <c r="W2015" t="s">
        <v>209</v>
      </c>
      <c r="X2015" t="s">
        <v>209</v>
      </c>
      <c r="Y2015" t="s">
        <v>510</v>
      </c>
      <c r="AF2015" t="s">
        <v>13</v>
      </c>
      <c r="AG2015" t="str">
        <f>HYPERLINK("https://doi.org/10.1515/9780748654512")</f>
        <v>https://doi.org/10.1515/9780748654512</v>
      </c>
      <c r="AH2015" t="str">
        <f>HYPERLINK("http://www.degruyter.com/isbn/9780748654512")</f>
        <v>http://www.degruyter.com/isbn/9780748654512</v>
      </c>
      <c r="AI2015" t="s">
        <v>34</v>
      </c>
      <c r="AL2015" t="s">
        <v>83</v>
      </c>
      <c r="AM2015">
        <v>1</v>
      </c>
      <c r="AN2015" s="2">
        <v>9780748654505</v>
      </c>
    </row>
    <row r="2016" spans="1:40" x14ac:dyDescent="0.3">
      <c r="A2016" t="s">
        <v>9732</v>
      </c>
      <c r="B2016" t="s">
        <v>1</v>
      </c>
      <c r="C2016" t="s">
        <v>9733</v>
      </c>
      <c r="E2016" t="s">
        <v>9734</v>
      </c>
      <c r="F2016" t="s">
        <v>5</v>
      </c>
      <c r="G2016" t="s">
        <v>6</v>
      </c>
      <c r="L2016" t="s">
        <v>7</v>
      </c>
      <c r="M2016">
        <v>1997</v>
      </c>
      <c r="N2016" s="1">
        <v>44672</v>
      </c>
      <c r="O2016" t="s">
        <v>9735</v>
      </c>
      <c r="P2016">
        <v>1</v>
      </c>
      <c r="Q2016" t="s">
        <v>6815</v>
      </c>
      <c r="S2016">
        <v>73.95</v>
      </c>
      <c r="T2016">
        <v>81.900000000000006</v>
      </c>
      <c r="U2016">
        <v>62</v>
      </c>
      <c r="V2016" t="s">
        <v>58</v>
      </c>
      <c r="W2016" t="s">
        <v>129</v>
      </c>
      <c r="X2016" t="s">
        <v>504</v>
      </c>
      <c r="Y2016" t="s">
        <v>9196</v>
      </c>
      <c r="AF2016" t="s">
        <v>13</v>
      </c>
      <c r="AG2016" t="str">
        <f>HYPERLINK("https://doi.org/10.1515/9780585102795")</f>
        <v>https://doi.org/10.1515/9780585102795</v>
      </c>
      <c r="AH2016" t="str">
        <f>HYPERLINK("http://www.degruyter.com/isbn/9780585102795")</f>
        <v>http://www.degruyter.com/isbn/9780585102795</v>
      </c>
      <c r="AI2016" t="s">
        <v>24</v>
      </c>
      <c r="AL2016" t="s">
        <v>62</v>
      </c>
      <c r="AM2016">
        <v>1</v>
      </c>
      <c r="AN2016" s="2">
        <v>9781853311796</v>
      </c>
    </row>
    <row r="2017" spans="1:40" x14ac:dyDescent="0.3">
      <c r="A2017" t="s">
        <v>9736</v>
      </c>
      <c r="B2017" t="s">
        <v>1</v>
      </c>
      <c r="C2017" t="s">
        <v>6983</v>
      </c>
      <c r="D2017" t="s">
        <v>9737</v>
      </c>
      <c r="E2017" t="s">
        <v>6985</v>
      </c>
      <c r="F2017" t="s">
        <v>5</v>
      </c>
      <c r="G2017" t="s">
        <v>6</v>
      </c>
      <c r="L2017" t="s">
        <v>7</v>
      </c>
      <c r="M2017">
        <v>2018</v>
      </c>
      <c r="N2017" s="1">
        <v>44656</v>
      </c>
      <c r="O2017" t="s">
        <v>9738</v>
      </c>
      <c r="P2017">
        <v>1</v>
      </c>
      <c r="Q2017" t="s">
        <v>7655</v>
      </c>
      <c r="S2017">
        <v>227.95</v>
      </c>
      <c r="T2017">
        <v>260</v>
      </c>
      <c r="U2017">
        <v>200</v>
      </c>
      <c r="V2017" t="s">
        <v>9</v>
      </c>
      <c r="W2017" t="s">
        <v>10</v>
      </c>
      <c r="X2017" t="s">
        <v>11</v>
      </c>
      <c r="Y2017" t="s">
        <v>52</v>
      </c>
      <c r="AF2017" t="s">
        <v>13</v>
      </c>
      <c r="AG2017" t="str">
        <f>HYPERLINK("https://www.degruyter.com/isbn/9781474424271")</f>
        <v>https://www.degruyter.com/isbn/9781474424271</v>
      </c>
      <c r="AH2017" t="str">
        <f>HYPERLINK("http://www.degruyter.com/isbn/9781474424271")</f>
        <v>http://www.degruyter.com/isbn/9781474424271</v>
      </c>
      <c r="AI2017" t="s">
        <v>46</v>
      </c>
      <c r="AL2017" t="s">
        <v>15</v>
      </c>
      <c r="AM2017">
        <v>1</v>
      </c>
      <c r="AN2017" s="2">
        <v>9781474424264</v>
      </c>
    </row>
    <row r="2018" spans="1:40" x14ac:dyDescent="0.3">
      <c r="A2018" t="s">
        <v>9739</v>
      </c>
      <c r="B2018" t="s">
        <v>1</v>
      </c>
      <c r="C2018" t="s">
        <v>9740</v>
      </c>
      <c r="E2018" t="s">
        <v>9741</v>
      </c>
      <c r="F2018" t="s">
        <v>5</v>
      </c>
      <c r="G2018" t="s">
        <v>6</v>
      </c>
      <c r="L2018" t="s">
        <v>7</v>
      </c>
      <c r="M2018">
        <v>2020</v>
      </c>
      <c r="N2018" s="1">
        <v>44656</v>
      </c>
      <c r="O2018" t="s">
        <v>9742</v>
      </c>
      <c r="P2018">
        <v>1</v>
      </c>
      <c r="Q2018" t="s">
        <v>5754</v>
      </c>
      <c r="S2018">
        <v>253.95</v>
      </c>
      <c r="T2018">
        <v>290</v>
      </c>
      <c r="U2018">
        <v>220</v>
      </c>
      <c r="V2018" t="s">
        <v>79</v>
      </c>
      <c r="W2018" t="s">
        <v>734</v>
      </c>
      <c r="X2018" t="s">
        <v>734</v>
      </c>
      <c r="Y2018" t="s">
        <v>735</v>
      </c>
      <c r="AF2018" t="s">
        <v>13</v>
      </c>
      <c r="AG2018" t="str">
        <f>HYPERLINK("https://doi.org/10.1515/9781474454308")</f>
        <v>https://doi.org/10.1515/9781474454308</v>
      </c>
      <c r="AH2018" t="str">
        <f>HYPERLINK("http://www.degruyter.com/isbn/9781474454308")</f>
        <v>http://www.degruyter.com/isbn/9781474454308</v>
      </c>
      <c r="AI2018" t="s">
        <v>14</v>
      </c>
      <c r="AL2018" t="s">
        <v>83</v>
      </c>
      <c r="AM2018">
        <v>1</v>
      </c>
      <c r="AN2018" s="2">
        <v>9781474454278</v>
      </c>
    </row>
    <row r="2019" spans="1:40" x14ac:dyDescent="0.3">
      <c r="A2019" t="s">
        <v>9743</v>
      </c>
      <c r="B2019" t="s">
        <v>1</v>
      </c>
      <c r="C2019" t="s">
        <v>9744</v>
      </c>
      <c r="D2019" t="s">
        <v>9745</v>
      </c>
      <c r="E2019" t="s">
        <v>9746</v>
      </c>
      <c r="F2019" t="s">
        <v>5</v>
      </c>
      <c r="G2019" t="s">
        <v>6</v>
      </c>
      <c r="L2019" t="s">
        <v>7</v>
      </c>
      <c r="M2019">
        <v>2021</v>
      </c>
      <c r="N2019" s="1">
        <v>44644</v>
      </c>
      <c r="O2019" t="s">
        <v>9747</v>
      </c>
      <c r="P2019">
        <v>1</v>
      </c>
      <c r="Q2019" t="s">
        <v>8096</v>
      </c>
      <c r="S2019">
        <v>217.95</v>
      </c>
      <c r="T2019">
        <v>250</v>
      </c>
      <c r="U2019">
        <v>190</v>
      </c>
      <c r="V2019" t="s">
        <v>42</v>
      </c>
      <c r="W2019" t="s">
        <v>116</v>
      </c>
      <c r="X2019" t="s">
        <v>116</v>
      </c>
      <c r="Y2019" t="s">
        <v>117</v>
      </c>
      <c r="AF2019" t="s">
        <v>13</v>
      </c>
      <c r="AG2019" t="str">
        <f>HYPERLINK("https://doi.org/10.1515/9781474456678")</f>
        <v>https://doi.org/10.1515/9781474456678</v>
      </c>
      <c r="AH2019" t="str">
        <f>HYPERLINK("http://www.degruyter.com/isbn/9781474456678")</f>
        <v>http://www.degruyter.com/isbn/9781474456678</v>
      </c>
      <c r="AI2019" t="s">
        <v>1561</v>
      </c>
      <c r="AL2019" t="s">
        <v>47</v>
      </c>
      <c r="AM2019">
        <v>1</v>
      </c>
      <c r="AN2019" s="2">
        <v>9781474456654</v>
      </c>
    </row>
    <row r="2020" spans="1:40" x14ac:dyDescent="0.3">
      <c r="A2020" t="s">
        <v>9748</v>
      </c>
      <c r="B2020" t="s">
        <v>1</v>
      </c>
      <c r="C2020" t="s">
        <v>9749</v>
      </c>
      <c r="E2020" t="s">
        <v>9750</v>
      </c>
      <c r="F2020" t="s">
        <v>5</v>
      </c>
      <c r="G2020" t="s">
        <v>6</v>
      </c>
      <c r="L2020" t="s">
        <v>7</v>
      </c>
      <c r="M2020">
        <v>2019</v>
      </c>
      <c r="N2020" s="1">
        <v>44644</v>
      </c>
      <c r="O2020" t="s">
        <v>9751</v>
      </c>
      <c r="P2020">
        <v>1</v>
      </c>
      <c r="Q2020" t="s">
        <v>8994</v>
      </c>
      <c r="S2020">
        <v>417.95</v>
      </c>
      <c r="T2020">
        <v>480</v>
      </c>
      <c r="U2020">
        <v>370</v>
      </c>
      <c r="V2020" t="s">
        <v>20</v>
      </c>
      <c r="W2020" t="s">
        <v>21</v>
      </c>
      <c r="X2020" t="s">
        <v>839</v>
      </c>
      <c r="Y2020" t="s">
        <v>1475</v>
      </c>
      <c r="AF2020" t="s">
        <v>13</v>
      </c>
      <c r="AG2020" t="str">
        <f>HYPERLINK("https://doi.org/10.1515/9781474439848?locatt=mode:legacy")</f>
        <v>https://doi.org/10.1515/9781474439848?locatt=mode:legacy</v>
      </c>
      <c r="AH2020" t="str">
        <f>HYPERLINK("http://www.degruyter.com/isbn/9781474439848")</f>
        <v>http://www.degruyter.com/isbn/9781474439848</v>
      </c>
      <c r="AI2020" t="s">
        <v>280</v>
      </c>
      <c r="AL2020" t="s">
        <v>15</v>
      </c>
      <c r="AM2020">
        <v>1</v>
      </c>
      <c r="AN2020" s="2">
        <v>9781474439824</v>
      </c>
    </row>
    <row r="2021" spans="1:40" x14ac:dyDescent="0.3">
      <c r="A2021" t="s">
        <v>9752</v>
      </c>
      <c r="B2021" t="s">
        <v>1</v>
      </c>
      <c r="C2021" t="s">
        <v>9753</v>
      </c>
      <c r="D2021" t="s">
        <v>9754</v>
      </c>
      <c r="E2021" t="s">
        <v>9755</v>
      </c>
      <c r="F2021" t="s">
        <v>5</v>
      </c>
      <c r="G2021" t="s">
        <v>6</v>
      </c>
      <c r="L2021" t="s">
        <v>7</v>
      </c>
      <c r="M2021">
        <v>2016</v>
      </c>
      <c r="N2021" s="1">
        <v>42412</v>
      </c>
      <c r="O2021" t="s">
        <v>9756</v>
      </c>
      <c r="P2021">
        <v>1</v>
      </c>
      <c r="Q2021" t="s">
        <v>8962</v>
      </c>
      <c r="S2021">
        <v>253.95</v>
      </c>
      <c r="T2021">
        <v>290</v>
      </c>
      <c r="U2021">
        <v>220</v>
      </c>
      <c r="V2021" t="s">
        <v>42</v>
      </c>
      <c r="W2021" t="s">
        <v>161</v>
      </c>
      <c r="X2021" t="s">
        <v>162</v>
      </c>
      <c r="Y2021" t="s">
        <v>393</v>
      </c>
      <c r="AF2021" t="s">
        <v>13</v>
      </c>
      <c r="AG2021" t="str">
        <f>HYPERLINK("https://doi.org/10.1515/9781474402323")</f>
        <v>https://doi.org/10.1515/9781474402323</v>
      </c>
      <c r="AH2021" t="str">
        <f>HYPERLINK("http://www.degruyter.com/isbn/9781474402323")</f>
        <v>http://www.degruyter.com/isbn/9781474402323</v>
      </c>
      <c r="AI2021" t="s">
        <v>180</v>
      </c>
      <c r="AL2021" t="s">
        <v>47</v>
      </c>
      <c r="AM2021">
        <v>1</v>
      </c>
      <c r="AN2021" s="2">
        <v>9781474402316</v>
      </c>
    </row>
    <row r="2022" spans="1:40" x14ac:dyDescent="0.3">
      <c r="A2022" t="s">
        <v>9757</v>
      </c>
      <c r="B2022" t="s">
        <v>1</v>
      </c>
      <c r="C2022" t="s">
        <v>9758</v>
      </c>
      <c r="E2022" t="s">
        <v>9759</v>
      </c>
      <c r="F2022" t="s">
        <v>5</v>
      </c>
      <c r="G2022" t="s">
        <v>6</v>
      </c>
      <c r="L2022" t="s">
        <v>7</v>
      </c>
      <c r="M2022">
        <v>2008</v>
      </c>
      <c r="N2022" s="1">
        <v>39687</v>
      </c>
      <c r="O2022" t="s">
        <v>9760</v>
      </c>
      <c r="P2022">
        <v>1</v>
      </c>
      <c r="Q2022" t="s">
        <v>6630</v>
      </c>
      <c r="S2022">
        <v>227.95</v>
      </c>
      <c r="T2022">
        <v>260</v>
      </c>
      <c r="U2022">
        <v>200</v>
      </c>
      <c r="V2022" t="s">
        <v>42</v>
      </c>
      <c r="W2022" t="s">
        <v>161</v>
      </c>
      <c r="X2022" t="s">
        <v>162</v>
      </c>
      <c r="Y2022" t="s">
        <v>896</v>
      </c>
      <c r="AF2022" t="s">
        <v>13</v>
      </c>
      <c r="AG2022" t="str">
        <f>HYPERLINK("https://doi.org/10.1515/9780748631216")</f>
        <v>https://doi.org/10.1515/9780748631216</v>
      </c>
      <c r="AH2022" t="str">
        <f>HYPERLINK("http://www.degruyter.com/isbn/9780748631216")</f>
        <v>http://www.degruyter.com/isbn/9780748631216</v>
      </c>
      <c r="AI2022" t="s">
        <v>68</v>
      </c>
      <c r="AL2022" t="s">
        <v>47</v>
      </c>
      <c r="AM2022">
        <v>1</v>
      </c>
      <c r="AN2022" s="2">
        <v>9780748625833</v>
      </c>
    </row>
    <row r="2023" spans="1:40" x14ac:dyDescent="0.3">
      <c r="A2023" t="s">
        <v>9761</v>
      </c>
      <c r="B2023" t="s">
        <v>1</v>
      </c>
      <c r="C2023" t="s">
        <v>9762</v>
      </c>
      <c r="D2023" t="s">
        <v>9763</v>
      </c>
      <c r="E2023" t="s">
        <v>9764</v>
      </c>
      <c r="F2023" t="s">
        <v>5</v>
      </c>
      <c r="G2023" t="s">
        <v>6</v>
      </c>
      <c r="L2023" t="s">
        <v>7</v>
      </c>
      <c r="M2023">
        <v>2014</v>
      </c>
      <c r="N2023" s="1">
        <v>41836</v>
      </c>
      <c r="O2023" t="s">
        <v>9765</v>
      </c>
      <c r="P2023">
        <v>1</v>
      </c>
      <c r="Q2023" t="s">
        <v>8650</v>
      </c>
      <c r="S2023">
        <v>217.95</v>
      </c>
      <c r="T2023">
        <v>250</v>
      </c>
      <c r="U2023">
        <v>190</v>
      </c>
      <c r="V2023" t="s">
        <v>20</v>
      </c>
      <c r="W2023" t="s">
        <v>21</v>
      </c>
      <c r="X2023" t="s">
        <v>575</v>
      </c>
      <c r="Y2023" t="s">
        <v>576</v>
      </c>
      <c r="AF2023" t="s">
        <v>13</v>
      </c>
      <c r="AG2023" t="str">
        <f>HYPERLINK("https://doi.org/10.1515/9780748694693?locatt=mode:legacy")</f>
        <v>https://doi.org/10.1515/9780748694693?locatt=mode:legacy</v>
      </c>
      <c r="AH2023" t="str">
        <f>HYPERLINK("http://www.degruyter.com/isbn/9780748694693")</f>
        <v>http://www.degruyter.com/isbn/9780748694693</v>
      </c>
      <c r="AI2023" t="s">
        <v>34</v>
      </c>
      <c r="AL2023" t="s">
        <v>15</v>
      </c>
      <c r="AM2023">
        <v>1</v>
      </c>
      <c r="AN2023" s="2">
        <v>9780748642007</v>
      </c>
    </row>
    <row r="2024" spans="1:40" x14ac:dyDescent="0.3">
      <c r="A2024" t="s">
        <v>9766</v>
      </c>
      <c r="B2024" t="s">
        <v>1</v>
      </c>
      <c r="C2024" t="s">
        <v>9767</v>
      </c>
      <c r="D2024" t="s">
        <v>9768</v>
      </c>
      <c r="E2024" t="s">
        <v>9769</v>
      </c>
      <c r="F2024" t="s">
        <v>5</v>
      </c>
      <c r="G2024" t="s">
        <v>6</v>
      </c>
      <c r="L2024" t="s">
        <v>7</v>
      </c>
      <c r="M2024">
        <v>2011</v>
      </c>
      <c r="N2024" s="1">
        <v>44634</v>
      </c>
      <c r="O2024" t="s">
        <v>9770</v>
      </c>
      <c r="P2024">
        <v>1</v>
      </c>
      <c r="Q2024" t="s">
        <v>9771</v>
      </c>
      <c r="S2024">
        <v>217.95</v>
      </c>
      <c r="T2024">
        <v>250</v>
      </c>
      <c r="U2024">
        <v>190</v>
      </c>
      <c r="V2024" t="s">
        <v>42</v>
      </c>
      <c r="W2024" t="s">
        <v>116</v>
      </c>
      <c r="X2024" t="s">
        <v>116</v>
      </c>
      <c r="Y2024" t="s">
        <v>117</v>
      </c>
      <c r="AF2024" t="s">
        <v>13</v>
      </c>
      <c r="AG2024" t="str">
        <f>HYPERLINK("https://doi.org/10.1515/9781474471237")</f>
        <v>https://doi.org/10.1515/9781474471237</v>
      </c>
      <c r="AH2024" t="str">
        <f>HYPERLINK("http://www.degruyter.com/isbn/9781474471237")</f>
        <v>http://www.degruyter.com/isbn/9781474471237</v>
      </c>
      <c r="AI2024" t="s">
        <v>68</v>
      </c>
      <c r="AJ2024" t="s">
        <v>35</v>
      </c>
      <c r="AL2024" t="s">
        <v>520</v>
      </c>
      <c r="AM2024">
        <v>1</v>
      </c>
      <c r="AN2024" s="2">
        <v>9780748642526</v>
      </c>
    </row>
    <row r="2025" spans="1:40" x14ac:dyDescent="0.3">
      <c r="A2025" t="s">
        <v>9772</v>
      </c>
      <c r="B2025" t="s">
        <v>1</v>
      </c>
      <c r="C2025" t="s">
        <v>9773</v>
      </c>
      <c r="E2025" t="s">
        <v>9774</v>
      </c>
      <c r="F2025" t="s">
        <v>5</v>
      </c>
      <c r="G2025" t="s">
        <v>6</v>
      </c>
      <c r="L2025" t="s">
        <v>7</v>
      </c>
      <c r="M2025">
        <v>2021</v>
      </c>
      <c r="N2025" s="1">
        <v>44656</v>
      </c>
      <c r="O2025" t="s">
        <v>2551</v>
      </c>
      <c r="P2025">
        <v>1</v>
      </c>
      <c r="Q2025" t="s">
        <v>6187</v>
      </c>
      <c r="S2025">
        <v>305.95</v>
      </c>
      <c r="T2025">
        <v>350</v>
      </c>
      <c r="U2025">
        <v>270</v>
      </c>
      <c r="V2025" t="s">
        <v>847</v>
      </c>
      <c r="W2025" t="s">
        <v>848</v>
      </c>
      <c r="X2025" t="s">
        <v>20</v>
      </c>
      <c r="Y2025" t="s">
        <v>2273</v>
      </c>
      <c r="AF2025" t="s">
        <v>13</v>
      </c>
      <c r="AG2025" t="str">
        <f>HYPERLINK("https://doi.org/10.1515/9781474474900")</f>
        <v>https://doi.org/10.1515/9781474474900</v>
      </c>
      <c r="AH2025" t="str">
        <f>HYPERLINK("http://www.degruyter.com/isbn/9781474474900")</f>
        <v>http://www.degruyter.com/isbn/9781474474900</v>
      </c>
      <c r="AI2025" t="s">
        <v>9497</v>
      </c>
      <c r="AL2025" t="s">
        <v>1070</v>
      </c>
      <c r="AM2025">
        <v>1</v>
      </c>
      <c r="AN2025" s="2">
        <v>9781474474887</v>
      </c>
    </row>
    <row r="2026" spans="1:40" x14ac:dyDescent="0.3">
      <c r="A2026" t="s">
        <v>9775</v>
      </c>
      <c r="B2026" t="s">
        <v>1</v>
      </c>
      <c r="C2026" t="s">
        <v>9776</v>
      </c>
      <c r="E2026" t="s">
        <v>9777</v>
      </c>
      <c r="F2026" t="s">
        <v>5</v>
      </c>
      <c r="G2026" t="s">
        <v>6</v>
      </c>
      <c r="L2026" t="s">
        <v>7</v>
      </c>
      <c r="M2026">
        <v>2010</v>
      </c>
      <c r="N2026" s="1">
        <v>40364</v>
      </c>
      <c r="O2026" t="s">
        <v>2264</v>
      </c>
      <c r="P2026">
        <v>1</v>
      </c>
      <c r="Q2026" t="s">
        <v>7047</v>
      </c>
      <c r="S2026">
        <v>209.95</v>
      </c>
      <c r="T2026">
        <v>240</v>
      </c>
      <c r="U2026">
        <v>180</v>
      </c>
      <c r="V2026" t="s">
        <v>42</v>
      </c>
      <c r="W2026" t="s">
        <v>107</v>
      </c>
      <c r="X2026" t="s">
        <v>108</v>
      </c>
      <c r="Y2026" t="s">
        <v>109</v>
      </c>
      <c r="AF2026" t="s">
        <v>13</v>
      </c>
      <c r="AG2026" t="str">
        <f>HYPERLINK("https://doi.org/10.1515/9780748642885")</f>
        <v>https://doi.org/10.1515/9780748642885</v>
      </c>
      <c r="AH2026" t="str">
        <f>HYPERLINK("http://www.degruyter.com/isbn/9780748642885")</f>
        <v>http://www.degruyter.com/isbn/9780748642885</v>
      </c>
      <c r="AI2026" t="s">
        <v>68</v>
      </c>
      <c r="AL2026" t="s">
        <v>47</v>
      </c>
      <c r="AM2026">
        <v>1</v>
      </c>
      <c r="AN2026" s="2">
        <v>9780748639632</v>
      </c>
    </row>
    <row r="2027" spans="1:40" x14ac:dyDescent="0.3">
      <c r="A2027" t="s">
        <v>9778</v>
      </c>
      <c r="B2027" t="s">
        <v>1</v>
      </c>
      <c r="C2027" t="s">
        <v>9779</v>
      </c>
      <c r="D2027" t="s">
        <v>9780</v>
      </c>
      <c r="E2027" t="s">
        <v>9781</v>
      </c>
      <c r="F2027" t="s">
        <v>5</v>
      </c>
      <c r="G2027" t="s">
        <v>6</v>
      </c>
      <c r="L2027" t="s">
        <v>7</v>
      </c>
      <c r="M2027">
        <v>2010</v>
      </c>
      <c r="N2027" s="1">
        <v>40430</v>
      </c>
      <c r="O2027" t="s">
        <v>9782</v>
      </c>
      <c r="P2027">
        <v>1</v>
      </c>
      <c r="S2027">
        <v>253.95</v>
      </c>
      <c r="T2027">
        <v>290</v>
      </c>
      <c r="U2027">
        <v>220</v>
      </c>
      <c r="V2027" t="s">
        <v>58</v>
      </c>
      <c r="W2027" t="s">
        <v>59</v>
      </c>
      <c r="X2027" t="s">
        <v>60</v>
      </c>
      <c r="Y2027" t="s">
        <v>61</v>
      </c>
      <c r="AF2027" t="s">
        <v>13</v>
      </c>
      <c r="AG2027" t="str">
        <f>HYPERLINK("https://doi.org/10.1515/9780748643226?locatt=mode:legacy")</f>
        <v>https://doi.org/10.1515/9780748643226?locatt=mode:legacy</v>
      </c>
      <c r="AH2027" t="str">
        <f>HYPERLINK("http://www.degruyter.com/isbn/9780748643226")</f>
        <v>http://www.degruyter.com/isbn/9780748643226</v>
      </c>
      <c r="AI2027" t="s">
        <v>68</v>
      </c>
      <c r="AL2027" t="s">
        <v>62</v>
      </c>
      <c r="AM2027">
        <v>1</v>
      </c>
      <c r="AN2027" s="2">
        <v>9780748638666</v>
      </c>
    </row>
    <row r="2028" spans="1:40" x14ac:dyDescent="0.3">
      <c r="A2028" t="s">
        <v>9783</v>
      </c>
      <c r="B2028" t="s">
        <v>1</v>
      </c>
      <c r="C2028" t="s">
        <v>9784</v>
      </c>
      <c r="D2028" t="s">
        <v>9785</v>
      </c>
      <c r="E2028" t="s">
        <v>9786</v>
      </c>
      <c r="F2028" t="s">
        <v>5</v>
      </c>
      <c r="G2028" t="s">
        <v>6</v>
      </c>
      <c r="L2028" t="s">
        <v>7</v>
      </c>
      <c r="M2028">
        <v>2009</v>
      </c>
      <c r="N2028" s="1">
        <v>40121</v>
      </c>
      <c r="O2028" t="s">
        <v>9787</v>
      </c>
      <c r="P2028">
        <v>1</v>
      </c>
      <c r="S2028">
        <v>191.95</v>
      </c>
      <c r="T2028">
        <v>220</v>
      </c>
      <c r="U2028">
        <v>170</v>
      </c>
      <c r="V2028" t="s">
        <v>20</v>
      </c>
      <c r="W2028" t="s">
        <v>1018</v>
      </c>
      <c r="X2028" t="s">
        <v>1018</v>
      </c>
      <c r="Y2028" t="s">
        <v>2215</v>
      </c>
      <c r="AF2028" t="s">
        <v>13</v>
      </c>
      <c r="AG2028" t="str">
        <f>HYPERLINK("https://doi.org/10.1515/9780748641789")</f>
        <v>https://doi.org/10.1515/9780748641789</v>
      </c>
      <c r="AH2028" t="str">
        <f>HYPERLINK("http://www.degruyter.com/isbn/9780748641789")</f>
        <v>http://www.degruyter.com/isbn/9780748641789</v>
      </c>
      <c r="AI2028" t="s">
        <v>68</v>
      </c>
      <c r="AL2028" t="s">
        <v>15</v>
      </c>
      <c r="AM2028">
        <v>1</v>
      </c>
      <c r="AN2028" s="2">
        <v>9780748639205</v>
      </c>
    </row>
    <row r="2029" spans="1:40" x14ac:dyDescent="0.3">
      <c r="A2029" t="s">
        <v>9788</v>
      </c>
      <c r="B2029" t="s">
        <v>1</v>
      </c>
      <c r="C2029" t="s">
        <v>9789</v>
      </c>
      <c r="E2029" t="s">
        <v>9790</v>
      </c>
      <c r="F2029" t="s">
        <v>5</v>
      </c>
      <c r="G2029" t="s">
        <v>6</v>
      </c>
      <c r="L2029" t="s">
        <v>7</v>
      </c>
      <c r="M2029">
        <v>2020</v>
      </c>
      <c r="N2029" s="1">
        <v>44656</v>
      </c>
      <c r="O2029" t="s">
        <v>9791</v>
      </c>
      <c r="P2029">
        <v>1</v>
      </c>
      <c r="Q2029" t="s">
        <v>7019</v>
      </c>
      <c r="S2029">
        <v>243.95</v>
      </c>
      <c r="T2029">
        <v>280</v>
      </c>
      <c r="U2029">
        <v>210</v>
      </c>
      <c r="V2029" t="s">
        <v>42</v>
      </c>
      <c r="W2029" t="s">
        <v>107</v>
      </c>
      <c r="X2029" t="s">
        <v>108</v>
      </c>
      <c r="Y2029" t="s">
        <v>109</v>
      </c>
      <c r="AF2029" t="s">
        <v>13</v>
      </c>
      <c r="AG2029" t="str">
        <f>HYPERLINK("https://doi.org/10.1515/9781474455480")</f>
        <v>https://doi.org/10.1515/9781474455480</v>
      </c>
      <c r="AH2029" t="str">
        <f>HYPERLINK("http://www.degruyter.com/isbn/9781474455480")</f>
        <v>http://www.degruyter.com/isbn/9781474455480</v>
      </c>
      <c r="AI2029" t="s">
        <v>14</v>
      </c>
      <c r="AL2029" t="s">
        <v>47</v>
      </c>
      <c r="AM2029">
        <v>1</v>
      </c>
      <c r="AN2029" s="2">
        <v>9781474455466</v>
      </c>
    </row>
    <row r="2030" spans="1:40" x14ac:dyDescent="0.3">
      <c r="A2030" t="s">
        <v>9792</v>
      </c>
      <c r="B2030" t="s">
        <v>1</v>
      </c>
      <c r="C2030" t="s">
        <v>9793</v>
      </c>
      <c r="E2030" t="s">
        <v>9794</v>
      </c>
      <c r="F2030" t="s">
        <v>5</v>
      </c>
      <c r="G2030" t="s">
        <v>6</v>
      </c>
      <c r="L2030" t="s">
        <v>7</v>
      </c>
      <c r="M2030">
        <v>2011</v>
      </c>
      <c r="N2030" s="1">
        <v>40672</v>
      </c>
      <c r="O2030" t="s">
        <v>9795</v>
      </c>
      <c r="P2030">
        <v>1</v>
      </c>
      <c r="Q2030" t="s">
        <v>6418</v>
      </c>
      <c r="S2030">
        <v>253.95</v>
      </c>
      <c r="T2030">
        <v>290</v>
      </c>
      <c r="U2030">
        <v>220</v>
      </c>
      <c r="V2030" t="s">
        <v>79</v>
      </c>
      <c r="W2030" t="s">
        <v>783</v>
      </c>
      <c r="X2030" t="s">
        <v>783</v>
      </c>
      <c r="Y2030" t="s">
        <v>784</v>
      </c>
      <c r="AF2030" t="s">
        <v>13</v>
      </c>
      <c r="AG2030" t="str">
        <f>HYPERLINK("https://doi.org/10.1515/9780748646296?locatt=mode:legacy")</f>
        <v>https://doi.org/10.1515/9780748646296?locatt=mode:legacy</v>
      </c>
      <c r="AH2030" t="str">
        <f>HYPERLINK("http://www.degruyter.com/isbn/9780748646296")</f>
        <v>http://www.degruyter.com/isbn/9780748646296</v>
      </c>
      <c r="AI2030" t="s">
        <v>68</v>
      </c>
      <c r="AL2030" t="s">
        <v>83</v>
      </c>
      <c r="AM2030">
        <v>1</v>
      </c>
      <c r="AN2030" s="2">
        <v>9780748641178</v>
      </c>
    </row>
    <row r="2031" spans="1:40" x14ac:dyDescent="0.3">
      <c r="A2031" t="s">
        <v>9796</v>
      </c>
      <c r="B2031" t="s">
        <v>1</v>
      </c>
      <c r="C2031" t="s">
        <v>9797</v>
      </c>
      <c r="E2031" t="s">
        <v>9798</v>
      </c>
      <c r="F2031" t="s">
        <v>5</v>
      </c>
      <c r="G2031" t="s">
        <v>6</v>
      </c>
      <c r="L2031" t="s">
        <v>7</v>
      </c>
      <c r="M2031">
        <v>2011</v>
      </c>
      <c r="N2031" s="1">
        <v>40639</v>
      </c>
      <c r="O2031" t="s">
        <v>9799</v>
      </c>
      <c r="P2031">
        <v>1</v>
      </c>
      <c r="Q2031" t="s">
        <v>6630</v>
      </c>
      <c r="S2031">
        <v>191.95</v>
      </c>
      <c r="T2031">
        <v>220</v>
      </c>
      <c r="U2031">
        <v>170</v>
      </c>
      <c r="V2031" t="s">
        <v>42</v>
      </c>
      <c r="W2031" t="s">
        <v>740</v>
      </c>
      <c r="X2031" t="s">
        <v>741</v>
      </c>
      <c r="Y2031" t="s">
        <v>742</v>
      </c>
      <c r="AF2031" t="s">
        <v>13</v>
      </c>
      <c r="AG2031" t="str">
        <f>HYPERLINK("https://doi.org/10.1515/9780748646036")</f>
        <v>https://doi.org/10.1515/9780748646036</v>
      </c>
      <c r="AH2031" t="str">
        <f>HYPERLINK("http://www.degruyter.com/isbn/9780748646036")</f>
        <v>http://www.degruyter.com/isbn/9780748646036</v>
      </c>
      <c r="AI2031" t="s">
        <v>68</v>
      </c>
      <c r="AL2031" t="s">
        <v>47</v>
      </c>
      <c r="AM2031">
        <v>1</v>
      </c>
      <c r="AN2031" s="2">
        <v>9780748638840</v>
      </c>
    </row>
    <row r="2032" spans="1:40" x14ac:dyDescent="0.3">
      <c r="A2032" t="s">
        <v>9800</v>
      </c>
      <c r="B2032" t="s">
        <v>1</v>
      </c>
      <c r="C2032" t="s">
        <v>9801</v>
      </c>
      <c r="E2032" t="s">
        <v>9802</v>
      </c>
      <c r="F2032" t="s">
        <v>5</v>
      </c>
      <c r="G2032" t="s">
        <v>6</v>
      </c>
      <c r="L2032" t="s">
        <v>7</v>
      </c>
      <c r="M2032">
        <v>1998</v>
      </c>
      <c r="N2032" s="1">
        <v>44607</v>
      </c>
      <c r="O2032" t="s">
        <v>9803</v>
      </c>
      <c r="P2032">
        <v>1</v>
      </c>
      <c r="Q2032" t="s">
        <v>7950</v>
      </c>
      <c r="S2032">
        <v>217.95</v>
      </c>
      <c r="T2032">
        <v>250</v>
      </c>
      <c r="U2032">
        <v>190</v>
      </c>
      <c r="V2032" t="s">
        <v>98</v>
      </c>
      <c r="W2032" t="s">
        <v>99</v>
      </c>
      <c r="X2032" t="s">
        <v>386</v>
      </c>
      <c r="Y2032" t="s">
        <v>387</v>
      </c>
      <c r="AF2032" t="s">
        <v>13</v>
      </c>
      <c r="AG2032" t="str">
        <f>HYPERLINK("https://doi.org/10.1515/9781474471381")</f>
        <v>https://doi.org/10.1515/9781474471381</v>
      </c>
      <c r="AH2032" t="str">
        <f>HYPERLINK("http://www.degruyter.com/isbn/9781474471381")</f>
        <v>http://www.degruyter.com/isbn/9781474471381</v>
      </c>
      <c r="AI2032" t="s">
        <v>24</v>
      </c>
      <c r="AL2032" t="s">
        <v>102</v>
      </c>
      <c r="AM2032">
        <v>1</v>
      </c>
      <c r="AN2032" s="2">
        <v>9780748608171</v>
      </c>
    </row>
    <row r="2033" spans="1:40" x14ac:dyDescent="0.3">
      <c r="A2033" t="s">
        <v>9804</v>
      </c>
      <c r="B2033" t="s">
        <v>1</v>
      </c>
      <c r="C2033" t="s">
        <v>9805</v>
      </c>
      <c r="E2033" t="s">
        <v>9806</v>
      </c>
      <c r="F2033" t="s">
        <v>5</v>
      </c>
      <c r="G2033" t="s">
        <v>6</v>
      </c>
      <c r="L2033" t="s">
        <v>7</v>
      </c>
      <c r="M2033">
        <v>2004</v>
      </c>
      <c r="N2033" s="1">
        <v>38230</v>
      </c>
      <c r="O2033" t="s">
        <v>1289</v>
      </c>
      <c r="P2033">
        <v>1</v>
      </c>
      <c r="S2033">
        <v>243.95</v>
      </c>
      <c r="T2033">
        <v>280</v>
      </c>
      <c r="U2033">
        <v>210</v>
      </c>
      <c r="V2033" t="s">
        <v>58</v>
      </c>
      <c r="W2033" t="s">
        <v>129</v>
      </c>
      <c r="X2033" t="s">
        <v>130</v>
      </c>
      <c r="Y2033" t="s">
        <v>546</v>
      </c>
      <c r="AF2033" t="s">
        <v>13</v>
      </c>
      <c r="AG2033" t="str">
        <f>HYPERLINK("https://doi.org/10.1515/9781474471886")</f>
        <v>https://doi.org/10.1515/9781474471886</v>
      </c>
      <c r="AH2033" t="str">
        <f>HYPERLINK("http://www.degruyter.com/isbn/9781474471886")</f>
        <v>http://www.degruyter.com/isbn/9781474471886</v>
      </c>
      <c r="AI2033" t="s">
        <v>68</v>
      </c>
      <c r="AL2033" t="s">
        <v>62</v>
      </c>
      <c r="AM2033">
        <v>1</v>
      </c>
      <c r="AN2033" s="2">
        <v>9780748620029</v>
      </c>
    </row>
    <row r="2034" spans="1:40" x14ac:dyDescent="0.3">
      <c r="A2034" t="s">
        <v>9807</v>
      </c>
      <c r="B2034" t="s">
        <v>1</v>
      </c>
      <c r="C2034" t="s">
        <v>9808</v>
      </c>
      <c r="D2034" t="s">
        <v>9809</v>
      </c>
      <c r="E2034" t="s">
        <v>9810</v>
      </c>
      <c r="F2034" t="s">
        <v>5</v>
      </c>
      <c r="G2034" t="s">
        <v>6</v>
      </c>
      <c r="L2034" t="s">
        <v>7</v>
      </c>
      <c r="M2034">
        <v>2016</v>
      </c>
      <c r="N2034" s="1">
        <v>42661</v>
      </c>
      <c r="O2034" t="s">
        <v>9811</v>
      </c>
      <c r="P2034">
        <v>1</v>
      </c>
      <c r="S2034">
        <v>253.95</v>
      </c>
      <c r="T2034">
        <v>290</v>
      </c>
      <c r="U2034">
        <v>220</v>
      </c>
      <c r="V2034" t="s">
        <v>79</v>
      </c>
      <c r="W2034" t="s">
        <v>123</v>
      </c>
      <c r="X2034" t="s">
        <v>123</v>
      </c>
      <c r="Y2034" t="s">
        <v>124</v>
      </c>
      <c r="AF2034" t="s">
        <v>13</v>
      </c>
      <c r="AG2034" t="str">
        <f>HYPERLINK("https://doi.org/10.1515/9780748691876")</f>
        <v>https://doi.org/10.1515/9780748691876</v>
      </c>
      <c r="AH2034" t="str">
        <f>HYPERLINK("http://www.degruyter.com/isbn/9780748691876")</f>
        <v>http://www.degruyter.com/isbn/9780748691876</v>
      </c>
      <c r="AI2034" t="s">
        <v>180</v>
      </c>
      <c r="AL2034" t="s">
        <v>83</v>
      </c>
      <c r="AM2034">
        <v>1</v>
      </c>
      <c r="AN2034" s="2">
        <v>9780748691869</v>
      </c>
    </row>
    <row r="2035" spans="1:40" x14ac:dyDescent="0.3">
      <c r="A2035" t="s">
        <v>9812</v>
      </c>
      <c r="B2035" t="s">
        <v>1</v>
      </c>
      <c r="C2035" t="s">
        <v>9813</v>
      </c>
      <c r="D2035" t="s">
        <v>9814</v>
      </c>
      <c r="E2035" t="s">
        <v>9815</v>
      </c>
      <c r="F2035" t="s">
        <v>5</v>
      </c>
      <c r="G2035" t="s">
        <v>6</v>
      </c>
      <c r="L2035" t="s">
        <v>7</v>
      </c>
      <c r="M2035">
        <v>2018</v>
      </c>
      <c r="N2035" s="1">
        <v>44644</v>
      </c>
      <c r="O2035" t="s">
        <v>9816</v>
      </c>
      <c r="P2035">
        <v>1</v>
      </c>
      <c r="Q2035" t="s">
        <v>7158</v>
      </c>
      <c r="S2035">
        <v>217.95</v>
      </c>
      <c r="T2035">
        <v>250</v>
      </c>
      <c r="U2035">
        <v>190</v>
      </c>
      <c r="V2035" t="s">
        <v>20</v>
      </c>
      <c r="W2035" t="s">
        <v>21</v>
      </c>
      <c r="X2035" t="s">
        <v>22</v>
      </c>
      <c r="Y2035" t="s">
        <v>23</v>
      </c>
      <c r="AF2035" t="s">
        <v>13</v>
      </c>
      <c r="AG2035" t="str">
        <f>HYPERLINK("https://doi.org/10.1515/9781474438889?locatt=mode:legacy")</f>
        <v>https://doi.org/10.1515/9781474438889?locatt=mode:legacy</v>
      </c>
      <c r="AH2035" t="str">
        <f>HYPERLINK("http://www.degruyter.com/isbn/9781474438889")</f>
        <v>http://www.degruyter.com/isbn/9781474438889</v>
      </c>
      <c r="AI2035" t="s">
        <v>46</v>
      </c>
      <c r="AL2035" t="s">
        <v>15</v>
      </c>
      <c r="AM2035">
        <v>1</v>
      </c>
      <c r="AN2035" s="2">
        <v>9781474438865</v>
      </c>
    </row>
    <row r="2036" spans="1:40" x14ac:dyDescent="0.3">
      <c r="A2036" t="s">
        <v>9817</v>
      </c>
      <c r="B2036" t="s">
        <v>1</v>
      </c>
      <c r="C2036" t="s">
        <v>9818</v>
      </c>
      <c r="D2036" t="s">
        <v>9819</v>
      </c>
      <c r="E2036" t="s">
        <v>9820</v>
      </c>
      <c r="F2036" t="s">
        <v>5</v>
      </c>
      <c r="G2036" t="s">
        <v>6</v>
      </c>
      <c r="L2036" t="s">
        <v>7</v>
      </c>
      <c r="M2036">
        <v>2005</v>
      </c>
      <c r="N2036" s="1">
        <v>44634</v>
      </c>
      <c r="O2036" t="s">
        <v>9821</v>
      </c>
      <c r="P2036">
        <v>1</v>
      </c>
      <c r="Q2036" t="s">
        <v>6906</v>
      </c>
      <c r="S2036">
        <v>217.95</v>
      </c>
      <c r="T2036">
        <v>250</v>
      </c>
      <c r="U2036">
        <v>190</v>
      </c>
      <c r="V2036" t="s">
        <v>20</v>
      </c>
      <c r="W2036" t="s">
        <v>556</v>
      </c>
      <c r="X2036" t="s">
        <v>1731</v>
      </c>
      <c r="Y2036" t="s">
        <v>4728</v>
      </c>
      <c r="AF2036" t="s">
        <v>13</v>
      </c>
      <c r="AG2036" t="str">
        <f>HYPERLINK("https://doi.org/10.1515/9781474472203")</f>
        <v>https://doi.org/10.1515/9781474472203</v>
      </c>
      <c r="AH2036" t="str">
        <f>HYPERLINK("http://www.degruyter.com/isbn/9781474472203")</f>
        <v>http://www.degruyter.com/isbn/9781474472203</v>
      </c>
      <c r="AI2036" t="s">
        <v>68</v>
      </c>
      <c r="AL2036" t="s">
        <v>15</v>
      </c>
      <c r="AM2036">
        <v>1</v>
      </c>
      <c r="AN2036" s="2">
        <v>9780748615032</v>
      </c>
    </row>
    <row r="2037" spans="1:40" x14ac:dyDescent="0.3">
      <c r="A2037" t="s">
        <v>9822</v>
      </c>
      <c r="B2037" t="s">
        <v>1</v>
      </c>
      <c r="C2037" t="s">
        <v>9823</v>
      </c>
      <c r="E2037" t="s">
        <v>9824</v>
      </c>
      <c r="F2037" t="s">
        <v>5</v>
      </c>
      <c r="G2037" t="s">
        <v>6</v>
      </c>
      <c r="L2037" t="s">
        <v>7</v>
      </c>
      <c r="M2037">
        <v>2018</v>
      </c>
      <c r="N2037" s="1">
        <v>44656</v>
      </c>
      <c r="O2037" t="s">
        <v>9825</v>
      </c>
      <c r="P2037">
        <v>1</v>
      </c>
      <c r="Q2037" t="s">
        <v>8081</v>
      </c>
      <c r="S2037">
        <v>217.95</v>
      </c>
      <c r="T2037">
        <v>250</v>
      </c>
      <c r="U2037">
        <v>190</v>
      </c>
      <c r="V2037" t="s">
        <v>20</v>
      </c>
      <c r="W2037" t="s">
        <v>21</v>
      </c>
      <c r="X2037" t="s">
        <v>22</v>
      </c>
      <c r="Y2037" t="s">
        <v>23</v>
      </c>
      <c r="AF2037" t="s">
        <v>13</v>
      </c>
      <c r="AG2037" t="str">
        <f>HYPERLINK("https://doi.org/10.1515/9781474427289?locatt=mode:legacy")</f>
        <v>https://doi.org/10.1515/9781474427289?locatt=mode:legacy</v>
      </c>
      <c r="AH2037" t="str">
        <f>HYPERLINK("http://www.degruyter.com/isbn/9781474427289")</f>
        <v>http://www.degruyter.com/isbn/9781474427289</v>
      </c>
      <c r="AI2037" t="s">
        <v>46</v>
      </c>
      <c r="AL2037" t="s">
        <v>15</v>
      </c>
      <c r="AM2037">
        <v>1</v>
      </c>
      <c r="AN2037" s="2">
        <v>9781474427272</v>
      </c>
    </row>
    <row r="2038" spans="1:40" x14ac:dyDescent="0.3">
      <c r="A2038" t="s">
        <v>9826</v>
      </c>
      <c r="B2038" t="s">
        <v>1</v>
      </c>
      <c r="C2038" t="s">
        <v>9827</v>
      </c>
      <c r="E2038" t="s">
        <v>9828</v>
      </c>
      <c r="F2038" t="s">
        <v>5</v>
      </c>
      <c r="G2038" t="s">
        <v>6</v>
      </c>
      <c r="L2038" t="s">
        <v>7</v>
      </c>
      <c r="M2038">
        <v>2012</v>
      </c>
      <c r="N2038" s="1">
        <v>41101</v>
      </c>
      <c r="O2038" t="s">
        <v>9829</v>
      </c>
      <c r="P2038">
        <v>1</v>
      </c>
      <c r="Q2038" t="s">
        <v>7102</v>
      </c>
      <c r="S2038">
        <v>253.95</v>
      </c>
      <c r="T2038">
        <v>290</v>
      </c>
      <c r="U2038">
        <v>220</v>
      </c>
      <c r="V2038" t="s">
        <v>20</v>
      </c>
      <c r="W2038" t="s">
        <v>1018</v>
      </c>
      <c r="X2038" t="s">
        <v>1018</v>
      </c>
      <c r="Y2038" t="s">
        <v>9830</v>
      </c>
      <c r="AF2038" t="s">
        <v>13</v>
      </c>
      <c r="AG2038" t="str">
        <f>HYPERLINK("https://doi.org/10.1515/9780748656318")</f>
        <v>https://doi.org/10.1515/9780748656318</v>
      </c>
      <c r="AH2038" t="str">
        <f>HYPERLINK("http://www.degruyter.com/isbn/9780748656318")</f>
        <v>http://www.degruyter.com/isbn/9780748656318</v>
      </c>
      <c r="AI2038" t="s">
        <v>68</v>
      </c>
      <c r="AJ2038" t="s">
        <v>35</v>
      </c>
      <c r="AL2038" t="s">
        <v>1346</v>
      </c>
      <c r="AM2038">
        <v>1</v>
      </c>
      <c r="AN2038" s="2">
        <v>9780748639786</v>
      </c>
    </row>
    <row r="2039" spans="1:40" x14ac:dyDescent="0.3">
      <c r="A2039" t="s">
        <v>9831</v>
      </c>
      <c r="B2039" t="s">
        <v>1</v>
      </c>
      <c r="C2039" t="s">
        <v>9832</v>
      </c>
      <c r="E2039" t="s">
        <v>9833</v>
      </c>
      <c r="F2039" t="s">
        <v>5</v>
      </c>
      <c r="G2039" t="s">
        <v>6</v>
      </c>
      <c r="L2039" t="s">
        <v>7</v>
      </c>
      <c r="M2039">
        <v>2018</v>
      </c>
      <c r="N2039" s="1">
        <v>44644</v>
      </c>
      <c r="O2039" t="s">
        <v>9834</v>
      </c>
      <c r="P2039">
        <v>1</v>
      </c>
      <c r="Q2039" t="s">
        <v>6606</v>
      </c>
      <c r="S2039">
        <v>253.95</v>
      </c>
      <c r="T2039">
        <v>290</v>
      </c>
      <c r="U2039">
        <v>220</v>
      </c>
      <c r="V2039" t="s">
        <v>42</v>
      </c>
      <c r="W2039" t="s">
        <v>43</v>
      </c>
      <c r="X2039" t="s">
        <v>44</v>
      </c>
      <c r="Y2039" t="s">
        <v>45</v>
      </c>
      <c r="AF2039" t="s">
        <v>13</v>
      </c>
      <c r="AG2039" t="str">
        <f>HYPERLINK("https://doi.org/10.1515/9781474432818")</f>
        <v>https://doi.org/10.1515/9781474432818</v>
      </c>
      <c r="AH2039" t="str">
        <f>HYPERLINK("http://www.degruyter.com/isbn/9781474432818")</f>
        <v>http://www.degruyter.com/isbn/9781474432818</v>
      </c>
      <c r="AI2039" t="s">
        <v>46</v>
      </c>
      <c r="AL2039" t="s">
        <v>47</v>
      </c>
      <c r="AM2039">
        <v>1</v>
      </c>
      <c r="AN2039" s="2">
        <v>9781474432795</v>
      </c>
    </row>
    <row r="2040" spans="1:40" x14ac:dyDescent="0.3">
      <c r="A2040" t="s">
        <v>9835</v>
      </c>
      <c r="B2040" t="s">
        <v>1</v>
      </c>
      <c r="C2040" t="s">
        <v>9836</v>
      </c>
      <c r="D2040" t="s">
        <v>9837</v>
      </c>
      <c r="E2040" t="s">
        <v>9838</v>
      </c>
      <c r="F2040" t="s">
        <v>5</v>
      </c>
      <c r="G2040" t="s">
        <v>6</v>
      </c>
      <c r="L2040" t="s">
        <v>7</v>
      </c>
      <c r="M2040">
        <v>2020</v>
      </c>
      <c r="N2040" s="1">
        <v>44656</v>
      </c>
      <c r="O2040" t="s">
        <v>9839</v>
      </c>
      <c r="P2040">
        <v>1</v>
      </c>
      <c r="Q2040" t="s">
        <v>9611</v>
      </c>
      <c r="S2040">
        <v>217.95</v>
      </c>
      <c r="T2040">
        <v>250</v>
      </c>
      <c r="U2040">
        <v>190</v>
      </c>
      <c r="V2040" t="s">
        <v>305</v>
      </c>
      <c r="W2040" t="s">
        <v>306</v>
      </c>
      <c r="X2040" t="s">
        <v>306</v>
      </c>
      <c r="Y2040" t="s">
        <v>9840</v>
      </c>
      <c r="AF2040" t="s">
        <v>13</v>
      </c>
      <c r="AG2040" t="str">
        <f>HYPERLINK("https://doi.org/10.1515/9781474443784")</f>
        <v>https://doi.org/10.1515/9781474443784</v>
      </c>
      <c r="AH2040" t="str">
        <f>HYPERLINK("http://www.degruyter.com/isbn/9781474443784")</f>
        <v>http://www.degruyter.com/isbn/9781474443784</v>
      </c>
      <c r="AI2040" t="s">
        <v>3672</v>
      </c>
      <c r="AL2040" t="s">
        <v>308</v>
      </c>
      <c r="AM2040">
        <v>1</v>
      </c>
      <c r="AN2040" s="2">
        <v>9781474443760</v>
      </c>
    </row>
    <row r="2041" spans="1:40" x14ac:dyDescent="0.3">
      <c r="A2041" t="s">
        <v>9841</v>
      </c>
      <c r="B2041" t="s">
        <v>1</v>
      </c>
      <c r="C2041" t="s">
        <v>9842</v>
      </c>
      <c r="E2041" t="s">
        <v>9843</v>
      </c>
      <c r="F2041" t="s">
        <v>5</v>
      </c>
      <c r="G2041" t="s">
        <v>6</v>
      </c>
      <c r="L2041" t="s">
        <v>7</v>
      </c>
      <c r="M2041">
        <v>1984</v>
      </c>
      <c r="N2041" s="1">
        <v>44719</v>
      </c>
      <c r="O2041" t="s">
        <v>5563</v>
      </c>
      <c r="P2041">
        <v>1</v>
      </c>
      <c r="Q2041" t="s">
        <v>7677</v>
      </c>
      <c r="S2041">
        <v>739.95</v>
      </c>
      <c r="T2041">
        <v>850</v>
      </c>
      <c r="U2041">
        <v>650</v>
      </c>
      <c r="V2041" t="s">
        <v>20</v>
      </c>
      <c r="W2041" t="s">
        <v>21</v>
      </c>
      <c r="X2041" t="s">
        <v>22</v>
      </c>
      <c r="Y2041" t="s">
        <v>23</v>
      </c>
      <c r="AF2041" t="s">
        <v>13</v>
      </c>
      <c r="AG2041" t="str">
        <f>HYPERLINK("https://doi.org/10.1515/9781474464215")</f>
        <v>https://doi.org/10.1515/9781474464215</v>
      </c>
      <c r="AH2041" t="str">
        <f>HYPERLINK("http://www.degruyter.com/isbn/9781474464215")</f>
        <v>http://www.degruyter.com/isbn/9781474464215</v>
      </c>
      <c r="AI2041" t="s">
        <v>24</v>
      </c>
      <c r="AL2041" t="s">
        <v>15</v>
      </c>
      <c r="AM2041">
        <v>1</v>
      </c>
      <c r="AN2041" s="2">
        <v>9780852241424</v>
      </c>
    </row>
    <row r="2042" spans="1:40" x14ac:dyDescent="0.3">
      <c r="A2042" t="s">
        <v>9844</v>
      </c>
      <c r="B2042" t="s">
        <v>1</v>
      </c>
      <c r="C2042" t="s">
        <v>6983</v>
      </c>
      <c r="D2042" t="s">
        <v>9845</v>
      </c>
      <c r="E2042" t="s">
        <v>6985</v>
      </c>
      <c r="F2042" t="s">
        <v>5</v>
      </c>
      <c r="G2042" t="s">
        <v>6</v>
      </c>
      <c r="L2042" t="s">
        <v>7</v>
      </c>
      <c r="M2042">
        <v>2020</v>
      </c>
      <c r="N2042" s="1">
        <v>44656</v>
      </c>
      <c r="O2042" t="s">
        <v>9846</v>
      </c>
      <c r="P2042">
        <v>1</v>
      </c>
      <c r="Q2042" t="s">
        <v>6987</v>
      </c>
      <c r="S2042">
        <v>227.95</v>
      </c>
      <c r="T2042">
        <v>260</v>
      </c>
      <c r="U2042">
        <v>200</v>
      </c>
      <c r="V2042" t="s">
        <v>20</v>
      </c>
      <c r="W2042" t="s">
        <v>21</v>
      </c>
      <c r="X2042" t="s">
        <v>839</v>
      </c>
      <c r="Y2042" t="s">
        <v>840</v>
      </c>
      <c r="AF2042" t="s">
        <v>13</v>
      </c>
      <c r="AG2042" t="str">
        <f>HYPERLINK("https://www.degruyter.com/isbn/9781474456418")</f>
        <v>https://www.degruyter.com/isbn/9781474456418</v>
      </c>
      <c r="AH2042" t="str">
        <f>HYPERLINK("http://www.degruyter.com/isbn/9781474456418")</f>
        <v>http://www.degruyter.com/isbn/9781474456418</v>
      </c>
      <c r="AI2042" t="s">
        <v>14</v>
      </c>
      <c r="AL2042" t="s">
        <v>15</v>
      </c>
      <c r="AM2042">
        <v>1</v>
      </c>
      <c r="AN2042" s="2">
        <v>9781474456395</v>
      </c>
    </row>
    <row r="2043" spans="1:40" x14ac:dyDescent="0.3">
      <c r="A2043" t="s">
        <v>9847</v>
      </c>
      <c r="B2043" t="s">
        <v>1</v>
      </c>
      <c r="C2043" t="s">
        <v>9848</v>
      </c>
      <c r="D2043" t="s">
        <v>5690</v>
      </c>
      <c r="E2043" t="s">
        <v>9849</v>
      </c>
      <c r="F2043" t="s">
        <v>5</v>
      </c>
      <c r="G2043" t="s">
        <v>6</v>
      </c>
      <c r="L2043" t="s">
        <v>7</v>
      </c>
      <c r="M2043">
        <v>2020</v>
      </c>
      <c r="N2043" s="1">
        <v>44644</v>
      </c>
      <c r="O2043" t="s">
        <v>9850</v>
      </c>
      <c r="P2043">
        <v>1</v>
      </c>
      <c r="Q2043" t="s">
        <v>5693</v>
      </c>
      <c r="S2043">
        <v>227.95</v>
      </c>
      <c r="T2043">
        <v>260</v>
      </c>
      <c r="U2043">
        <v>200</v>
      </c>
      <c r="V2043" t="s">
        <v>42</v>
      </c>
      <c r="W2043" t="s">
        <v>107</v>
      </c>
      <c r="X2043" t="s">
        <v>108</v>
      </c>
      <c r="Y2043" t="s">
        <v>109</v>
      </c>
      <c r="AF2043" t="s">
        <v>13</v>
      </c>
      <c r="AG2043" t="str">
        <f>HYPERLINK("https://doi.org/10.1515/9781474448055")</f>
        <v>https://doi.org/10.1515/9781474448055</v>
      </c>
      <c r="AH2043" t="str">
        <f>HYPERLINK("http://www.degruyter.com/isbn/9781474448055")</f>
        <v>http://www.degruyter.com/isbn/9781474448055</v>
      </c>
      <c r="AI2043" t="s">
        <v>14</v>
      </c>
      <c r="AL2043" t="s">
        <v>47</v>
      </c>
      <c r="AM2043">
        <v>1</v>
      </c>
      <c r="AN2043" s="2">
        <v>9781474448048</v>
      </c>
    </row>
    <row r="2044" spans="1:40" x14ac:dyDescent="0.3">
      <c r="A2044" t="s">
        <v>9851</v>
      </c>
      <c r="B2044" t="s">
        <v>1</v>
      </c>
      <c r="C2044" t="s">
        <v>9852</v>
      </c>
      <c r="E2044" t="s">
        <v>9853</v>
      </c>
      <c r="F2044" t="s">
        <v>5</v>
      </c>
      <c r="G2044" t="s">
        <v>6</v>
      </c>
      <c r="L2044" t="s">
        <v>7</v>
      </c>
      <c r="M2044">
        <v>2013</v>
      </c>
      <c r="N2044" s="1">
        <v>41533</v>
      </c>
      <c r="O2044" t="s">
        <v>9854</v>
      </c>
      <c r="P2044">
        <v>1</v>
      </c>
      <c r="Q2044" t="s">
        <v>8750</v>
      </c>
      <c r="S2044">
        <v>217.95</v>
      </c>
      <c r="T2044">
        <v>250</v>
      </c>
      <c r="U2044">
        <v>190</v>
      </c>
      <c r="V2044" t="s">
        <v>42</v>
      </c>
      <c r="W2044" t="s">
        <v>116</v>
      </c>
      <c r="X2044" t="s">
        <v>116</v>
      </c>
      <c r="Y2044" t="s">
        <v>117</v>
      </c>
      <c r="AF2044" t="s">
        <v>13</v>
      </c>
      <c r="AG2044" t="str">
        <f>HYPERLINK("https://doi.org/10.1515/9780748669110")</f>
        <v>https://doi.org/10.1515/9780748669110</v>
      </c>
      <c r="AH2044" t="str">
        <f>HYPERLINK("http://www.degruyter.com/isbn/9780748669110")</f>
        <v>http://www.degruyter.com/isbn/9780748669110</v>
      </c>
      <c r="AI2044" t="s">
        <v>68</v>
      </c>
      <c r="AL2044" t="s">
        <v>47</v>
      </c>
      <c r="AM2044">
        <v>1</v>
      </c>
      <c r="AN2044" s="2">
        <v>9780748669097</v>
      </c>
    </row>
    <row r="2045" spans="1:40" x14ac:dyDescent="0.3">
      <c r="A2045" t="s">
        <v>9855</v>
      </c>
      <c r="B2045" t="s">
        <v>1</v>
      </c>
      <c r="C2045" t="s">
        <v>9856</v>
      </c>
      <c r="E2045" t="s">
        <v>9857</v>
      </c>
      <c r="F2045" t="s">
        <v>5</v>
      </c>
      <c r="G2045" t="s">
        <v>6</v>
      </c>
      <c r="L2045" t="s">
        <v>7</v>
      </c>
      <c r="M2045">
        <v>2014</v>
      </c>
      <c r="N2045" s="1">
        <v>41715</v>
      </c>
      <c r="O2045" t="s">
        <v>9858</v>
      </c>
      <c r="P2045">
        <v>1</v>
      </c>
      <c r="Q2045" t="s">
        <v>7622</v>
      </c>
      <c r="S2045">
        <v>217.95</v>
      </c>
      <c r="T2045">
        <v>250</v>
      </c>
      <c r="U2045">
        <v>190</v>
      </c>
      <c r="V2045" t="s">
        <v>58</v>
      </c>
      <c r="W2045" t="s">
        <v>808</v>
      </c>
      <c r="X2045" t="s">
        <v>3096</v>
      </c>
      <c r="Y2045" t="s">
        <v>3097</v>
      </c>
      <c r="AF2045" t="s">
        <v>13</v>
      </c>
      <c r="AG2045" t="str">
        <f>HYPERLINK("https://doi.org/10.1515/9780748649501")</f>
        <v>https://doi.org/10.1515/9780748649501</v>
      </c>
      <c r="AH2045" t="str">
        <f>HYPERLINK("http://www.degruyter.com/isbn/9780748649501")</f>
        <v>http://www.degruyter.com/isbn/9780748649501</v>
      </c>
      <c r="AI2045" t="s">
        <v>34</v>
      </c>
      <c r="AL2045" t="s">
        <v>62</v>
      </c>
      <c r="AM2045">
        <v>1</v>
      </c>
      <c r="AN2045" s="2">
        <v>9780748649495</v>
      </c>
    </row>
    <row r="2046" spans="1:40" x14ac:dyDescent="0.3">
      <c r="A2046" t="s">
        <v>9859</v>
      </c>
      <c r="B2046" t="s">
        <v>1</v>
      </c>
      <c r="C2046" t="s">
        <v>9860</v>
      </c>
      <c r="D2046" t="s">
        <v>9861</v>
      </c>
      <c r="E2046" t="s">
        <v>9862</v>
      </c>
      <c r="F2046" t="s">
        <v>5</v>
      </c>
      <c r="G2046" t="s">
        <v>6</v>
      </c>
      <c r="L2046" t="s">
        <v>7</v>
      </c>
      <c r="M2046">
        <v>2012</v>
      </c>
      <c r="N2046" s="1">
        <v>41113</v>
      </c>
      <c r="O2046" t="s">
        <v>9863</v>
      </c>
      <c r="P2046">
        <v>1</v>
      </c>
      <c r="Q2046" t="s">
        <v>7973</v>
      </c>
      <c r="S2046">
        <v>243.95</v>
      </c>
      <c r="T2046">
        <v>280</v>
      </c>
      <c r="U2046">
        <v>210</v>
      </c>
      <c r="V2046" t="s">
        <v>329</v>
      </c>
      <c r="W2046" t="s">
        <v>330</v>
      </c>
      <c r="X2046" t="s">
        <v>331</v>
      </c>
      <c r="Y2046" t="s">
        <v>332</v>
      </c>
      <c r="AF2046" t="s">
        <v>13</v>
      </c>
      <c r="AG2046" t="str">
        <f>HYPERLINK("https://doi.org/10.1515/9780748643974")</f>
        <v>https://doi.org/10.1515/9780748643974</v>
      </c>
      <c r="AH2046" t="str">
        <f>HYPERLINK("http://www.degruyter.com/isbn/9780748643974")</f>
        <v>http://www.degruyter.com/isbn/9780748643974</v>
      </c>
      <c r="AI2046" t="s">
        <v>8380</v>
      </c>
      <c r="AL2046" t="s">
        <v>333</v>
      </c>
      <c r="AM2046">
        <v>1</v>
      </c>
      <c r="AN2046" s="2">
        <v>9780748643967</v>
      </c>
    </row>
    <row r="2047" spans="1:40" x14ac:dyDescent="0.3">
      <c r="A2047" t="s">
        <v>9864</v>
      </c>
      <c r="B2047" t="s">
        <v>1</v>
      </c>
      <c r="C2047" t="s">
        <v>9865</v>
      </c>
      <c r="D2047" t="s">
        <v>9866</v>
      </c>
      <c r="E2047" t="s">
        <v>9867</v>
      </c>
      <c r="F2047" t="s">
        <v>5</v>
      </c>
      <c r="G2047" t="s">
        <v>6</v>
      </c>
      <c r="L2047" t="s">
        <v>7</v>
      </c>
      <c r="M2047">
        <v>2015</v>
      </c>
      <c r="N2047" s="1">
        <v>42158</v>
      </c>
      <c r="O2047" t="s">
        <v>9868</v>
      </c>
      <c r="P2047">
        <v>1</v>
      </c>
      <c r="Q2047" t="s">
        <v>8859</v>
      </c>
      <c r="S2047">
        <v>217.95</v>
      </c>
      <c r="T2047">
        <v>250</v>
      </c>
      <c r="U2047">
        <v>190</v>
      </c>
      <c r="V2047" t="s">
        <v>58</v>
      </c>
      <c r="W2047" t="s">
        <v>59</v>
      </c>
      <c r="X2047" t="s">
        <v>60</v>
      </c>
      <c r="Y2047" t="s">
        <v>145</v>
      </c>
      <c r="AF2047" t="s">
        <v>13</v>
      </c>
      <c r="AG2047" t="str">
        <f>HYPERLINK("https://doi.org/10.1515/9780748686070?locatt=mode:legacy")</f>
        <v>https://doi.org/10.1515/9780748686070?locatt=mode:legacy</v>
      </c>
      <c r="AH2047" t="str">
        <f>HYPERLINK("http://www.degruyter.com/isbn/9780748686070")</f>
        <v>http://www.degruyter.com/isbn/9780748686070</v>
      </c>
      <c r="AI2047" t="s">
        <v>34</v>
      </c>
      <c r="AL2047" t="s">
        <v>62</v>
      </c>
      <c r="AM2047">
        <v>1</v>
      </c>
      <c r="AN2047" s="2">
        <v>9780748686063</v>
      </c>
    </row>
    <row r="2048" spans="1:40" x14ac:dyDescent="0.3">
      <c r="A2048" t="s">
        <v>9869</v>
      </c>
      <c r="B2048" t="s">
        <v>1</v>
      </c>
      <c r="C2048" t="s">
        <v>9870</v>
      </c>
      <c r="E2048" t="s">
        <v>9871</v>
      </c>
      <c r="F2048" t="s">
        <v>5</v>
      </c>
      <c r="G2048" t="s">
        <v>6</v>
      </c>
      <c r="L2048" t="s">
        <v>7</v>
      </c>
      <c r="M2048">
        <v>2016</v>
      </c>
      <c r="N2048" s="1">
        <v>42438</v>
      </c>
      <c r="O2048" t="s">
        <v>9872</v>
      </c>
      <c r="P2048">
        <v>1</v>
      </c>
      <c r="Q2048" t="s">
        <v>8461</v>
      </c>
      <c r="S2048">
        <v>209.95</v>
      </c>
      <c r="T2048">
        <v>240</v>
      </c>
      <c r="U2048">
        <v>180</v>
      </c>
      <c r="V2048" t="s">
        <v>42</v>
      </c>
      <c r="W2048" t="s">
        <v>116</v>
      </c>
      <c r="X2048" t="s">
        <v>116</v>
      </c>
      <c r="Y2048" t="s">
        <v>117</v>
      </c>
      <c r="AF2048" t="s">
        <v>13</v>
      </c>
      <c r="AG2048" t="str">
        <f>HYPERLINK("https://doi.org/10.1515/9781474401364")</f>
        <v>https://doi.org/10.1515/9781474401364</v>
      </c>
      <c r="AH2048" t="str">
        <f>HYPERLINK("http://www.degruyter.com/isbn/9781474401364")</f>
        <v>http://www.degruyter.com/isbn/9781474401364</v>
      </c>
      <c r="AI2048" t="s">
        <v>180</v>
      </c>
      <c r="AL2048" t="s">
        <v>47</v>
      </c>
      <c r="AM2048">
        <v>1</v>
      </c>
      <c r="AN2048" s="2">
        <v>9781474401340</v>
      </c>
    </row>
    <row r="2049" spans="1:40" x14ac:dyDescent="0.3">
      <c r="A2049" t="s">
        <v>9873</v>
      </c>
      <c r="B2049" t="s">
        <v>1</v>
      </c>
      <c r="C2049" t="s">
        <v>9874</v>
      </c>
      <c r="E2049" t="s">
        <v>9875</v>
      </c>
      <c r="F2049" t="s">
        <v>5</v>
      </c>
      <c r="G2049" t="s">
        <v>6</v>
      </c>
      <c r="L2049" t="s">
        <v>7</v>
      </c>
      <c r="M2049">
        <v>2021</v>
      </c>
      <c r="N2049" s="1">
        <v>44644</v>
      </c>
      <c r="O2049" t="s">
        <v>9876</v>
      </c>
      <c r="P2049">
        <v>1</v>
      </c>
      <c r="Q2049" t="s">
        <v>8883</v>
      </c>
      <c r="S2049">
        <v>415.95</v>
      </c>
      <c r="T2049">
        <v>470</v>
      </c>
      <c r="U2049">
        <v>360</v>
      </c>
      <c r="V2049" t="s">
        <v>79</v>
      </c>
      <c r="W2049" t="s">
        <v>783</v>
      </c>
      <c r="X2049" t="s">
        <v>783</v>
      </c>
      <c r="Y2049" t="s">
        <v>784</v>
      </c>
      <c r="AF2049" t="s">
        <v>13</v>
      </c>
      <c r="AG2049" t="str">
        <f>HYPERLINK("https://doi.org/10.1515/9781474438919")</f>
        <v>https://doi.org/10.1515/9781474438919</v>
      </c>
      <c r="AH2049" t="str">
        <f>HYPERLINK("http://www.degruyter.com/isbn/9781474438919")</f>
        <v>http://www.degruyter.com/isbn/9781474438919</v>
      </c>
      <c r="AI2049" t="s">
        <v>82</v>
      </c>
      <c r="AL2049" t="s">
        <v>83</v>
      </c>
      <c r="AM2049">
        <v>1</v>
      </c>
      <c r="AN2049" s="2">
        <v>9781474438902</v>
      </c>
    </row>
    <row r="2050" spans="1:40" x14ac:dyDescent="0.3">
      <c r="A2050" t="s">
        <v>9877</v>
      </c>
      <c r="B2050" t="s">
        <v>1</v>
      </c>
      <c r="C2050" t="s">
        <v>9878</v>
      </c>
      <c r="E2050" t="s">
        <v>9879</v>
      </c>
      <c r="F2050" t="s">
        <v>5</v>
      </c>
      <c r="G2050" t="s">
        <v>6</v>
      </c>
      <c r="L2050" t="s">
        <v>7</v>
      </c>
      <c r="M2050">
        <v>2005</v>
      </c>
      <c r="N2050" s="1">
        <v>44644</v>
      </c>
      <c r="O2050" t="s">
        <v>9880</v>
      </c>
      <c r="P2050">
        <v>1</v>
      </c>
      <c r="Q2050" t="s">
        <v>6820</v>
      </c>
      <c r="S2050">
        <v>217.95</v>
      </c>
      <c r="T2050">
        <v>250</v>
      </c>
      <c r="U2050">
        <v>190</v>
      </c>
      <c r="V2050" t="s">
        <v>58</v>
      </c>
      <c r="W2050" t="s">
        <v>808</v>
      </c>
      <c r="X2050" t="s">
        <v>3096</v>
      </c>
      <c r="Y2050" t="s">
        <v>3097</v>
      </c>
      <c r="AF2050" t="s">
        <v>13</v>
      </c>
      <c r="AG2050" t="str">
        <f>HYPERLINK("https://doi.org/10.1515/9780748680634")</f>
        <v>https://doi.org/10.1515/9780748680634</v>
      </c>
      <c r="AH2050" t="str">
        <f>HYPERLINK("http://www.degruyter.com/isbn/9780748680634")</f>
        <v>http://www.degruyter.com/isbn/9780748680634</v>
      </c>
      <c r="AI2050" t="s">
        <v>68</v>
      </c>
      <c r="AL2050" t="s">
        <v>62</v>
      </c>
      <c r="AM2050">
        <v>1</v>
      </c>
      <c r="AN2050" s="2">
        <v>9780748620296</v>
      </c>
    </row>
    <row r="2051" spans="1:40" x14ac:dyDescent="0.3">
      <c r="A2051" t="s">
        <v>9881</v>
      </c>
      <c r="B2051" t="s">
        <v>1</v>
      </c>
      <c r="C2051" t="s">
        <v>9882</v>
      </c>
      <c r="D2051" t="s">
        <v>9883</v>
      </c>
      <c r="E2051" t="s">
        <v>9884</v>
      </c>
      <c r="F2051" t="s">
        <v>5</v>
      </c>
      <c r="G2051" t="s">
        <v>6</v>
      </c>
      <c r="L2051" t="s">
        <v>7</v>
      </c>
      <c r="M2051">
        <v>2011</v>
      </c>
      <c r="N2051" s="1">
        <v>40707</v>
      </c>
      <c r="O2051" t="s">
        <v>9885</v>
      </c>
      <c r="P2051">
        <v>1</v>
      </c>
      <c r="Q2051" t="s">
        <v>7283</v>
      </c>
      <c r="S2051">
        <v>217.95</v>
      </c>
      <c r="T2051">
        <v>250</v>
      </c>
      <c r="U2051">
        <v>190</v>
      </c>
      <c r="V2051" t="s">
        <v>42</v>
      </c>
      <c r="W2051" t="s">
        <v>43</v>
      </c>
      <c r="X2051" t="s">
        <v>44</v>
      </c>
      <c r="Y2051" t="s">
        <v>45</v>
      </c>
      <c r="AF2051" t="s">
        <v>13</v>
      </c>
      <c r="AG2051" t="str">
        <f>HYPERLINK("https://doi.org/10.1515/9780748647033?locatt=mode:legacy")</f>
        <v>https://doi.org/10.1515/9780748647033?locatt=mode:legacy</v>
      </c>
      <c r="AH2051" t="str">
        <f>HYPERLINK("http://www.degruyter.com/isbn/9780748647033")</f>
        <v>http://www.degruyter.com/isbn/9780748647033</v>
      </c>
      <c r="AI2051" t="s">
        <v>68</v>
      </c>
      <c r="AL2051" t="s">
        <v>47</v>
      </c>
      <c r="AM2051">
        <v>1</v>
      </c>
      <c r="AN2051" s="2">
        <v>9780748640171</v>
      </c>
    </row>
    <row r="2052" spans="1:40" x14ac:dyDescent="0.3">
      <c r="A2052" t="s">
        <v>9886</v>
      </c>
      <c r="B2052" t="s">
        <v>1</v>
      </c>
      <c r="C2052" t="s">
        <v>6983</v>
      </c>
      <c r="D2052" t="s">
        <v>9887</v>
      </c>
      <c r="E2052" t="s">
        <v>6985</v>
      </c>
      <c r="F2052" t="s">
        <v>5</v>
      </c>
      <c r="G2052" t="s">
        <v>6</v>
      </c>
      <c r="L2052" t="s">
        <v>7</v>
      </c>
      <c r="M2052">
        <v>2017</v>
      </c>
      <c r="N2052" s="1">
        <v>42787</v>
      </c>
      <c r="O2052" t="s">
        <v>9888</v>
      </c>
      <c r="P2052">
        <v>1</v>
      </c>
      <c r="Q2052" t="s">
        <v>7655</v>
      </c>
      <c r="S2052">
        <v>227.95</v>
      </c>
      <c r="T2052">
        <v>260</v>
      </c>
      <c r="U2052">
        <v>200</v>
      </c>
      <c r="V2052" t="s">
        <v>9</v>
      </c>
      <c r="W2052" t="s">
        <v>10</v>
      </c>
      <c r="X2052" t="s">
        <v>11</v>
      </c>
      <c r="Y2052" t="s">
        <v>52</v>
      </c>
      <c r="AF2052" t="s">
        <v>13</v>
      </c>
      <c r="AG2052" t="str">
        <f>HYPERLINK("https://www.degruyter.com/isbn/9781474419048")</f>
        <v>https://www.degruyter.com/isbn/9781474419048</v>
      </c>
      <c r="AH2052" t="str">
        <f>HYPERLINK("http://www.degruyter.com/isbn/9781474419048")</f>
        <v>http://www.degruyter.com/isbn/9781474419048</v>
      </c>
      <c r="AI2052" t="s">
        <v>222</v>
      </c>
      <c r="AL2052" t="s">
        <v>15</v>
      </c>
      <c r="AM2052">
        <v>1</v>
      </c>
      <c r="AN2052" s="2">
        <v>9781474419031</v>
      </c>
    </row>
    <row r="2053" spans="1:40" x14ac:dyDescent="0.3">
      <c r="A2053" t="s">
        <v>9889</v>
      </c>
      <c r="B2053" t="s">
        <v>1</v>
      </c>
      <c r="C2053" t="s">
        <v>9890</v>
      </c>
      <c r="E2053" t="s">
        <v>9891</v>
      </c>
      <c r="F2053" t="s">
        <v>5</v>
      </c>
      <c r="G2053" t="s">
        <v>6</v>
      </c>
      <c r="L2053" t="s">
        <v>7</v>
      </c>
      <c r="M2053">
        <v>1998</v>
      </c>
      <c r="N2053" s="1">
        <v>44693</v>
      </c>
      <c r="O2053" t="s">
        <v>9892</v>
      </c>
      <c r="P2053">
        <v>1</v>
      </c>
      <c r="Q2053" t="s">
        <v>9893</v>
      </c>
      <c r="S2053">
        <v>217.95</v>
      </c>
      <c r="T2053">
        <v>250</v>
      </c>
      <c r="U2053">
        <v>190</v>
      </c>
      <c r="V2053" t="s">
        <v>89</v>
      </c>
      <c r="W2053" t="s">
        <v>90</v>
      </c>
      <c r="X2053" t="s">
        <v>9894</v>
      </c>
      <c r="Y2053" t="s">
        <v>9895</v>
      </c>
      <c r="AF2053" t="s">
        <v>13</v>
      </c>
      <c r="AG2053" t="str">
        <f>HYPERLINK("https://doi.org/10.1515/9780585159096")</f>
        <v>https://doi.org/10.1515/9780585159096</v>
      </c>
      <c r="AH2053" t="str">
        <f>HYPERLINK("http://www.degruyter.com/isbn/9780585159096")</f>
        <v>http://www.degruyter.com/isbn/9780585159096</v>
      </c>
      <c r="AI2053" t="s">
        <v>24</v>
      </c>
      <c r="AL2053" t="s">
        <v>83</v>
      </c>
      <c r="AM2053">
        <v>1</v>
      </c>
      <c r="AN2053" s="2">
        <v>9780748607945</v>
      </c>
    </row>
    <row r="2054" spans="1:40" x14ac:dyDescent="0.3">
      <c r="A2054" t="s">
        <v>9896</v>
      </c>
      <c r="B2054" t="s">
        <v>1</v>
      </c>
      <c r="C2054" t="s">
        <v>9897</v>
      </c>
      <c r="E2054" t="s">
        <v>9898</v>
      </c>
      <c r="F2054" t="s">
        <v>5</v>
      </c>
      <c r="G2054" t="s">
        <v>6</v>
      </c>
      <c r="L2054" t="s">
        <v>7</v>
      </c>
      <c r="M2054">
        <v>2006</v>
      </c>
      <c r="N2054" s="1">
        <v>38889</v>
      </c>
      <c r="O2054" t="s">
        <v>9899</v>
      </c>
      <c r="P2054">
        <v>1</v>
      </c>
      <c r="Q2054" t="s">
        <v>6418</v>
      </c>
      <c r="S2054">
        <v>261.95</v>
      </c>
      <c r="T2054">
        <v>300</v>
      </c>
      <c r="U2054">
        <v>230</v>
      </c>
      <c r="V2054" t="s">
        <v>79</v>
      </c>
      <c r="W2054" t="s">
        <v>209</v>
      </c>
      <c r="X2054" t="s">
        <v>209</v>
      </c>
      <c r="Y2054" t="s">
        <v>510</v>
      </c>
      <c r="AF2054" t="s">
        <v>13</v>
      </c>
      <c r="AG2054" t="str">
        <f>HYPERLINK("https://doi.org/10.1515/9780748627080")</f>
        <v>https://doi.org/10.1515/9780748627080</v>
      </c>
      <c r="AH2054" t="str">
        <f>HYPERLINK("http://www.degruyter.com/isbn/9780748627080")</f>
        <v>http://www.degruyter.com/isbn/9780748627080</v>
      </c>
      <c r="AI2054" t="s">
        <v>68</v>
      </c>
      <c r="AL2054" t="s">
        <v>83</v>
      </c>
      <c r="AM2054">
        <v>1</v>
      </c>
      <c r="AN2054" s="2">
        <v>9780748620920</v>
      </c>
    </row>
    <row r="2055" spans="1:40" x14ac:dyDescent="0.3">
      <c r="A2055" t="s">
        <v>9900</v>
      </c>
      <c r="B2055" t="s">
        <v>1</v>
      </c>
      <c r="C2055" t="s">
        <v>9901</v>
      </c>
      <c r="E2055" t="s">
        <v>9902</v>
      </c>
      <c r="F2055" t="s">
        <v>5</v>
      </c>
      <c r="G2055" t="s">
        <v>6</v>
      </c>
      <c r="L2055" t="s">
        <v>7</v>
      </c>
      <c r="M2055">
        <v>2001</v>
      </c>
      <c r="N2055" s="1">
        <v>44607</v>
      </c>
      <c r="O2055" t="s">
        <v>5225</v>
      </c>
      <c r="P2055">
        <v>1</v>
      </c>
      <c r="Q2055" t="s">
        <v>6815</v>
      </c>
      <c r="S2055">
        <v>217.95</v>
      </c>
      <c r="T2055">
        <v>250</v>
      </c>
      <c r="U2055">
        <v>190</v>
      </c>
      <c r="V2055" t="s">
        <v>20</v>
      </c>
      <c r="W2055" t="s">
        <v>21</v>
      </c>
      <c r="X2055" t="s">
        <v>3445</v>
      </c>
      <c r="Y2055" t="s">
        <v>3932</v>
      </c>
      <c r="AF2055" t="s">
        <v>13</v>
      </c>
      <c r="AG2055" t="str">
        <f>HYPERLINK("https://doi.org/10.1515/9781474471107")</f>
        <v>https://doi.org/10.1515/9781474471107</v>
      </c>
      <c r="AH2055" t="str">
        <f>HYPERLINK("http://www.degruyter.com/isbn/9781474471107")</f>
        <v>http://www.degruyter.com/isbn/9781474471107</v>
      </c>
      <c r="AI2055" t="s">
        <v>68</v>
      </c>
      <c r="AL2055" t="s">
        <v>15</v>
      </c>
      <c r="AM2055">
        <v>1</v>
      </c>
      <c r="AN2055" s="2">
        <v>9781853312106</v>
      </c>
    </row>
    <row r="2056" spans="1:40" x14ac:dyDescent="0.3">
      <c r="A2056" t="s">
        <v>9903</v>
      </c>
      <c r="B2056" t="s">
        <v>1</v>
      </c>
      <c r="C2056" t="s">
        <v>91</v>
      </c>
      <c r="D2056" t="s">
        <v>9904</v>
      </c>
      <c r="E2056" t="s">
        <v>9905</v>
      </c>
      <c r="F2056" t="s">
        <v>5</v>
      </c>
      <c r="G2056" t="s">
        <v>6</v>
      </c>
      <c r="L2056" t="s">
        <v>7</v>
      </c>
      <c r="M2056">
        <v>2009</v>
      </c>
      <c r="N2056" s="1">
        <v>40086</v>
      </c>
      <c r="O2056" t="s">
        <v>9906</v>
      </c>
      <c r="P2056">
        <v>1</v>
      </c>
      <c r="Q2056" t="s">
        <v>7102</v>
      </c>
      <c r="S2056">
        <v>243.95</v>
      </c>
      <c r="T2056">
        <v>280</v>
      </c>
      <c r="U2056">
        <v>210</v>
      </c>
      <c r="V2056" t="s">
        <v>89</v>
      </c>
      <c r="W2056" t="s">
        <v>90</v>
      </c>
      <c r="X2056" t="s">
        <v>91</v>
      </c>
      <c r="Y2056" t="s">
        <v>717</v>
      </c>
      <c r="AF2056" t="s">
        <v>13</v>
      </c>
      <c r="AG2056" t="str">
        <f>HYPERLINK("https://doi.org/10.1515/9780748642076")</f>
        <v>https://doi.org/10.1515/9780748642076</v>
      </c>
      <c r="AH2056" t="str">
        <f>HYPERLINK("http://www.degruyter.com/isbn/9780748642076")</f>
        <v>http://www.degruyter.com/isbn/9780748642076</v>
      </c>
      <c r="AI2056" t="s">
        <v>68</v>
      </c>
      <c r="AJ2056" t="s">
        <v>35</v>
      </c>
      <c r="AL2056" t="s">
        <v>718</v>
      </c>
      <c r="AM2056">
        <v>1</v>
      </c>
      <c r="AN2056" s="2">
        <v>9780748639670</v>
      </c>
    </row>
    <row r="2057" spans="1:40" x14ac:dyDescent="0.3">
      <c r="A2057" t="s">
        <v>9907</v>
      </c>
      <c r="B2057" t="s">
        <v>1</v>
      </c>
      <c r="C2057" t="s">
        <v>9908</v>
      </c>
      <c r="E2057" t="s">
        <v>9909</v>
      </c>
      <c r="F2057" t="s">
        <v>5</v>
      </c>
      <c r="G2057" t="s">
        <v>6</v>
      </c>
      <c r="L2057" t="s">
        <v>7</v>
      </c>
      <c r="M2057">
        <v>2018</v>
      </c>
      <c r="N2057" s="1">
        <v>44592</v>
      </c>
      <c r="O2057" t="s">
        <v>9910</v>
      </c>
      <c r="P2057">
        <v>1</v>
      </c>
      <c r="Q2057" t="s">
        <v>9122</v>
      </c>
      <c r="S2057">
        <v>217.95</v>
      </c>
      <c r="T2057">
        <v>250</v>
      </c>
      <c r="U2057">
        <v>190</v>
      </c>
      <c r="V2057" t="s">
        <v>847</v>
      </c>
      <c r="W2057" t="s">
        <v>3102</v>
      </c>
      <c r="X2057" t="s">
        <v>3102</v>
      </c>
      <c r="Y2057" t="s">
        <v>3103</v>
      </c>
      <c r="AF2057" t="s">
        <v>13</v>
      </c>
      <c r="AG2057" t="str">
        <f>HYPERLINK("https://doi.org/10.1515/9781474472852")</f>
        <v>https://doi.org/10.1515/9781474472852</v>
      </c>
      <c r="AH2057" t="str">
        <f>HYPERLINK("http://www.degruyter.com/isbn/9781474472852")</f>
        <v>http://www.degruyter.com/isbn/9781474472852</v>
      </c>
      <c r="AI2057" t="s">
        <v>46</v>
      </c>
      <c r="AJ2057" t="s">
        <v>35</v>
      </c>
      <c r="AL2057" t="s">
        <v>1773</v>
      </c>
      <c r="AM2057">
        <v>1</v>
      </c>
      <c r="AN2057" s="2">
        <v>9781474437219</v>
      </c>
    </row>
    <row r="2058" spans="1:40" x14ac:dyDescent="0.3">
      <c r="A2058" t="s">
        <v>9911</v>
      </c>
      <c r="B2058" t="s">
        <v>1</v>
      </c>
      <c r="C2058" t="s">
        <v>9912</v>
      </c>
      <c r="E2058" t="s">
        <v>9913</v>
      </c>
      <c r="F2058" t="s">
        <v>5</v>
      </c>
      <c r="G2058" t="s">
        <v>6</v>
      </c>
      <c r="L2058" t="s">
        <v>7</v>
      </c>
      <c r="M2058">
        <v>2021</v>
      </c>
      <c r="N2058" s="1">
        <v>44644</v>
      </c>
      <c r="O2058" t="s">
        <v>9914</v>
      </c>
      <c r="P2058">
        <v>1</v>
      </c>
      <c r="Q2058" t="s">
        <v>8823</v>
      </c>
      <c r="S2058">
        <v>227.95</v>
      </c>
      <c r="T2058">
        <v>260</v>
      </c>
      <c r="U2058">
        <v>200</v>
      </c>
      <c r="V2058" t="s">
        <v>20</v>
      </c>
      <c r="W2058" t="s">
        <v>21</v>
      </c>
      <c r="X2058" t="s">
        <v>839</v>
      </c>
      <c r="Y2058" t="s">
        <v>9915</v>
      </c>
      <c r="AF2058" t="s">
        <v>13</v>
      </c>
      <c r="AG2058" t="str">
        <f>HYPERLINK("https://doi.org/10.1515/9781474477369")</f>
        <v>https://doi.org/10.1515/9781474477369</v>
      </c>
      <c r="AH2058" t="str">
        <f>HYPERLINK("http://www.degruyter.com/isbn/9781474477369")</f>
        <v>http://www.degruyter.com/isbn/9781474477369</v>
      </c>
      <c r="AI2058" t="s">
        <v>559</v>
      </c>
      <c r="AJ2058" t="s">
        <v>35</v>
      </c>
      <c r="AL2058" t="s">
        <v>1346</v>
      </c>
      <c r="AM2058">
        <v>1</v>
      </c>
      <c r="AN2058" s="2">
        <v>9781474477345</v>
      </c>
    </row>
    <row r="2059" spans="1:40" x14ac:dyDescent="0.3">
      <c r="A2059" t="s">
        <v>9916</v>
      </c>
      <c r="B2059" t="s">
        <v>1</v>
      </c>
      <c r="C2059" t="s">
        <v>9917</v>
      </c>
      <c r="E2059" t="s">
        <v>9918</v>
      </c>
      <c r="F2059" t="s">
        <v>5</v>
      </c>
      <c r="G2059" t="s">
        <v>6</v>
      </c>
      <c r="L2059" t="s">
        <v>7</v>
      </c>
      <c r="M2059">
        <v>2010</v>
      </c>
      <c r="N2059" s="1">
        <v>40345</v>
      </c>
      <c r="O2059" t="s">
        <v>9919</v>
      </c>
      <c r="P2059">
        <v>1</v>
      </c>
      <c r="Q2059" t="s">
        <v>5794</v>
      </c>
      <c r="S2059">
        <v>191.95</v>
      </c>
      <c r="T2059">
        <v>220</v>
      </c>
      <c r="U2059">
        <v>170</v>
      </c>
      <c r="V2059" t="s">
        <v>42</v>
      </c>
      <c r="W2059" t="s">
        <v>43</v>
      </c>
      <c r="X2059" t="s">
        <v>178</v>
      </c>
      <c r="Y2059" t="s">
        <v>179</v>
      </c>
      <c r="AF2059" t="s">
        <v>13</v>
      </c>
      <c r="AG2059" t="str">
        <f>HYPERLINK("https://doi.org/10.1515/9780748637195")</f>
        <v>https://doi.org/10.1515/9780748637195</v>
      </c>
      <c r="AH2059" t="str">
        <f>HYPERLINK("http://www.degruyter.com/isbn/9780748637195")</f>
        <v>http://www.degruyter.com/isbn/9780748637195</v>
      </c>
      <c r="AI2059" t="s">
        <v>68</v>
      </c>
      <c r="AL2059" t="s">
        <v>47</v>
      </c>
      <c r="AM2059">
        <v>1</v>
      </c>
      <c r="AN2059" s="2">
        <v>9780748637171</v>
      </c>
    </row>
    <row r="2060" spans="1:40" x14ac:dyDescent="0.3">
      <c r="A2060" t="s">
        <v>9920</v>
      </c>
      <c r="B2060" t="s">
        <v>1</v>
      </c>
      <c r="C2060" t="s">
        <v>9921</v>
      </c>
      <c r="E2060" t="s">
        <v>9922</v>
      </c>
      <c r="F2060" t="s">
        <v>5</v>
      </c>
      <c r="G2060" t="s">
        <v>6</v>
      </c>
      <c r="L2060" t="s">
        <v>7</v>
      </c>
      <c r="M2060">
        <v>2010</v>
      </c>
      <c r="N2060" s="1">
        <v>40430</v>
      </c>
      <c r="O2060" t="s">
        <v>9923</v>
      </c>
      <c r="P2060">
        <v>1</v>
      </c>
      <c r="Q2060" t="s">
        <v>6630</v>
      </c>
      <c r="S2060">
        <v>191.95</v>
      </c>
      <c r="T2060">
        <v>220</v>
      </c>
      <c r="U2060">
        <v>170</v>
      </c>
      <c r="V2060" t="s">
        <v>42</v>
      </c>
      <c r="W2060" t="s">
        <v>43</v>
      </c>
      <c r="X2060" t="s">
        <v>178</v>
      </c>
      <c r="Y2060" t="s">
        <v>1745</v>
      </c>
      <c r="AF2060" t="s">
        <v>13</v>
      </c>
      <c r="AG2060" t="str">
        <f>HYPERLINK("https://doi.org/10.1515/9780748643240")</f>
        <v>https://doi.org/10.1515/9780748643240</v>
      </c>
      <c r="AH2060" t="str">
        <f>HYPERLINK("http://www.degruyter.com/isbn/9780748643240")</f>
        <v>http://www.degruyter.com/isbn/9780748643240</v>
      </c>
      <c r="AI2060" t="s">
        <v>68</v>
      </c>
      <c r="AL2060" t="s">
        <v>47</v>
      </c>
      <c r="AM2060">
        <v>1</v>
      </c>
      <c r="AN2060" s="2">
        <v>9780748638215</v>
      </c>
    </row>
    <row r="2061" spans="1:40" x14ac:dyDescent="0.3">
      <c r="A2061" t="s">
        <v>9924</v>
      </c>
      <c r="B2061" t="s">
        <v>1</v>
      </c>
      <c r="C2061" t="s">
        <v>9925</v>
      </c>
      <c r="E2061" t="s">
        <v>9926</v>
      </c>
      <c r="F2061" t="s">
        <v>5</v>
      </c>
      <c r="G2061" t="s">
        <v>6</v>
      </c>
      <c r="L2061" t="s">
        <v>7</v>
      </c>
      <c r="M2061">
        <v>2013</v>
      </c>
      <c r="N2061" s="1">
        <v>41343</v>
      </c>
      <c r="O2061" t="s">
        <v>9927</v>
      </c>
      <c r="P2061">
        <v>1</v>
      </c>
      <c r="Q2061" t="s">
        <v>6630</v>
      </c>
      <c r="S2061">
        <v>217.95</v>
      </c>
      <c r="T2061">
        <v>250</v>
      </c>
      <c r="U2061">
        <v>190</v>
      </c>
      <c r="V2061" t="s">
        <v>42</v>
      </c>
      <c r="W2061" t="s">
        <v>161</v>
      </c>
      <c r="X2061" t="s">
        <v>162</v>
      </c>
      <c r="Y2061" t="s">
        <v>896</v>
      </c>
      <c r="AF2061" t="s">
        <v>13</v>
      </c>
      <c r="AG2061" t="str">
        <f>HYPERLINK("https://doi.org/10.1515/9780748647439")</f>
        <v>https://doi.org/10.1515/9780748647439</v>
      </c>
      <c r="AH2061" t="str">
        <f>HYPERLINK("http://www.degruyter.com/isbn/9780748647439")</f>
        <v>http://www.degruyter.com/isbn/9780748647439</v>
      </c>
      <c r="AI2061" t="s">
        <v>68</v>
      </c>
      <c r="AL2061" t="s">
        <v>47</v>
      </c>
      <c r="AM2061">
        <v>1</v>
      </c>
      <c r="AN2061" s="2">
        <v>9780748647415</v>
      </c>
    </row>
    <row r="2062" spans="1:40" x14ac:dyDescent="0.3">
      <c r="A2062" t="s">
        <v>9928</v>
      </c>
      <c r="B2062" t="s">
        <v>1</v>
      </c>
      <c r="C2062" t="s">
        <v>8958</v>
      </c>
      <c r="D2062" t="s">
        <v>9929</v>
      </c>
      <c r="E2062" t="s">
        <v>8960</v>
      </c>
      <c r="F2062" t="s">
        <v>5</v>
      </c>
      <c r="G2062" t="s">
        <v>6</v>
      </c>
      <c r="L2062" t="s">
        <v>7</v>
      </c>
      <c r="M2062">
        <v>2016</v>
      </c>
      <c r="N2062" s="1">
        <v>42482</v>
      </c>
      <c r="O2062" t="s">
        <v>9930</v>
      </c>
      <c r="P2062">
        <v>1</v>
      </c>
      <c r="Q2062" t="s">
        <v>8962</v>
      </c>
      <c r="S2062">
        <v>253.95</v>
      </c>
      <c r="T2062">
        <v>290</v>
      </c>
      <c r="U2062">
        <v>220</v>
      </c>
      <c r="V2062" t="s">
        <v>329</v>
      </c>
      <c r="W2062" t="s">
        <v>4080</v>
      </c>
      <c r="X2062" t="s">
        <v>4080</v>
      </c>
      <c r="Y2062" t="s">
        <v>4081</v>
      </c>
      <c r="AF2062" t="s">
        <v>13</v>
      </c>
      <c r="AG2062" t="str">
        <f>HYPERLINK("https://www.degruyter.com/isbn/9780748696918")</f>
        <v>https://www.degruyter.com/isbn/9780748696918</v>
      </c>
      <c r="AH2062" t="str">
        <f>HYPERLINK("http://www.degruyter.com/isbn/9780748696918")</f>
        <v>http://www.degruyter.com/isbn/9780748696918</v>
      </c>
      <c r="AI2062" t="s">
        <v>180</v>
      </c>
      <c r="AL2062" t="s">
        <v>333</v>
      </c>
      <c r="AM2062">
        <v>1</v>
      </c>
      <c r="AN2062" s="2">
        <v>9780748696901</v>
      </c>
    </row>
    <row r="2063" spans="1:40" x14ac:dyDescent="0.3">
      <c r="A2063" t="s">
        <v>9931</v>
      </c>
      <c r="B2063" t="s">
        <v>1</v>
      </c>
      <c r="C2063" t="s">
        <v>9932</v>
      </c>
      <c r="D2063" t="s">
        <v>7731</v>
      </c>
      <c r="E2063" t="s">
        <v>9933</v>
      </c>
      <c r="F2063" t="s">
        <v>5</v>
      </c>
      <c r="G2063" t="s">
        <v>6</v>
      </c>
      <c r="L2063" t="s">
        <v>7</v>
      </c>
      <c r="M2063">
        <v>2015</v>
      </c>
      <c r="N2063" s="1">
        <v>42142</v>
      </c>
      <c r="O2063" t="s">
        <v>354</v>
      </c>
      <c r="P2063">
        <v>1</v>
      </c>
      <c r="Q2063" t="s">
        <v>7733</v>
      </c>
      <c r="S2063">
        <v>253.95</v>
      </c>
      <c r="T2063">
        <v>290</v>
      </c>
      <c r="U2063">
        <v>220</v>
      </c>
      <c r="V2063" t="s">
        <v>79</v>
      </c>
      <c r="W2063" t="s">
        <v>209</v>
      </c>
      <c r="X2063" t="s">
        <v>209</v>
      </c>
      <c r="Y2063" t="s">
        <v>510</v>
      </c>
      <c r="AF2063" t="s">
        <v>13</v>
      </c>
      <c r="AG2063" t="str">
        <f>HYPERLINK("https://doi.org/10.1515/9780748686476")</f>
        <v>https://doi.org/10.1515/9780748686476</v>
      </c>
      <c r="AH2063" t="str">
        <f>HYPERLINK("http://www.degruyter.com/isbn/9780748686476")</f>
        <v>http://www.degruyter.com/isbn/9780748686476</v>
      </c>
      <c r="AI2063" t="s">
        <v>9934</v>
      </c>
      <c r="AL2063" t="s">
        <v>83</v>
      </c>
      <c r="AM2063">
        <v>1</v>
      </c>
      <c r="AN2063" s="2">
        <v>9780748686452</v>
      </c>
    </row>
    <row r="2064" spans="1:40" x14ac:dyDescent="0.3">
      <c r="A2064" t="s">
        <v>9935</v>
      </c>
      <c r="B2064" t="s">
        <v>1</v>
      </c>
      <c r="C2064" t="s">
        <v>9936</v>
      </c>
      <c r="E2064" t="s">
        <v>9937</v>
      </c>
      <c r="F2064" t="s">
        <v>5</v>
      </c>
      <c r="G2064" t="s">
        <v>6</v>
      </c>
      <c r="L2064" t="s">
        <v>7</v>
      </c>
      <c r="M2064">
        <v>2011</v>
      </c>
      <c r="N2064" s="1">
        <v>40680</v>
      </c>
      <c r="O2064" t="s">
        <v>9938</v>
      </c>
      <c r="P2064">
        <v>1</v>
      </c>
      <c r="S2064">
        <v>243.95</v>
      </c>
      <c r="T2064">
        <v>280</v>
      </c>
      <c r="U2064">
        <v>210</v>
      </c>
      <c r="V2064" t="s">
        <v>9</v>
      </c>
      <c r="W2064" t="s">
        <v>10</v>
      </c>
      <c r="X2064" t="s">
        <v>11</v>
      </c>
      <c r="Y2064" t="s">
        <v>12</v>
      </c>
      <c r="AF2064" t="s">
        <v>13</v>
      </c>
      <c r="AG2064" t="str">
        <f>HYPERLINK("https://doi.org/10.1515/9780748630936")</f>
        <v>https://doi.org/10.1515/9780748630936</v>
      </c>
      <c r="AH2064" t="str">
        <f>HYPERLINK("http://www.degruyter.com/isbn/9780748630936")</f>
        <v>http://www.degruyter.com/isbn/9780748630936</v>
      </c>
      <c r="AI2064" t="s">
        <v>68</v>
      </c>
      <c r="AL2064" t="s">
        <v>15</v>
      </c>
      <c r="AM2064">
        <v>1</v>
      </c>
      <c r="AN2064" s="2">
        <v>9780748625383</v>
      </c>
    </row>
    <row r="2065" spans="1:40" x14ac:dyDescent="0.3">
      <c r="A2065" t="s">
        <v>9939</v>
      </c>
      <c r="B2065" t="s">
        <v>1</v>
      </c>
      <c r="C2065" t="s">
        <v>9940</v>
      </c>
      <c r="D2065" t="s">
        <v>9941</v>
      </c>
      <c r="E2065" t="s">
        <v>9942</v>
      </c>
      <c r="F2065" t="s">
        <v>5</v>
      </c>
      <c r="G2065" t="s">
        <v>6</v>
      </c>
      <c r="L2065" t="s">
        <v>7</v>
      </c>
      <c r="M2065">
        <v>2013</v>
      </c>
      <c r="N2065" s="1">
        <v>41598</v>
      </c>
      <c r="O2065" t="s">
        <v>9943</v>
      </c>
      <c r="P2065">
        <v>1</v>
      </c>
      <c r="Q2065" t="s">
        <v>6923</v>
      </c>
      <c r="S2065">
        <v>243.95</v>
      </c>
      <c r="T2065">
        <v>280</v>
      </c>
      <c r="U2065">
        <v>210</v>
      </c>
      <c r="V2065" t="s">
        <v>20</v>
      </c>
      <c r="W2065" t="s">
        <v>21</v>
      </c>
      <c r="X2065" t="s">
        <v>458</v>
      </c>
      <c r="Y2065" t="s">
        <v>459</v>
      </c>
      <c r="AF2065" t="s">
        <v>13</v>
      </c>
      <c r="AG2065" t="str">
        <f>HYPERLINK("https://doi.org/10.1515/9780748631902")</f>
        <v>https://doi.org/10.1515/9780748631902</v>
      </c>
      <c r="AH2065" t="str">
        <f>HYPERLINK("http://www.degruyter.com/isbn/9780748631902")</f>
        <v>http://www.degruyter.com/isbn/9780748631902</v>
      </c>
      <c r="AI2065" t="s">
        <v>68</v>
      </c>
      <c r="AL2065" t="s">
        <v>15</v>
      </c>
      <c r="AM2065">
        <v>1</v>
      </c>
      <c r="AN2065" s="2">
        <v>9780748633302</v>
      </c>
    </row>
    <row r="2066" spans="1:40" x14ac:dyDescent="0.3">
      <c r="A2066" t="s">
        <v>9944</v>
      </c>
      <c r="B2066" t="s">
        <v>1</v>
      </c>
      <c r="C2066" t="s">
        <v>9945</v>
      </c>
      <c r="E2066" t="s">
        <v>9946</v>
      </c>
      <c r="F2066" t="s">
        <v>5</v>
      </c>
      <c r="G2066" t="s">
        <v>6</v>
      </c>
      <c r="L2066" t="s">
        <v>7</v>
      </c>
      <c r="M2066">
        <v>2001</v>
      </c>
      <c r="N2066" s="1">
        <v>36900</v>
      </c>
      <c r="O2066" t="s">
        <v>9947</v>
      </c>
      <c r="P2066">
        <v>1</v>
      </c>
      <c r="Q2066" t="s">
        <v>7266</v>
      </c>
      <c r="S2066">
        <v>227.95</v>
      </c>
      <c r="T2066">
        <v>260</v>
      </c>
      <c r="U2066">
        <v>200</v>
      </c>
      <c r="V2066" t="s">
        <v>42</v>
      </c>
      <c r="W2066" t="s">
        <v>116</v>
      </c>
      <c r="X2066" t="s">
        <v>116</v>
      </c>
      <c r="Y2066" t="s">
        <v>117</v>
      </c>
      <c r="AF2066" t="s">
        <v>13</v>
      </c>
      <c r="AG2066" t="str">
        <f>HYPERLINK("https://doi.org/10.1515/9781474433662")</f>
        <v>https://doi.org/10.1515/9781474433662</v>
      </c>
      <c r="AH2066" t="str">
        <f>HYPERLINK("http://www.degruyter.com/isbn/9781474433662")</f>
        <v>http://www.degruyter.com/isbn/9781474433662</v>
      </c>
      <c r="AI2066" t="s">
        <v>68</v>
      </c>
      <c r="AL2066" t="s">
        <v>47</v>
      </c>
      <c r="AM2066">
        <v>1</v>
      </c>
      <c r="AN2066" s="2">
        <v>9780748605743</v>
      </c>
    </row>
    <row r="2067" spans="1:40" x14ac:dyDescent="0.3">
      <c r="A2067" t="s">
        <v>9948</v>
      </c>
      <c r="B2067" t="s">
        <v>1</v>
      </c>
      <c r="C2067" t="s">
        <v>9949</v>
      </c>
      <c r="E2067" t="s">
        <v>9950</v>
      </c>
      <c r="F2067" t="s">
        <v>5</v>
      </c>
      <c r="G2067" t="s">
        <v>6</v>
      </c>
      <c r="L2067" t="s">
        <v>7</v>
      </c>
      <c r="M2067">
        <v>2007</v>
      </c>
      <c r="N2067" s="1">
        <v>39168</v>
      </c>
      <c r="O2067" t="s">
        <v>9951</v>
      </c>
      <c r="P2067">
        <v>1</v>
      </c>
      <c r="Q2067" t="s">
        <v>6723</v>
      </c>
      <c r="S2067">
        <v>253.95</v>
      </c>
      <c r="T2067">
        <v>290</v>
      </c>
      <c r="U2067">
        <v>220</v>
      </c>
      <c r="V2067" t="s">
        <v>79</v>
      </c>
      <c r="W2067" t="s">
        <v>209</v>
      </c>
      <c r="X2067" t="s">
        <v>209</v>
      </c>
      <c r="Y2067" t="s">
        <v>510</v>
      </c>
      <c r="AF2067" t="s">
        <v>13</v>
      </c>
      <c r="AG2067" t="str">
        <f>HYPERLINK("https://doi.org/10.1515/9780748629695")</f>
        <v>https://doi.org/10.1515/9780748629695</v>
      </c>
      <c r="AH2067" t="str">
        <f>HYPERLINK("http://www.degruyter.com/isbn/9780748629695")</f>
        <v>http://www.degruyter.com/isbn/9780748629695</v>
      </c>
      <c r="AI2067" t="s">
        <v>68</v>
      </c>
      <c r="AL2067" t="s">
        <v>83</v>
      </c>
      <c r="AM2067">
        <v>1</v>
      </c>
      <c r="AN2067" s="2">
        <v>9780748622283</v>
      </c>
    </row>
    <row r="2068" spans="1:40" x14ac:dyDescent="0.3">
      <c r="A2068" t="s">
        <v>9952</v>
      </c>
      <c r="B2068" t="s">
        <v>1</v>
      </c>
      <c r="C2068" t="s">
        <v>9953</v>
      </c>
      <c r="D2068" t="s">
        <v>9954</v>
      </c>
      <c r="E2068" t="s">
        <v>9955</v>
      </c>
      <c r="F2068" t="s">
        <v>5</v>
      </c>
      <c r="G2068" t="s">
        <v>6</v>
      </c>
      <c r="L2068" t="s">
        <v>7</v>
      </c>
      <c r="M2068">
        <v>2018</v>
      </c>
      <c r="N2068" s="1">
        <v>44644</v>
      </c>
      <c r="O2068" t="s">
        <v>9956</v>
      </c>
      <c r="P2068">
        <v>1</v>
      </c>
      <c r="Q2068" t="s">
        <v>6539</v>
      </c>
      <c r="S2068">
        <v>217.95</v>
      </c>
      <c r="T2068">
        <v>250</v>
      </c>
      <c r="U2068">
        <v>190</v>
      </c>
      <c r="V2068" t="s">
        <v>42</v>
      </c>
      <c r="W2068" t="s">
        <v>107</v>
      </c>
      <c r="X2068" t="s">
        <v>108</v>
      </c>
      <c r="Y2068" t="s">
        <v>109</v>
      </c>
      <c r="AF2068" t="s">
        <v>13</v>
      </c>
      <c r="AG2068" t="str">
        <f>HYPERLINK("https://doi.org/10.1515/9781474420990?locatt=mode:legacy")</f>
        <v>https://doi.org/10.1515/9781474420990?locatt=mode:legacy</v>
      </c>
      <c r="AH2068" t="str">
        <f>HYPERLINK("http://www.degruyter.com/isbn/9781474420990")</f>
        <v>http://www.degruyter.com/isbn/9781474420990</v>
      </c>
      <c r="AI2068" t="s">
        <v>46</v>
      </c>
      <c r="AL2068" t="s">
        <v>47</v>
      </c>
      <c r="AM2068">
        <v>1</v>
      </c>
      <c r="AN2068" s="2">
        <v>9781474420983</v>
      </c>
    </row>
    <row r="2069" spans="1:40" x14ac:dyDescent="0.3">
      <c r="A2069" t="s">
        <v>9957</v>
      </c>
      <c r="B2069" t="s">
        <v>1</v>
      </c>
      <c r="C2069" t="s">
        <v>9958</v>
      </c>
      <c r="D2069" t="s">
        <v>9959</v>
      </c>
      <c r="E2069" t="s">
        <v>9960</v>
      </c>
      <c r="F2069" t="s">
        <v>5</v>
      </c>
      <c r="G2069" t="s">
        <v>6</v>
      </c>
      <c r="L2069" t="s">
        <v>7</v>
      </c>
      <c r="M2069">
        <v>2010</v>
      </c>
      <c r="N2069" s="1">
        <v>40219</v>
      </c>
      <c r="O2069" t="s">
        <v>9961</v>
      </c>
      <c r="P2069">
        <v>1</v>
      </c>
      <c r="Q2069" t="s">
        <v>7174</v>
      </c>
      <c r="S2069">
        <v>217.95</v>
      </c>
      <c r="T2069">
        <v>250</v>
      </c>
      <c r="U2069">
        <v>190</v>
      </c>
      <c r="V2069" t="s">
        <v>42</v>
      </c>
      <c r="W2069" t="s">
        <v>161</v>
      </c>
      <c r="X2069" t="s">
        <v>162</v>
      </c>
      <c r="Y2069" t="s">
        <v>9962</v>
      </c>
      <c r="AF2069" t="s">
        <v>13</v>
      </c>
      <c r="AG2069" t="str">
        <f>HYPERLINK("https://doi.org/10.1515/9780748642236")</f>
        <v>https://doi.org/10.1515/9780748642236</v>
      </c>
      <c r="AH2069" t="str">
        <f>HYPERLINK("http://www.degruyter.com/isbn/9780748642236")</f>
        <v>http://www.degruyter.com/isbn/9780748642236</v>
      </c>
      <c r="AI2069" t="s">
        <v>68</v>
      </c>
      <c r="AL2069" t="s">
        <v>47</v>
      </c>
      <c r="AM2069">
        <v>1</v>
      </c>
      <c r="AN2069" s="2">
        <v>9780748639854</v>
      </c>
    </row>
    <row r="2070" spans="1:40" x14ac:dyDescent="0.3">
      <c r="A2070" t="s">
        <v>9963</v>
      </c>
      <c r="B2070" t="s">
        <v>1</v>
      </c>
      <c r="C2070" t="s">
        <v>9964</v>
      </c>
      <c r="D2070" t="s">
        <v>9965</v>
      </c>
      <c r="E2070" t="s">
        <v>9966</v>
      </c>
      <c r="F2070" t="s">
        <v>5</v>
      </c>
      <c r="G2070" t="s">
        <v>6</v>
      </c>
      <c r="L2070" t="s">
        <v>7</v>
      </c>
      <c r="M2070">
        <v>2005</v>
      </c>
      <c r="N2070" s="1">
        <v>38694</v>
      </c>
      <c r="O2070" t="s">
        <v>9967</v>
      </c>
      <c r="P2070">
        <v>1</v>
      </c>
      <c r="Q2070" t="s">
        <v>7052</v>
      </c>
      <c r="S2070">
        <v>243.95</v>
      </c>
      <c r="T2070">
        <v>280</v>
      </c>
      <c r="U2070">
        <v>210</v>
      </c>
      <c r="V2070" t="s">
        <v>58</v>
      </c>
      <c r="W2070" t="s">
        <v>59</v>
      </c>
      <c r="X2070" t="s">
        <v>60</v>
      </c>
      <c r="Y2070" t="s">
        <v>1669</v>
      </c>
      <c r="AF2070" t="s">
        <v>13</v>
      </c>
      <c r="AG2070" t="str">
        <f>HYPERLINK("https://doi.org/10.1515/9780748626274?locatt=mode:legacy")</f>
        <v>https://doi.org/10.1515/9780748626274?locatt=mode:legacy</v>
      </c>
      <c r="AH2070" t="str">
        <f>HYPERLINK("http://www.degruyter.com/isbn/9780748626274")</f>
        <v>http://www.degruyter.com/isbn/9780748626274</v>
      </c>
      <c r="AI2070" t="s">
        <v>68</v>
      </c>
      <c r="AL2070" t="s">
        <v>62</v>
      </c>
      <c r="AM2070">
        <v>1</v>
      </c>
      <c r="AN2070" s="2">
        <v>9780748622054</v>
      </c>
    </row>
    <row r="2071" spans="1:40" x14ac:dyDescent="0.3">
      <c r="A2071" t="s">
        <v>9968</v>
      </c>
      <c r="B2071" t="s">
        <v>1</v>
      </c>
      <c r="C2071" t="s">
        <v>9969</v>
      </c>
      <c r="E2071" t="s">
        <v>9970</v>
      </c>
      <c r="F2071" t="s">
        <v>5</v>
      </c>
      <c r="G2071" t="s">
        <v>6</v>
      </c>
      <c r="L2071" t="s">
        <v>7</v>
      </c>
      <c r="M2071">
        <v>2019</v>
      </c>
      <c r="N2071" s="1">
        <v>44656</v>
      </c>
      <c r="O2071" t="s">
        <v>9971</v>
      </c>
      <c r="P2071">
        <v>1</v>
      </c>
      <c r="Q2071" t="s">
        <v>6665</v>
      </c>
      <c r="S2071">
        <v>227.95</v>
      </c>
      <c r="T2071">
        <v>260</v>
      </c>
      <c r="U2071">
        <v>200</v>
      </c>
      <c r="V2071" t="s">
        <v>20</v>
      </c>
      <c r="W2071" t="s">
        <v>21</v>
      </c>
      <c r="X2071" t="s">
        <v>4875</v>
      </c>
      <c r="Y2071" t="s">
        <v>5044</v>
      </c>
      <c r="AF2071" t="s">
        <v>13</v>
      </c>
      <c r="AG2071" t="str">
        <f>HYPERLINK("https://doi.org/10.1515/9780748696444")</f>
        <v>https://doi.org/10.1515/9780748696444</v>
      </c>
      <c r="AH2071" t="str">
        <f>HYPERLINK("http://www.degruyter.com/isbn/9780748696444")</f>
        <v>http://www.degruyter.com/isbn/9780748696444</v>
      </c>
      <c r="AI2071" t="s">
        <v>280</v>
      </c>
      <c r="AL2071" t="s">
        <v>15</v>
      </c>
      <c r="AM2071">
        <v>1</v>
      </c>
      <c r="AN2071" s="2">
        <v>9780748642649</v>
      </c>
    </row>
    <row r="2072" spans="1:40" x14ac:dyDescent="0.3">
      <c r="A2072" t="s">
        <v>9972</v>
      </c>
      <c r="B2072" t="s">
        <v>1</v>
      </c>
      <c r="C2072" t="s">
        <v>9973</v>
      </c>
      <c r="D2072" t="s">
        <v>9974</v>
      </c>
      <c r="E2072" t="s">
        <v>9975</v>
      </c>
      <c r="F2072" t="s">
        <v>5</v>
      </c>
      <c r="G2072" t="s">
        <v>6</v>
      </c>
      <c r="L2072" t="s">
        <v>7</v>
      </c>
      <c r="M2072">
        <v>2000</v>
      </c>
      <c r="N2072" s="1">
        <v>36880</v>
      </c>
      <c r="O2072" t="s">
        <v>9976</v>
      </c>
      <c r="P2072">
        <v>1</v>
      </c>
      <c r="Q2072" t="s">
        <v>9977</v>
      </c>
      <c r="S2072">
        <v>227.95</v>
      </c>
      <c r="T2072">
        <v>260</v>
      </c>
      <c r="U2072">
        <v>200</v>
      </c>
      <c r="V2072" t="s">
        <v>329</v>
      </c>
      <c r="W2072" t="s">
        <v>330</v>
      </c>
      <c r="X2072" t="s">
        <v>331</v>
      </c>
      <c r="Y2072" t="s">
        <v>4770</v>
      </c>
      <c r="AF2072" t="s">
        <v>13</v>
      </c>
      <c r="AG2072" t="str">
        <f>HYPERLINK("https://doi.org/10.1515/9781474472708")</f>
        <v>https://doi.org/10.1515/9781474472708</v>
      </c>
      <c r="AH2072" t="str">
        <f>HYPERLINK("http://www.degruyter.com/isbn/9781474472708")</f>
        <v>http://www.degruyter.com/isbn/9781474472708</v>
      </c>
      <c r="AI2072" t="s">
        <v>68</v>
      </c>
      <c r="AL2072" t="s">
        <v>333</v>
      </c>
      <c r="AM2072">
        <v>1</v>
      </c>
      <c r="AN2072" s="2">
        <v>9780748613670</v>
      </c>
    </row>
    <row r="2073" spans="1:40" x14ac:dyDescent="0.3">
      <c r="A2073" t="s">
        <v>9978</v>
      </c>
      <c r="B2073" t="s">
        <v>1</v>
      </c>
      <c r="C2073" t="s">
        <v>9979</v>
      </c>
      <c r="D2073" t="s">
        <v>9980</v>
      </c>
      <c r="E2073" t="s">
        <v>9981</v>
      </c>
      <c r="F2073" t="s">
        <v>5</v>
      </c>
      <c r="G2073" t="s">
        <v>6</v>
      </c>
      <c r="L2073" t="s">
        <v>7</v>
      </c>
      <c r="M2073">
        <v>2020</v>
      </c>
      <c r="N2073" s="1">
        <v>44644</v>
      </c>
      <c r="O2073" t="s">
        <v>9982</v>
      </c>
      <c r="P2073">
        <v>1</v>
      </c>
      <c r="Q2073" t="s">
        <v>8096</v>
      </c>
      <c r="S2073">
        <v>227.95</v>
      </c>
      <c r="T2073">
        <v>260</v>
      </c>
      <c r="U2073">
        <v>200</v>
      </c>
      <c r="V2073" t="s">
        <v>305</v>
      </c>
      <c r="W2073" t="s">
        <v>650</v>
      </c>
      <c r="X2073" t="s">
        <v>650</v>
      </c>
      <c r="Y2073" t="s">
        <v>651</v>
      </c>
      <c r="AF2073" t="s">
        <v>13</v>
      </c>
      <c r="AG2073" t="str">
        <f>HYPERLINK("https://doi.org/10.1515/9781474455152?locatt=mode:legacy")</f>
        <v>https://doi.org/10.1515/9781474455152?locatt=mode:legacy</v>
      </c>
      <c r="AH2073" t="str">
        <f>HYPERLINK("http://www.degruyter.com/isbn/9781474455152")</f>
        <v>http://www.degruyter.com/isbn/9781474455152</v>
      </c>
      <c r="AI2073" t="s">
        <v>3672</v>
      </c>
      <c r="AL2073" t="s">
        <v>308</v>
      </c>
      <c r="AM2073">
        <v>1</v>
      </c>
      <c r="AN2073" s="2">
        <v>9781474455138</v>
      </c>
    </row>
    <row r="2074" spans="1:40" x14ac:dyDescent="0.3">
      <c r="A2074" t="s">
        <v>9983</v>
      </c>
      <c r="B2074" t="s">
        <v>1</v>
      </c>
      <c r="C2074" t="s">
        <v>9984</v>
      </c>
      <c r="D2074" t="s">
        <v>9985</v>
      </c>
      <c r="E2074" t="s">
        <v>9986</v>
      </c>
      <c r="F2074" t="s">
        <v>5</v>
      </c>
      <c r="G2074" t="s">
        <v>6</v>
      </c>
      <c r="L2074" t="s">
        <v>7</v>
      </c>
      <c r="M2074">
        <v>2005</v>
      </c>
      <c r="N2074" s="1">
        <v>38694</v>
      </c>
      <c r="O2074" t="s">
        <v>9987</v>
      </c>
      <c r="P2074">
        <v>1</v>
      </c>
      <c r="Q2074" t="s">
        <v>6785</v>
      </c>
      <c r="S2074">
        <v>217.95</v>
      </c>
      <c r="T2074">
        <v>250</v>
      </c>
      <c r="U2074">
        <v>190</v>
      </c>
      <c r="V2074" t="s">
        <v>58</v>
      </c>
      <c r="W2074" t="s">
        <v>59</v>
      </c>
      <c r="X2074" t="s">
        <v>60</v>
      </c>
      <c r="Y2074" t="s">
        <v>145</v>
      </c>
      <c r="AF2074" t="s">
        <v>13</v>
      </c>
      <c r="AG2074" t="str">
        <f>HYPERLINK("https://doi.org/10.1515/9781474468015")</f>
        <v>https://doi.org/10.1515/9781474468015</v>
      </c>
      <c r="AH2074" t="str">
        <f>HYPERLINK("http://www.degruyter.com/isbn/9781474468015")</f>
        <v>http://www.degruyter.com/isbn/9781474468015</v>
      </c>
      <c r="AI2074" t="s">
        <v>68</v>
      </c>
      <c r="AL2074" t="s">
        <v>62</v>
      </c>
      <c r="AM2074">
        <v>1</v>
      </c>
      <c r="AN2074" s="2">
        <v>9780748619818</v>
      </c>
    </row>
    <row r="2075" spans="1:40" x14ac:dyDescent="0.3">
      <c r="A2075" t="s">
        <v>9988</v>
      </c>
      <c r="B2075" t="s">
        <v>1</v>
      </c>
      <c r="C2075" t="s">
        <v>9989</v>
      </c>
      <c r="E2075" t="s">
        <v>9990</v>
      </c>
      <c r="F2075" t="s">
        <v>5</v>
      </c>
      <c r="G2075" t="s">
        <v>6</v>
      </c>
      <c r="L2075" t="s">
        <v>7</v>
      </c>
      <c r="M2075">
        <v>2016</v>
      </c>
      <c r="N2075" s="1">
        <v>42500</v>
      </c>
      <c r="O2075" t="s">
        <v>9991</v>
      </c>
      <c r="P2075">
        <v>1</v>
      </c>
      <c r="Q2075" t="s">
        <v>7887</v>
      </c>
      <c r="S2075">
        <v>243.95</v>
      </c>
      <c r="T2075">
        <v>280</v>
      </c>
      <c r="U2075">
        <v>210</v>
      </c>
      <c r="V2075" t="s">
        <v>20</v>
      </c>
      <c r="W2075" t="s">
        <v>21</v>
      </c>
      <c r="X2075" t="s">
        <v>22</v>
      </c>
      <c r="Y2075" t="s">
        <v>23</v>
      </c>
      <c r="AF2075" t="s">
        <v>13</v>
      </c>
      <c r="AG2075" t="str">
        <f>HYPERLINK("https://doi.org/10.1515/9781474410670")</f>
        <v>https://doi.org/10.1515/9781474410670</v>
      </c>
      <c r="AH2075" t="str">
        <f>HYPERLINK("http://www.degruyter.com/isbn/9781474410670")</f>
        <v>http://www.degruyter.com/isbn/9781474410670</v>
      </c>
      <c r="AI2075" t="s">
        <v>180</v>
      </c>
      <c r="AL2075" t="s">
        <v>15</v>
      </c>
      <c r="AM2075">
        <v>1</v>
      </c>
      <c r="AN2075" s="2">
        <v>9781474410663</v>
      </c>
    </row>
    <row r="2076" spans="1:40" x14ac:dyDescent="0.3">
      <c r="A2076" t="s">
        <v>9992</v>
      </c>
      <c r="B2076" t="s">
        <v>1</v>
      </c>
      <c r="C2076" t="s">
        <v>9993</v>
      </c>
      <c r="D2076" t="s">
        <v>9994</v>
      </c>
      <c r="E2076" t="s">
        <v>9995</v>
      </c>
      <c r="F2076" t="s">
        <v>5</v>
      </c>
      <c r="G2076" t="s">
        <v>6</v>
      </c>
      <c r="L2076" t="s">
        <v>7</v>
      </c>
      <c r="M2076">
        <v>2016</v>
      </c>
      <c r="N2076" s="1">
        <v>42412</v>
      </c>
      <c r="O2076" t="s">
        <v>9996</v>
      </c>
      <c r="P2076">
        <v>1</v>
      </c>
      <c r="Q2076" t="s">
        <v>7283</v>
      </c>
      <c r="S2076">
        <v>217.95</v>
      </c>
      <c r="T2076">
        <v>250</v>
      </c>
      <c r="U2076">
        <v>190</v>
      </c>
      <c r="V2076" t="s">
        <v>305</v>
      </c>
      <c r="W2076" t="s">
        <v>650</v>
      </c>
      <c r="X2076" t="s">
        <v>650</v>
      </c>
      <c r="Y2076" t="s">
        <v>651</v>
      </c>
      <c r="AF2076" t="s">
        <v>13</v>
      </c>
      <c r="AG2076" t="str">
        <f>HYPERLINK("https://doi.org/10.1515/9781474403368?locatt=mode:legacy")</f>
        <v>https://doi.org/10.1515/9781474403368?locatt=mode:legacy</v>
      </c>
      <c r="AH2076" t="str">
        <f>HYPERLINK("http://www.degruyter.com/isbn/9781474403368")</f>
        <v>http://www.degruyter.com/isbn/9781474403368</v>
      </c>
      <c r="AI2076" t="s">
        <v>180</v>
      </c>
      <c r="AL2076" t="s">
        <v>308</v>
      </c>
      <c r="AM2076">
        <v>1</v>
      </c>
      <c r="AN2076" s="2">
        <v>9781474403351</v>
      </c>
    </row>
    <row r="2077" spans="1:40" x14ac:dyDescent="0.3">
      <c r="A2077" t="s">
        <v>9997</v>
      </c>
      <c r="B2077" t="s">
        <v>1</v>
      </c>
      <c r="C2077" t="s">
        <v>9998</v>
      </c>
      <c r="D2077" t="s">
        <v>9999</v>
      </c>
      <c r="E2077" t="s">
        <v>10000</v>
      </c>
      <c r="F2077" t="s">
        <v>5</v>
      </c>
      <c r="G2077" t="s">
        <v>6</v>
      </c>
      <c r="L2077" t="s">
        <v>7</v>
      </c>
      <c r="M2077">
        <v>2019</v>
      </c>
      <c r="N2077" s="1">
        <v>44644</v>
      </c>
      <c r="O2077" t="s">
        <v>10001</v>
      </c>
      <c r="P2077">
        <v>1</v>
      </c>
      <c r="Q2077" t="s">
        <v>7019</v>
      </c>
      <c r="S2077">
        <v>227.95</v>
      </c>
      <c r="T2077">
        <v>260</v>
      </c>
      <c r="U2077">
        <v>200</v>
      </c>
      <c r="V2077" t="s">
        <v>42</v>
      </c>
      <c r="W2077" t="s">
        <v>107</v>
      </c>
      <c r="X2077" t="s">
        <v>108</v>
      </c>
      <c r="Y2077" t="s">
        <v>952</v>
      </c>
      <c r="AF2077" t="s">
        <v>13</v>
      </c>
      <c r="AG2077" t="str">
        <f>HYPERLINK("https://doi.org/10.1515/9781474428583?locatt=mode:legacy")</f>
        <v>https://doi.org/10.1515/9781474428583?locatt=mode:legacy</v>
      </c>
      <c r="AH2077" t="str">
        <f>HYPERLINK("http://www.degruyter.com/isbn/9781474428583")</f>
        <v>http://www.degruyter.com/isbn/9781474428583</v>
      </c>
      <c r="AI2077" t="s">
        <v>280</v>
      </c>
      <c r="AL2077" t="s">
        <v>47</v>
      </c>
      <c r="AM2077">
        <v>1</v>
      </c>
      <c r="AN2077" s="2">
        <v>9781474428569</v>
      </c>
    </row>
    <row r="2078" spans="1:40" x14ac:dyDescent="0.3">
      <c r="A2078" t="s">
        <v>10002</v>
      </c>
      <c r="B2078" t="s">
        <v>1</v>
      </c>
      <c r="C2078" t="s">
        <v>6983</v>
      </c>
      <c r="D2078" t="s">
        <v>10003</v>
      </c>
      <c r="E2078" t="s">
        <v>6985</v>
      </c>
      <c r="F2078" t="s">
        <v>5</v>
      </c>
      <c r="G2078" t="s">
        <v>6</v>
      </c>
      <c r="L2078" t="s">
        <v>7</v>
      </c>
      <c r="M2078">
        <v>2021</v>
      </c>
      <c r="N2078" s="1">
        <v>44656</v>
      </c>
      <c r="O2078" t="s">
        <v>10004</v>
      </c>
      <c r="P2078">
        <v>1</v>
      </c>
      <c r="Q2078" t="s">
        <v>6987</v>
      </c>
      <c r="S2078">
        <v>227.95</v>
      </c>
      <c r="T2078">
        <v>260</v>
      </c>
      <c r="U2078">
        <v>200</v>
      </c>
      <c r="V2078" t="s">
        <v>9</v>
      </c>
      <c r="W2078" t="s">
        <v>10</v>
      </c>
      <c r="X2078" t="s">
        <v>11</v>
      </c>
      <c r="Y2078" t="s">
        <v>52</v>
      </c>
      <c r="AF2078" t="s">
        <v>13</v>
      </c>
      <c r="AG2078" t="str">
        <f>HYPERLINK("https://doi.org/10.1515/9781474437257")</f>
        <v>https://doi.org/10.1515/9781474437257</v>
      </c>
      <c r="AH2078" t="str">
        <f>HYPERLINK("http://www.degruyter.com/isbn/9781474437257")</f>
        <v>http://www.degruyter.com/isbn/9781474437257</v>
      </c>
      <c r="AI2078" t="s">
        <v>908</v>
      </c>
      <c r="AL2078" t="s">
        <v>15</v>
      </c>
      <c r="AM2078">
        <v>1</v>
      </c>
      <c r="AN2078" s="2">
        <v>9781474437233</v>
      </c>
    </row>
    <row r="2079" spans="1:40" x14ac:dyDescent="0.3">
      <c r="A2079" t="s">
        <v>10005</v>
      </c>
      <c r="B2079" t="s">
        <v>1</v>
      </c>
      <c r="C2079" t="s">
        <v>10006</v>
      </c>
      <c r="E2079" t="s">
        <v>10007</v>
      </c>
      <c r="F2079" t="s">
        <v>5</v>
      </c>
      <c r="G2079" t="s">
        <v>6</v>
      </c>
      <c r="L2079" t="s">
        <v>7</v>
      </c>
      <c r="M2079">
        <v>2018</v>
      </c>
      <c r="N2079" s="1">
        <v>44644</v>
      </c>
      <c r="O2079" t="s">
        <v>10008</v>
      </c>
      <c r="P2079">
        <v>1</v>
      </c>
      <c r="Q2079" t="s">
        <v>8994</v>
      </c>
      <c r="S2079">
        <v>417.95</v>
      </c>
      <c r="T2079">
        <v>480</v>
      </c>
      <c r="U2079">
        <v>370</v>
      </c>
      <c r="V2079" t="s">
        <v>20</v>
      </c>
      <c r="W2079" t="s">
        <v>21</v>
      </c>
      <c r="X2079" t="s">
        <v>3919</v>
      </c>
      <c r="Y2079" t="s">
        <v>9109</v>
      </c>
      <c r="AF2079" t="s">
        <v>13</v>
      </c>
      <c r="AG2079" t="str">
        <f>HYPERLINK("https://doi.org/10.1515/9781474428064")</f>
        <v>https://doi.org/10.1515/9781474428064</v>
      </c>
      <c r="AH2079" t="str">
        <f>HYPERLINK("http://www.degruyter.com/isbn/9781474428064")</f>
        <v>http://www.degruyter.com/isbn/9781474428064</v>
      </c>
      <c r="AI2079" t="s">
        <v>46</v>
      </c>
      <c r="AL2079" t="s">
        <v>15</v>
      </c>
      <c r="AM2079">
        <v>1</v>
      </c>
      <c r="AN2079" s="2">
        <v>9781474428057</v>
      </c>
    </row>
    <row r="2080" spans="1:40" x14ac:dyDescent="0.3">
      <c r="A2080" t="s">
        <v>10009</v>
      </c>
      <c r="B2080" t="s">
        <v>1</v>
      </c>
      <c r="C2080" t="s">
        <v>10010</v>
      </c>
      <c r="E2080" t="s">
        <v>10011</v>
      </c>
      <c r="F2080" t="s">
        <v>5</v>
      </c>
      <c r="G2080" t="s">
        <v>6</v>
      </c>
      <c r="L2080" t="s">
        <v>7</v>
      </c>
      <c r="M2080">
        <v>2017</v>
      </c>
      <c r="N2080" s="1">
        <v>42760</v>
      </c>
      <c r="O2080" t="s">
        <v>10012</v>
      </c>
      <c r="P2080">
        <v>1</v>
      </c>
      <c r="Q2080" t="s">
        <v>7887</v>
      </c>
      <c r="S2080">
        <v>243.95</v>
      </c>
      <c r="T2080">
        <v>280</v>
      </c>
      <c r="U2080">
        <v>210</v>
      </c>
      <c r="V2080" t="s">
        <v>20</v>
      </c>
      <c r="W2080" t="s">
        <v>21</v>
      </c>
      <c r="X2080" t="s">
        <v>1252</v>
      </c>
      <c r="Y2080" t="s">
        <v>1253</v>
      </c>
      <c r="AF2080" t="s">
        <v>13</v>
      </c>
      <c r="AG2080" t="str">
        <f>HYPERLINK("https://doi.org/10.1515/9781474403702")</f>
        <v>https://doi.org/10.1515/9781474403702</v>
      </c>
      <c r="AH2080" t="str">
        <f>HYPERLINK("http://www.degruyter.com/isbn/9781474403702")</f>
        <v>http://www.degruyter.com/isbn/9781474403702</v>
      </c>
      <c r="AI2080" t="s">
        <v>222</v>
      </c>
      <c r="AJ2080" t="s">
        <v>35</v>
      </c>
      <c r="AL2080" t="s">
        <v>1346</v>
      </c>
      <c r="AM2080">
        <v>1</v>
      </c>
      <c r="AN2080" s="2">
        <v>9781474403689</v>
      </c>
    </row>
    <row r="2081" spans="1:40" x14ac:dyDescent="0.3">
      <c r="A2081" t="s">
        <v>10013</v>
      </c>
      <c r="B2081" t="s">
        <v>1</v>
      </c>
      <c r="C2081" t="s">
        <v>10014</v>
      </c>
      <c r="D2081" t="s">
        <v>10015</v>
      </c>
      <c r="E2081" t="s">
        <v>10016</v>
      </c>
      <c r="F2081" t="s">
        <v>5</v>
      </c>
      <c r="G2081" t="s">
        <v>6</v>
      </c>
      <c r="L2081" t="s">
        <v>7</v>
      </c>
      <c r="M2081">
        <v>2018</v>
      </c>
      <c r="N2081" s="1">
        <v>44644</v>
      </c>
      <c r="O2081" t="s">
        <v>10017</v>
      </c>
      <c r="P2081">
        <v>1</v>
      </c>
      <c r="Q2081" t="s">
        <v>5764</v>
      </c>
      <c r="S2081">
        <v>217.95</v>
      </c>
      <c r="T2081">
        <v>250</v>
      </c>
      <c r="U2081">
        <v>190</v>
      </c>
      <c r="V2081" t="s">
        <v>9</v>
      </c>
      <c r="W2081" t="s">
        <v>10</v>
      </c>
      <c r="X2081" t="s">
        <v>11</v>
      </c>
      <c r="Y2081" t="s">
        <v>52</v>
      </c>
      <c r="AF2081" t="s">
        <v>13</v>
      </c>
      <c r="AG2081" t="str">
        <f>HYPERLINK("https://doi.org/10.1515/9781474420631?locatt=mode:legacy")</f>
        <v>https://doi.org/10.1515/9781474420631?locatt=mode:legacy</v>
      </c>
      <c r="AH2081" t="str">
        <f>HYPERLINK("http://www.degruyter.com/isbn/9781474420631")</f>
        <v>http://www.degruyter.com/isbn/9781474420631</v>
      </c>
      <c r="AI2081" t="s">
        <v>46</v>
      </c>
      <c r="AL2081" t="s">
        <v>15</v>
      </c>
      <c r="AM2081">
        <v>1</v>
      </c>
      <c r="AN2081" s="2">
        <v>9781474420624</v>
      </c>
    </row>
    <row r="2082" spans="1:40" x14ac:dyDescent="0.3">
      <c r="A2082" t="s">
        <v>10018</v>
      </c>
      <c r="B2082" t="s">
        <v>1</v>
      </c>
      <c r="C2082" t="s">
        <v>10019</v>
      </c>
      <c r="E2082" t="s">
        <v>10020</v>
      </c>
      <c r="F2082" t="s">
        <v>5</v>
      </c>
      <c r="G2082" t="s">
        <v>6</v>
      </c>
      <c r="L2082" t="s">
        <v>7</v>
      </c>
      <c r="M2082">
        <v>2012</v>
      </c>
      <c r="N2082" s="1">
        <v>41234</v>
      </c>
      <c r="O2082" t="s">
        <v>10021</v>
      </c>
      <c r="P2082">
        <v>1</v>
      </c>
      <c r="Q2082" t="s">
        <v>7362</v>
      </c>
      <c r="S2082">
        <v>227.95</v>
      </c>
      <c r="T2082">
        <v>260</v>
      </c>
      <c r="U2082">
        <v>200</v>
      </c>
      <c r="V2082" t="s">
        <v>79</v>
      </c>
      <c r="W2082" t="s">
        <v>783</v>
      </c>
      <c r="X2082" t="s">
        <v>783</v>
      </c>
      <c r="Y2082" t="s">
        <v>784</v>
      </c>
      <c r="AF2082" t="s">
        <v>13</v>
      </c>
      <c r="AG2082" t="str">
        <f>HYPERLINK("https://doi.org/10.1515/9780748644599")</f>
        <v>https://doi.org/10.1515/9780748644599</v>
      </c>
      <c r="AH2082" t="str">
        <f>HYPERLINK("http://www.degruyter.com/isbn/9780748644599")</f>
        <v>http://www.degruyter.com/isbn/9780748644599</v>
      </c>
      <c r="AI2082" t="s">
        <v>68</v>
      </c>
      <c r="AL2082" t="s">
        <v>83</v>
      </c>
      <c r="AM2082">
        <v>1</v>
      </c>
      <c r="AN2082" s="2">
        <v>9780748644582</v>
      </c>
    </row>
    <row r="2083" spans="1:40" x14ac:dyDescent="0.3">
      <c r="A2083" t="s">
        <v>10022</v>
      </c>
      <c r="B2083" t="s">
        <v>1</v>
      </c>
      <c r="C2083" t="s">
        <v>10023</v>
      </c>
      <c r="E2083" t="s">
        <v>10024</v>
      </c>
      <c r="F2083" t="s">
        <v>5</v>
      </c>
      <c r="G2083" t="s">
        <v>6</v>
      </c>
      <c r="L2083" t="s">
        <v>7</v>
      </c>
      <c r="M2083">
        <v>2005</v>
      </c>
      <c r="N2083" s="1">
        <v>38518</v>
      </c>
      <c r="O2083" t="s">
        <v>10025</v>
      </c>
      <c r="P2083">
        <v>1</v>
      </c>
      <c r="Q2083" t="s">
        <v>6418</v>
      </c>
      <c r="S2083">
        <v>253.95</v>
      </c>
      <c r="T2083">
        <v>290</v>
      </c>
      <c r="U2083">
        <v>220</v>
      </c>
      <c r="V2083" t="s">
        <v>79</v>
      </c>
      <c r="W2083" t="s">
        <v>209</v>
      </c>
      <c r="X2083" t="s">
        <v>209</v>
      </c>
      <c r="Y2083" t="s">
        <v>510</v>
      </c>
      <c r="AF2083" t="s">
        <v>13</v>
      </c>
      <c r="AG2083" t="str">
        <f>HYPERLINK("https://doi.org/10.1515/9781474480956")</f>
        <v>https://doi.org/10.1515/9781474480956</v>
      </c>
      <c r="AH2083" t="str">
        <f>HYPERLINK("http://www.degruyter.com/isbn/9781474480956")</f>
        <v>http://www.degruyter.com/isbn/9781474480956</v>
      </c>
      <c r="AI2083" t="s">
        <v>68</v>
      </c>
      <c r="AL2083" t="s">
        <v>83</v>
      </c>
      <c r="AM2083">
        <v>1</v>
      </c>
      <c r="AN2083" s="2">
        <v>9780748618927</v>
      </c>
    </row>
    <row r="2084" spans="1:40" x14ac:dyDescent="0.3">
      <c r="A2084" t="s">
        <v>10026</v>
      </c>
      <c r="B2084" t="s">
        <v>1</v>
      </c>
      <c r="C2084" t="s">
        <v>10027</v>
      </c>
      <c r="D2084" t="s">
        <v>10028</v>
      </c>
      <c r="E2084" t="s">
        <v>10029</v>
      </c>
      <c r="F2084" t="s">
        <v>5</v>
      </c>
      <c r="G2084" t="s">
        <v>6</v>
      </c>
      <c r="L2084" t="s">
        <v>7</v>
      </c>
      <c r="M2084">
        <v>1996</v>
      </c>
      <c r="N2084" s="1">
        <v>44607</v>
      </c>
      <c r="O2084" t="s">
        <v>10030</v>
      </c>
      <c r="P2084">
        <v>1</v>
      </c>
      <c r="Q2084" t="s">
        <v>8002</v>
      </c>
      <c r="S2084">
        <v>217.95</v>
      </c>
      <c r="T2084">
        <v>250</v>
      </c>
      <c r="U2084">
        <v>190</v>
      </c>
      <c r="V2084" t="s">
        <v>42</v>
      </c>
      <c r="W2084" t="s">
        <v>107</v>
      </c>
      <c r="X2084" t="s">
        <v>108</v>
      </c>
      <c r="Y2084" t="s">
        <v>109</v>
      </c>
      <c r="AF2084" t="s">
        <v>13</v>
      </c>
      <c r="AG2084" t="str">
        <f>HYPERLINK("https://www.degruyter.com/isbn/9781474471251")</f>
        <v>https://www.degruyter.com/isbn/9781474471251</v>
      </c>
      <c r="AH2084" t="str">
        <f>HYPERLINK("http://www.degruyter.com/isbn/9781474471251")</f>
        <v>http://www.degruyter.com/isbn/9781474471251</v>
      </c>
      <c r="AI2084" t="s">
        <v>24</v>
      </c>
      <c r="AL2084" t="s">
        <v>47</v>
      </c>
      <c r="AM2084">
        <v>1</v>
      </c>
      <c r="AN2084" s="2">
        <v>9781853311062</v>
      </c>
    </row>
    <row r="2085" spans="1:40" x14ac:dyDescent="0.3">
      <c r="A2085" t="s">
        <v>10031</v>
      </c>
      <c r="B2085" t="s">
        <v>1</v>
      </c>
      <c r="C2085" t="s">
        <v>10032</v>
      </c>
      <c r="E2085" t="s">
        <v>10033</v>
      </c>
      <c r="F2085" t="s">
        <v>5</v>
      </c>
      <c r="G2085" t="s">
        <v>6</v>
      </c>
      <c r="L2085" t="s">
        <v>7</v>
      </c>
      <c r="M2085">
        <v>2016</v>
      </c>
      <c r="N2085" s="1">
        <v>43109</v>
      </c>
      <c r="O2085" t="s">
        <v>7565</v>
      </c>
      <c r="P2085">
        <v>1</v>
      </c>
      <c r="Q2085" t="s">
        <v>10034</v>
      </c>
      <c r="S2085">
        <v>217.95</v>
      </c>
      <c r="T2085">
        <v>250</v>
      </c>
      <c r="U2085">
        <v>190</v>
      </c>
      <c r="V2085" t="s">
        <v>20</v>
      </c>
      <c r="W2085" t="s">
        <v>21</v>
      </c>
      <c r="X2085" t="s">
        <v>22</v>
      </c>
      <c r="Y2085" t="s">
        <v>489</v>
      </c>
      <c r="AF2085" t="s">
        <v>13</v>
      </c>
      <c r="AG2085" t="str">
        <f>HYPERLINK("https://doi.org/10.1515/9781474407472")</f>
        <v>https://doi.org/10.1515/9781474407472</v>
      </c>
      <c r="AH2085" t="str">
        <f>HYPERLINK("http://www.degruyter.com/isbn/9781474407472")</f>
        <v>http://www.degruyter.com/isbn/9781474407472</v>
      </c>
      <c r="AI2085" t="s">
        <v>180</v>
      </c>
      <c r="AL2085" t="s">
        <v>15</v>
      </c>
      <c r="AM2085">
        <v>1</v>
      </c>
      <c r="AN2085" s="2">
        <v>9781474407465</v>
      </c>
    </row>
    <row r="2086" spans="1:40" x14ac:dyDescent="0.3">
      <c r="A2086" t="s">
        <v>10035</v>
      </c>
      <c r="B2086" t="s">
        <v>1</v>
      </c>
      <c r="C2086" t="s">
        <v>10036</v>
      </c>
      <c r="D2086" t="s">
        <v>10037</v>
      </c>
      <c r="E2086" t="s">
        <v>10038</v>
      </c>
      <c r="F2086" t="s">
        <v>5</v>
      </c>
      <c r="G2086" t="s">
        <v>6</v>
      </c>
      <c r="L2086" t="s">
        <v>7</v>
      </c>
      <c r="M2086">
        <v>2013</v>
      </c>
      <c r="N2086" s="1">
        <v>41289</v>
      </c>
      <c r="O2086" t="s">
        <v>10039</v>
      </c>
      <c r="P2086">
        <v>1</v>
      </c>
      <c r="Q2086" t="s">
        <v>7529</v>
      </c>
      <c r="S2086">
        <v>253.95</v>
      </c>
      <c r="T2086">
        <v>290</v>
      </c>
      <c r="U2086">
        <v>220</v>
      </c>
      <c r="V2086" t="s">
        <v>329</v>
      </c>
      <c r="W2086" t="s">
        <v>330</v>
      </c>
      <c r="X2086" t="s">
        <v>331</v>
      </c>
      <c r="Y2086" t="s">
        <v>1035</v>
      </c>
      <c r="AF2086" t="s">
        <v>13</v>
      </c>
      <c r="AG2086" t="str">
        <f>HYPERLINK("https://doi.org/10.1515/9780748631759")</f>
        <v>https://doi.org/10.1515/9780748631759</v>
      </c>
      <c r="AH2086" t="str">
        <f>HYPERLINK("http://www.degruyter.com/isbn/9780748631759")</f>
        <v>http://www.degruyter.com/isbn/9780748631759</v>
      </c>
      <c r="AI2086" t="s">
        <v>68</v>
      </c>
      <c r="AL2086" t="s">
        <v>333</v>
      </c>
      <c r="AM2086">
        <v>1</v>
      </c>
      <c r="AN2086" s="2">
        <v>9780748627905</v>
      </c>
    </row>
    <row r="2087" spans="1:40" x14ac:dyDescent="0.3">
      <c r="A2087" t="s">
        <v>10040</v>
      </c>
      <c r="B2087" t="s">
        <v>1</v>
      </c>
      <c r="C2087" t="s">
        <v>10041</v>
      </c>
      <c r="D2087" t="s">
        <v>10042</v>
      </c>
      <c r="E2087" t="s">
        <v>10043</v>
      </c>
      <c r="F2087" t="s">
        <v>5</v>
      </c>
      <c r="G2087" t="s">
        <v>6</v>
      </c>
      <c r="L2087" t="s">
        <v>7</v>
      </c>
      <c r="M2087">
        <v>2012</v>
      </c>
      <c r="N2087" s="1">
        <v>41127</v>
      </c>
      <c r="O2087" t="s">
        <v>10044</v>
      </c>
      <c r="P2087">
        <v>1</v>
      </c>
      <c r="Q2087" t="s">
        <v>6785</v>
      </c>
      <c r="S2087">
        <v>243.95</v>
      </c>
      <c r="T2087">
        <v>280</v>
      </c>
      <c r="U2087">
        <v>210</v>
      </c>
      <c r="V2087" t="s">
        <v>79</v>
      </c>
      <c r="W2087" t="s">
        <v>123</v>
      </c>
      <c r="X2087" t="s">
        <v>123</v>
      </c>
      <c r="Y2087" t="s">
        <v>124</v>
      </c>
      <c r="AF2087" t="s">
        <v>13</v>
      </c>
      <c r="AG2087" t="str">
        <f>HYPERLINK("https://doi.org/10.1515/9780748655588?locatt=mode:legacy")</f>
        <v>https://doi.org/10.1515/9780748655588?locatt=mode:legacy</v>
      </c>
      <c r="AH2087" t="str">
        <f>HYPERLINK("http://www.degruyter.com/isbn/9780748655588")</f>
        <v>http://www.degruyter.com/isbn/9780748655588</v>
      </c>
      <c r="AI2087" t="s">
        <v>68</v>
      </c>
      <c r="AL2087" t="s">
        <v>83</v>
      </c>
      <c r="AM2087">
        <v>1</v>
      </c>
      <c r="AN2087" s="2">
        <v>9780748639847</v>
      </c>
    </row>
    <row r="2088" spans="1:40" x14ac:dyDescent="0.3">
      <c r="A2088" t="s">
        <v>10045</v>
      </c>
      <c r="B2088" t="s">
        <v>1</v>
      </c>
      <c r="C2088" t="s">
        <v>10046</v>
      </c>
      <c r="D2088" t="s">
        <v>10047</v>
      </c>
      <c r="E2088" t="s">
        <v>10048</v>
      </c>
      <c r="F2088" t="s">
        <v>5</v>
      </c>
      <c r="G2088" t="s">
        <v>6</v>
      </c>
      <c r="L2088" t="s">
        <v>7</v>
      </c>
      <c r="M2088">
        <v>2018</v>
      </c>
      <c r="N2088" s="1">
        <v>44656</v>
      </c>
      <c r="O2088" t="s">
        <v>10049</v>
      </c>
      <c r="P2088">
        <v>1</v>
      </c>
      <c r="Q2088" t="s">
        <v>9122</v>
      </c>
      <c r="S2088">
        <v>261.95</v>
      </c>
      <c r="T2088">
        <v>300</v>
      </c>
      <c r="U2088">
        <v>230</v>
      </c>
      <c r="V2088" t="s">
        <v>847</v>
      </c>
      <c r="W2088" t="s">
        <v>848</v>
      </c>
      <c r="X2088" t="s">
        <v>20</v>
      </c>
      <c r="Y2088" t="s">
        <v>3205</v>
      </c>
      <c r="AF2088" t="s">
        <v>13</v>
      </c>
      <c r="AG2088" t="str">
        <f>HYPERLINK("https://doi.org/10.1515/9781474416511")</f>
        <v>https://doi.org/10.1515/9781474416511</v>
      </c>
      <c r="AH2088" t="str">
        <f>HYPERLINK("http://www.degruyter.com/isbn/9781474416511")</f>
        <v>http://www.degruyter.com/isbn/9781474416511</v>
      </c>
      <c r="AI2088" t="s">
        <v>46</v>
      </c>
      <c r="AL2088" t="s">
        <v>1070</v>
      </c>
      <c r="AM2088">
        <v>1</v>
      </c>
      <c r="AN2088" s="2">
        <v>9781474416504</v>
      </c>
    </row>
    <row r="2089" spans="1:40" x14ac:dyDescent="0.3">
      <c r="A2089" t="s">
        <v>10050</v>
      </c>
      <c r="B2089" t="s">
        <v>1</v>
      </c>
      <c r="C2089" t="s">
        <v>10051</v>
      </c>
      <c r="D2089" t="s">
        <v>10052</v>
      </c>
      <c r="E2089" t="s">
        <v>10053</v>
      </c>
      <c r="F2089" t="s">
        <v>5</v>
      </c>
      <c r="G2089" t="s">
        <v>6</v>
      </c>
      <c r="L2089" t="s">
        <v>7</v>
      </c>
      <c r="M2089">
        <v>2017</v>
      </c>
      <c r="N2089" s="1">
        <v>42871</v>
      </c>
      <c r="O2089" t="s">
        <v>10054</v>
      </c>
      <c r="P2089">
        <v>1</v>
      </c>
      <c r="Q2089" t="s">
        <v>6876</v>
      </c>
      <c r="S2089">
        <v>217.95</v>
      </c>
      <c r="T2089">
        <v>250</v>
      </c>
      <c r="U2089">
        <v>190</v>
      </c>
      <c r="V2089" t="s">
        <v>42</v>
      </c>
      <c r="W2089" t="s">
        <v>161</v>
      </c>
      <c r="X2089" t="s">
        <v>162</v>
      </c>
      <c r="Y2089" t="s">
        <v>393</v>
      </c>
      <c r="AF2089" t="s">
        <v>13</v>
      </c>
      <c r="AG2089" t="str">
        <f>HYPERLINK("https://doi.org/10.1515/9781474421409?locatt=mode:legacy")</f>
        <v>https://doi.org/10.1515/9781474421409?locatt=mode:legacy</v>
      </c>
      <c r="AH2089" t="str">
        <f>HYPERLINK("http://www.degruyter.com/isbn/9781474421409")</f>
        <v>http://www.degruyter.com/isbn/9781474421409</v>
      </c>
      <c r="AI2089" t="s">
        <v>222</v>
      </c>
      <c r="AL2089" t="s">
        <v>47</v>
      </c>
      <c r="AM2089">
        <v>1</v>
      </c>
      <c r="AN2089" s="2">
        <v>9781474421393</v>
      </c>
    </row>
    <row r="2090" spans="1:40" x14ac:dyDescent="0.3">
      <c r="A2090" t="s">
        <v>10055</v>
      </c>
      <c r="B2090" t="s">
        <v>1</v>
      </c>
      <c r="C2090" t="s">
        <v>10056</v>
      </c>
      <c r="D2090" t="s">
        <v>10057</v>
      </c>
      <c r="E2090" t="s">
        <v>10058</v>
      </c>
      <c r="F2090" t="s">
        <v>5</v>
      </c>
      <c r="G2090" t="s">
        <v>6</v>
      </c>
      <c r="L2090" t="s">
        <v>7</v>
      </c>
      <c r="M2090">
        <v>2020</v>
      </c>
      <c r="N2090" s="1">
        <v>44644</v>
      </c>
      <c r="O2090" t="s">
        <v>10059</v>
      </c>
      <c r="P2090">
        <v>1</v>
      </c>
      <c r="Q2090" t="s">
        <v>8081</v>
      </c>
      <c r="S2090">
        <v>217.95</v>
      </c>
      <c r="T2090">
        <v>250</v>
      </c>
      <c r="U2090">
        <v>190</v>
      </c>
      <c r="V2090" t="s">
        <v>20</v>
      </c>
      <c r="W2090" t="s">
        <v>21</v>
      </c>
      <c r="X2090" t="s">
        <v>22</v>
      </c>
      <c r="Y2090" t="s">
        <v>23</v>
      </c>
      <c r="AF2090" t="s">
        <v>13</v>
      </c>
      <c r="AG2090" t="str">
        <f>HYPERLINK("https://doi.org/10.1515/9781474466240")</f>
        <v>https://doi.org/10.1515/9781474466240</v>
      </c>
      <c r="AH2090" t="str">
        <f>HYPERLINK("http://www.degruyter.com/isbn/9781474466240")</f>
        <v>http://www.degruyter.com/isbn/9781474466240</v>
      </c>
      <c r="AI2090" t="s">
        <v>14</v>
      </c>
      <c r="AL2090" t="s">
        <v>15</v>
      </c>
      <c r="AM2090">
        <v>1</v>
      </c>
      <c r="AN2090" s="2">
        <v>9781474466226</v>
      </c>
    </row>
    <row r="2091" spans="1:40" x14ac:dyDescent="0.3">
      <c r="A2091" t="s">
        <v>10060</v>
      </c>
      <c r="B2091" t="s">
        <v>1</v>
      </c>
      <c r="C2091" t="s">
        <v>10061</v>
      </c>
      <c r="D2091" t="s">
        <v>10062</v>
      </c>
      <c r="E2091" t="s">
        <v>10063</v>
      </c>
      <c r="F2091" t="s">
        <v>5</v>
      </c>
      <c r="G2091" t="s">
        <v>6</v>
      </c>
      <c r="L2091" t="s">
        <v>7</v>
      </c>
      <c r="M2091">
        <v>2018</v>
      </c>
      <c r="N2091" s="1">
        <v>44656</v>
      </c>
      <c r="O2091" t="s">
        <v>10064</v>
      </c>
      <c r="P2091">
        <v>1</v>
      </c>
      <c r="Q2091" t="s">
        <v>6815</v>
      </c>
      <c r="S2091">
        <v>217.95</v>
      </c>
      <c r="T2091">
        <v>250</v>
      </c>
      <c r="U2091">
        <v>190</v>
      </c>
      <c r="V2091" t="s">
        <v>20</v>
      </c>
      <c r="W2091" t="s">
        <v>556</v>
      </c>
      <c r="X2091" t="s">
        <v>1540</v>
      </c>
      <c r="Y2091" t="s">
        <v>2706</v>
      </c>
      <c r="AF2091" t="s">
        <v>13</v>
      </c>
      <c r="AG2091" t="str">
        <f>HYPERLINK("https://doi.org/10.1515/9781474405430")</f>
        <v>https://doi.org/10.1515/9781474405430</v>
      </c>
      <c r="AH2091" t="str">
        <f>HYPERLINK("http://www.degruyter.com/isbn/9781474405430")</f>
        <v>http://www.degruyter.com/isbn/9781474405430</v>
      </c>
      <c r="AI2091" t="s">
        <v>46</v>
      </c>
      <c r="AL2091" t="s">
        <v>15</v>
      </c>
      <c r="AM2091">
        <v>1</v>
      </c>
      <c r="AN2091" s="2">
        <v>9781474405416</v>
      </c>
    </row>
    <row r="2092" spans="1:40" x14ac:dyDescent="0.3">
      <c r="A2092" t="s">
        <v>10065</v>
      </c>
      <c r="B2092" t="s">
        <v>1</v>
      </c>
      <c r="C2092" t="s">
        <v>10066</v>
      </c>
      <c r="D2092" t="s">
        <v>10067</v>
      </c>
      <c r="E2092" t="s">
        <v>10068</v>
      </c>
      <c r="F2092" t="s">
        <v>5</v>
      </c>
      <c r="G2092" t="s">
        <v>6</v>
      </c>
      <c r="L2092" t="s">
        <v>7</v>
      </c>
      <c r="M2092">
        <v>2020</v>
      </c>
      <c r="N2092" s="1">
        <v>44644</v>
      </c>
      <c r="O2092" t="s">
        <v>10069</v>
      </c>
      <c r="P2092">
        <v>1</v>
      </c>
      <c r="Q2092" t="s">
        <v>6729</v>
      </c>
      <c r="S2092">
        <v>217.95</v>
      </c>
      <c r="T2092">
        <v>250</v>
      </c>
      <c r="U2092">
        <v>190</v>
      </c>
      <c r="V2092" t="s">
        <v>1325</v>
      </c>
      <c r="W2092" t="s">
        <v>2407</v>
      </c>
      <c r="X2092" t="s">
        <v>2407</v>
      </c>
      <c r="Y2092" t="s">
        <v>2408</v>
      </c>
      <c r="AF2092" t="s">
        <v>13</v>
      </c>
      <c r="AG2092" t="str">
        <f>HYPERLINK("https://doi.org/10.1515/9781474466943")</f>
        <v>https://doi.org/10.1515/9781474466943</v>
      </c>
      <c r="AH2092" t="str">
        <f>HYPERLINK("http://www.degruyter.com/isbn/9781474466943")</f>
        <v>http://www.degruyter.com/isbn/9781474466943</v>
      </c>
      <c r="AI2092" t="s">
        <v>10070</v>
      </c>
      <c r="AL2092" t="s">
        <v>1328</v>
      </c>
      <c r="AM2092">
        <v>1</v>
      </c>
      <c r="AN2092" s="2">
        <v>9781474466912</v>
      </c>
    </row>
    <row r="2093" spans="1:40" x14ac:dyDescent="0.3">
      <c r="A2093" t="s">
        <v>10071</v>
      </c>
      <c r="B2093" t="s">
        <v>1</v>
      </c>
      <c r="C2093" t="s">
        <v>10072</v>
      </c>
      <c r="E2093" t="s">
        <v>10073</v>
      </c>
      <c r="F2093" t="s">
        <v>5</v>
      </c>
      <c r="G2093" t="s">
        <v>6</v>
      </c>
      <c r="L2093" t="s">
        <v>7</v>
      </c>
      <c r="M2093">
        <v>2008</v>
      </c>
      <c r="N2093" s="1">
        <v>39632</v>
      </c>
      <c r="O2093" t="s">
        <v>10074</v>
      </c>
      <c r="P2093">
        <v>1</v>
      </c>
      <c r="Q2093" t="s">
        <v>7009</v>
      </c>
      <c r="S2093">
        <v>227.95</v>
      </c>
      <c r="T2093">
        <v>260</v>
      </c>
      <c r="U2093">
        <v>200</v>
      </c>
      <c r="V2093" t="s">
        <v>329</v>
      </c>
      <c r="W2093" t="s">
        <v>330</v>
      </c>
      <c r="X2093" t="s">
        <v>331</v>
      </c>
      <c r="Y2093" t="s">
        <v>1035</v>
      </c>
      <c r="AF2093" t="s">
        <v>13</v>
      </c>
      <c r="AG2093" t="str">
        <f>HYPERLINK("https://doi.org/10.1515/9780748629923")</f>
        <v>https://doi.org/10.1515/9780748629923</v>
      </c>
      <c r="AH2093" t="str">
        <f>HYPERLINK("http://www.degruyter.com/isbn/9780748629923")</f>
        <v>http://www.degruyter.com/isbn/9780748629923</v>
      </c>
      <c r="AI2093" t="s">
        <v>68</v>
      </c>
      <c r="AL2093" t="s">
        <v>333</v>
      </c>
      <c r="AM2093">
        <v>1</v>
      </c>
      <c r="AN2093" s="2">
        <v>9780748623037</v>
      </c>
    </row>
    <row r="2094" spans="1:40" x14ac:dyDescent="0.3">
      <c r="A2094" t="s">
        <v>10075</v>
      </c>
      <c r="B2094" t="s">
        <v>1</v>
      </c>
      <c r="C2094" t="s">
        <v>10076</v>
      </c>
      <c r="D2094" t="s">
        <v>10077</v>
      </c>
      <c r="E2094" t="s">
        <v>10078</v>
      </c>
      <c r="F2094" t="s">
        <v>5</v>
      </c>
      <c r="G2094" t="s">
        <v>6</v>
      </c>
      <c r="L2094" t="s">
        <v>7</v>
      </c>
      <c r="M2094">
        <v>2020</v>
      </c>
      <c r="N2094" s="1">
        <v>44656</v>
      </c>
      <c r="O2094" t="s">
        <v>10079</v>
      </c>
      <c r="P2094">
        <v>1</v>
      </c>
      <c r="Q2094" t="s">
        <v>9611</v>
      </c>
      <c r="S2094">
        <v>217.95</v>
      </c>
      <c r="T2094">
        <v>250</v>
      </c>
      <c r="U2094">
        <v>190</v>
      </c>
      <c r="V2094" t="s">
        <v>20</v>
      </c>
      <c r="W2094" t="s">
        <v>556</v>
      </c>
      <c r="X2094" t="s">
        <v>902</v>
      </c>
      <c r="Y2094" t="s">
        <v>903</v>
      </c>
      <c r="AF2094" t="s">
        <v>13</v>
      </c>
      <c r="AG2094" t="str">
        <f>HYPERLINK("https://doi.org/10.1515/9781474459303?locatt=mode:legacy")</f>
        <v>https://doi.org/10.1515/9781474459303?locatt=mode:legacy</v>
      </c>
      <c r="AH2094" t="str">
        <f>HYPERLINK("http://www.degruyter.com/isbn/9781474459303")</f>
        <v>http://www.degruyter.com/isbn/9781474459303</v>
      </c>
      <c r="AI2094" t="s">
        <v>14</v>
      </c>
      <c r="AL2094" t="s">
        <v>15</v>
      </c>
      <c r="AM2094">
        <v>1</v>
      </c>
      <c r="AN2094" s="2">
        <v>9781474459273</v>
      </c>
    </row>
    <row r="2095" spans="1:40" x14ac:dyDescent="0.3">
      <c r="A2095" t="s">
        <v>10080</v>
      </c>
      <c r="B2095" t="s">
        <v>1</v>
      </c>
      <c r="C2095" t="s">
        <v>10081</v>
      </c>
      <c r="D2095" t="s">
        <v>10082</v>
      </c>
      <c r="E2095" t="s">
        <v>10083</v>
      </c>
      <c r="F2095" t="s">
        <v>5</v>
      </c>
      <c r="G2095" t="s">
        <v>6</v>
      </c>
      <c r="L2095" t="s">
        <v>7</v>
      </c>
      <c r="M2095">
        <v>2015</v>
      </c>
      <c r="N2095" s="1">
        <v>42212</v>
      </c>
      <c r="O2095" t="s">
        <v>10084</v>
      </c>
      <c r="P2095">
        <v>1</v>
      </c>
      <c r="Q2095" t="s">
        <v>6659</v>
      </c>
      <c r="S2095">
        <v>253.95</v>
      </c>
      <c r="T2095">
        <v>290</v>
      </c>
      <c r="U2095">
        <v>220</v>
      </c>
      <c r="V2095" t="s">
        <v>268</v>
      </c>
      <c r="W2095" t="s">
        <v>705</v>
      </c>
      <c r="X2095" t="s">
        <v>706</v>
      </c>
      <c r="Y2095" t="s">
        <v>707</v>
      </c>
      <c r="AF2095" t="s">
        <v>13</v>
      </c>
      <c r="AG2095" t="str">
        <f>HYPERLINK("https://doi.org/10.1515/9780748682102")</f>
        <v>https://doi.org/10.1515/9780748682102</v>
      </c>
      <c r="AH2095" t="str">
        <f>HYPERLINK("http://www.degruyter.com/isbn/9780748682102")</f>
        <v>http://www.degruyter.com/isbn/9780748682102</v>
      </c>
      <c r="AI2095" t="s">
        <v>3740</v>
      </c>
      <c r="AL2095" t="s">
        <v>272</v>
      </c>
      <c r="AM2095">
        <v>1</v>
      </c>
      <c r="AN2095" s="2">
        <v>9780748682096</v>
      </c>
    </row>
    <row r="2096" spans="1:40" x14ac:dyDescent="0.3">
      <c r="A2096" t="s">
        <v>10085</v>
      </c>
      <c r="B2096" t="s">
        <v>1</v>
      </c>
      <c r="C2096" t="s">
        <v>10086</v>
      </c>
      <c r="D2096" t="s">
        <v>10087</v>
      </c>
      <c r="E2096" t="s">
        <v>10088</v>
      </c>
      <c r="F2096" t="s">
        <v>5</v>
      </c>
      <c r="G2096" t="s">
        <v>6</v>
      </c>
      <c r="L2096" t="s">
        <v>7</v>
      </c>
      <c r="M2096">
        <v>2007</v>
      </c>
      <c r="N2096" s="1">
        <v>39409</v>
      </c>
      <c r="O2096" t="s">
        <v>10089</v>
      </c>
      <c r="P2096">
        <v>1</v>
      </c>
      <c r="Q2096" t="s">
        <v>10090</v>
      </c>
      <c r="S2096">
        <v>417.95</v>
      </c>
      <c r="T2096">
        <v>480</v>
      </c>
      <c r="U2096">
        <v>370</v>
      </c>
      <c r="V2096" t="s">
        <v>42</v>
      </c>
      <c r="W2096" t="s">
        <v>116</v>
      </c>
      <c r="X2096" t="s">
        <v>116</v>
      </c>
      <c r="Y2096" t="s">
        <v>3967</v>
      </c>
      <c r="AF2096" t="s">
        <v>13</v>
      </c>
      <c r="AG2096" t="str">
        <f>HYPERLINK("https://www.degruyter.com/isbn/9780748628841")</f>
        <v>https://www.degruyter.com/isbn/9780748628841</v>
      </c>
      <c r="AH2096" t="str">
        <f>HYPERLINK("http://www.degruyter.com/isbn/9780748628841")</f>
        <v>http://www.degruyter.com/isbn/9780748628841</v>
      </c>
      <c r="AI2096" t="s">
        <v>68</v>
      </c>
      <c r="AL2096" t="s">
        <v>47</v>
      </c>
      <c r="AM2096">
        <v>1</v>
      </c>
      <c r="AN2096" s="2">
        <v>9780748618293</v>
      </c>
    </row>
    <row r="2097" spans="1:40" x14ac:dyDescent="0.3">
      <c r="A2097" t="s">
        <v>10091</v>
      </c>
      <c r="B2097" t="s">
        <v>1</v>
      </c>
      <c r="C2097" t="s">
        <v>10092</v>
      </c>
      <c r="D2097" t="s">
        <v>10093</v>
      </c>
      <c r="E2097" t="s">
        <v>10094</v>
      </c>
      <c r="F2097" t="s">
        <v>5</v>
      </c>
      <c r="G2097" t="s">
        <v>6</v>
      </c>
      <c r="L2097" t="s">
        <v>7</v>
      </c>
      <c r="M2097">
        <v>2017</v>
      </c>
      <c r="N2097" s="1">
        <v>42872</v>
      </c>
      <c r="O2097" t="s">
        <v>10095</v>
      </c>
      <c r="P2097">
        <v>1</v>
      </c>
      <c r="Q2097" t="s">
        <v>5754</v>
      </c>
      <c r="S2097">
        <v>253.95</v>
      </c>
      <c r="T2097">
        <v>290</v>
      </c>
      <c r="U2097">
        <v>220</v>
      </c>
      <c r="V2097" t="s">
        <v>79</v>
      </c>
      <c r="W2097" t="s">
        <v>123</v>
      </c>
      <c r="X2097" t="s">
        <v>123</v>
      </c>
      <c r="Y2097" t="s">
        <v>124</v>
      </c>
      <c r="AF2097" t="s">
        <v>13</v>
      </c>
      <c r="AG2097" t="str">
        <f>HYPERLINK("https://doi.org/10.1515/9781474425018")</f>
        <v>https://doi.org/10.1515/9781474425018</v>
      </c>
      <c r="AH2097" t="str">
        <f>HYPERLINK("http://www.degruyter.com/isbn/9781474425018")</f>
        <v>http://www.degruyter.com/isbn/9781474425018</v>
      </c>
      <c r="AI2097" t="s">
        <v>222</v>
      </c>
      <c r="AL2097" t="s">
        <v>83</v>
      </c>
      <c r="AM2097">
        <v>1</v>
      </c>
      <c r="AN2097" s="2">
        <v>9781474424998</v>
      </c>
    </row>
    <row r="2098" spans="1:40" x14ac:dyDescent="0.3">
      <c r="A2098" t="s">
        <v>10096</v>
      </c>
      <c r="B2098" t="s">
        <v>1</v>
      </c>
      <c r="C2098" t="s">
        <v>10097</v>
      </c>
      <c r="D2098" t="s">
        <v>10098</v>
      </c>
      <c r="E2098" t="s">
        <v>10099</v>
      </c>
      <c r="F2098" t="s">
        <v>5</v>
      </c>
      <c r="G2098" t="s">
        <v>6</v>
      </c>
      <c r="L2098" t="s">
        <v>7</v>
      </c>
      <c r="M2098">
        <v>2020</v>
      </c>
      <c r="N2098" s="1">
        <v>44644</v>
      </c>
      <c r="O2098" t="s">
        <v>10100</v>
      </c>
      <c r="P2098">
        <v>1</v>
      </c>
      <c r="Q2098" t="s">
        <v>8601</v>
      </c>
      <c r="S2098">
        <v>217.95</v>
      </c>
      <c r="T2098">
        <v>250</v>
      </c>
      <c r="U2098">
        <v>190</v>
      </c>
      <c r="V2098" t="s">
        <v>305</v>
      </c>
      <c r="W2098" t="s">
        <v>2566</v>
      </c>
      <c r="X2098" t="s">
        <v>2567</v>
      </c>
      <c r="Y2098" t="s">
        <v>4151</v>
      </c>
      <c r="AF2098" t="s">
        <v>13</v>
      </c>
      <c r="AG2098" t="str">
        <f>HYPERLINK("https://doi.org/10.1515/9781474427982")</f>
        <v>https://doi.org/10.1515/9781474427982</v>
      </c>
      <c r="AH2098" t="str">
        <f>HYPERLINK("http://www.degruyter.com/isbn/9781474427982")</f>
        <v>http://www.degruyter.com/isbn/9781474427982</v>
      </c>
      <c r="AI2098" t="s">
        <v>14</v>
      </c>
      <c r="AL2098" t="s">
        <v>308</v>
      </c>
      <c r="AM2098">
        <v>1</v>
      </c>
      <c r="AN2098" s="2">
        <v>9781474427968</v>
      </c>
    </row>
    <row r="2099" spans="1:40" x14ac:dyDescent="0.3">
      <c r="A2099" t="s">
        <v>10101</v>
      </c>
      <c r="B2099" t="s">
        <v>1</v>
      </c>
      <c r="C2099" t="s">
        <v>10102</v>
      </c>
      <c r="E2099" t="s">
        <v>10103</v>
      </c>
      <c r="F2099" t="s">
        <v>5</v>
      </c>
      <c r="G2099" t="s">
        <v>6</v>
      </c>
      <c r="L2099" t="s">
        <v>7</v>
      </c>
      <c r="M2099">
        <v>2007</v>
      </c>
      <c r="N2099" s="1">
        <v>39295</v>
      </c>
      <c r="O2099" t="s">
        <v>10104</v>
      </c>
      <c r="P2099">
        <v>1</v>
      </c>
      <c r="Q2099" t="s">
        <v>7027</v>
      </c>
      <c r="S2099">
        <v>217.95</v>
      </c>
      <c r="T2099">
        <v>250</v>
      </c>
      <c r="U2099">
        <v>190</v>
      </c>
      <c r="V2099" t="s">
        <v>98</v>
      </c>
      <c r="W2099" t="s">
        <v>99</v>
      </c>
      <c r="X2099" t="s">
        <v>386</v>
      </c>
      <c r="Y2099" t="s">
        <v>387</v>
      </c>
      <c r="AF2099" t="s">
        <v>13</v>
      </c>
      <c r="AG2099" t="str">
        <f>HYPERLINK("https://doi.org/10.1515/9780748630967?locatt=mode:legacy")</f>
        <v>https://doi.org/10.1515/9780748630967?locatt=mode:legacy</v>
      </c>
      <c r="AH2099" t="str">
        <f>HYPERLINK("http://www.degruyter.com/isbn/9780748630967")</f>
        <v>http://www.degruyter.com/isbn/9780748630967</v>
      </c>
      <c r="AI2099" t="s">
        <v>68</v>
      </c>
      <c r="AL2099" t="s">
        <v>102</v>
      </c>
      <c r="AM2099">
        <v>1</v>
      </c>
      <c r="AN2099" s="2">
        <v>9780748625444</v>
      </c>
    </row>
    <row r="2100" spans="1:40" x14ac:dyDescent="0.3">
      <c r="A2100" t="s">
        <v>10105</v>
      </c>
      <c r="B2100" t="s">
        <v>1</v>
      </c>
      <c r="C2100" t="s">
        <v>10106</v>
      </c>
      <c r="E2100" t="s">
        <v>10107</v>
      </c>
      <c r="F2100" t="s">
        <v>5</v>
      </c>
      <c r="G2100" t="s">
        <v>6</v>
      </c>
      <c r="L2100" t="s">
        <v>7</v>
      </c>
      <c r="M2100">
        <v>2015</v>
      </c>
      <c r="N2100" s="1">
        <v>42320</v>
      </c>
      <c r="O2100" t="s">
        <v>10108</v>
      </c>
      <c r="P2100">
        <v>1</v>
      </c>
      <c r="Q2100" t="s">
        <v>6923</v>
      </c>
      <c r="S2100">
        <v>217.95</v>
      </c>
      <c r="T2100">
        <v>250</v>
      </c>
      <c r="U2100">
        <v>190</v>
      </c>
      <c r="V2100" t="s">
        <v>89</v>
      </c>
      <c r="W2100" t="s">
        <v>90</v>
      </c>
      <c r="X2100" t="s">
        <v>91</v>
      </c>
      <c r="Y2100" t="s">
        <v>717</v>
      </c>
      <c r="AF2100" t="s">
        <v>13</v>
      </c>
      <c r="AG2100" t="str">
        <f>HYPERLINK("https://doi.org/10.1515/9781474409346")</f>
        <v>https://doi.org/10.1515/9781474409346</v>
      </c>
      <c r="AH2100" t="str">
        <f>HYPERLINK("http://www.degruyter.com/isbn/9781474409346")</f>
        <v>http://www.degruyter.com/isbn/9781474409346</v>
      </c>
      <c r="AI2100" t="s">
        <v>34</v>
      </c>
      <c r="AL2100" t="s">
        <v>83</v>
      </c>
      <c r="AM2100">
        <v>1</v>
      </c>
      <c r="AN2100" s="2">
        <v>9781474409339</v>
      </c>
    </row>
    <row r="2101" spans="1:40" x14ac:dyDescent="0.3">
      <c r="A2101" t="s">
        <v>10109</v>
      </c>
      <c r="B2101" t="s">
        <v>1</v>
      </c>
      <c r="C2101" t="s">
        <v>10110</v>
      </c>
      <c r="E2101" t="s">
        <v>10111</v>
      </c>
      <c r="F2101" t="s">
        <v>5</v>
      </c>
      <c r="G2101" t="s">
        <v>6</v>
      </c>
      <c r="L2101" t="s">
        <v>7</v>
      </c>
      <c r="M2101">
        <v>2009</v>
      </c>
      <c r="N2101" s="1">
        <v>40040</v>
      </c>
      <c r="O2101" t="s">
        <v>10112</v>
      </c>
      <c r="P2101">
        <v>1</v>
      </c>
      <c r="Q2101" t="s">
        <v>7298</v>
      </c>
      <c r="S2101">
        <v>331.95</v>
      </c>
      <c r="T2101">
        <v>380</v>
      </c>
      <c r="U2101">
        <v>290</v>
      </c>
      <c r="V2101" t="s">
        <v>329</v>
      </c>
      <c r="W2101" t="s">
        <v>330</v>
      </c>
      <c r="X2101" t="s">
        <v>331</v>
      </c>
      <c r="Y2101" t="s">
        <v>1035</v>
      </c>
      <c r="AF2101" t="s">
        <v>13</v>
      </c>
      <c r="AG2101" t="str">
        <f>HYPERLINK("https://doi.org/10.1515/9781474467964")</f>
        <v>https://doi.org/10.1515/9781474467964</v>
      </c>
      <c r="AH2101" t="str">
        <f>HYPERLINK("http://www.degruyter.com/isbn/9781474467964")</f>
        <v>http://www.degruyter.com/isbn/9781474467964</v>
      </c>
      <c r="AI2101" t="s">
        <v>68</v>
      </c>
      <c r="AL2101" t="s">
        <v>333</v>
      </c>
      <c r="AM2101">
        <v>1</v>
      </c>
      <c r="AN2101" s="2">
        <v>9780748615940</v>
      </c>
    </row>
    <row r="2102" spans="1:40" x14ac:dyDescent="0.3">
      <c r="A2102" t="s">
        <v>10113</v>
      </c>
      <c r="B2102" t="s">
        <v>1</v>
      </c>
      <c r="C2102" t="s">
        <v>10114</v>
      </c>
      <c r="D2102" t="s">
        <v>10115</v>
      </c>
      <c r="E2102" t="s">
        <v>10116</v>
      </c>
      <c r="F2102" t="s">
        <v>5</v>
      </c>
      <c r="G2102" t="s">
        <v>6</v>
      </c>
      <c r="L2102" t="s">
        <v>7</v>
      </c>
      <c r="M2102">
        <v>2020</v>
      </c>
      <c r="N2102" s="1">
        <v>44656</v>
      </c>
      <c r="O2102" t="s">
        <v>10117</v>
      </c>
      <c r="P2102">
        <v>1</v>
      </c>
      <c r="Q2102" t="s">
        <v>9122</v>
      </c>
      <c r="S2102">
        <v>261.95</v>
      </c>
      <c r="T2102">
        <v>300</v>
      </c>
      <c r="U2102">
        <v>230</v>
      </c>
      <c r="V2102" t="s">
        <v>847</v>
      </c>
      <c r="W2102" t="s">
        <v>848</v>
      </c>
      <c r="X2102" t="s">
        <v>20</v>
      </c>
      <c r="Y2102" t="s">
        <v>2273</v>
      </c>
      <c r="AF2102" t="s">
        <v>13</v>
      </c>
      <c r="AG2102" t="str">
        <f>HYPERLINK("https://doi.org/10.1515/9781474423984")</f>
        <v>https://doi.org/10.1515/9781474423984</v>
      </c>
      <c r="AH2102" t="str">
        <f>HYPERLINK("http://www.degruyter.com/isbn/9781474423984")</f>
        <v>http://www.degruyter.com/isbn/9781474423984</v>
      </c>
      <c r="AI2102" t="s">
        <v>14</v>
      </c>
      <c r="AL2102" t="s">
        <v>1070</v>
      </c>
      <c r="AM2102">
        <v>1</v>
      </c>
      <c r="AN2102" s="2">
        <v>9781474423977</v>
      </c>
    </row>
    <row r="2103" spans="1:40" x14ac:dyDescent="0.3">
      <c r="A2103" t="s">
        <v>10118</v>
      </c>
      <c r="B2103" t="s">
        <v>1</v>
      </c>
      <c r="C2103" t="s">
        <v>10119</v>
      </c>
      <c r="D2103" t="s">
        <v>10120</v>
      </c>
      <c r="E2103" t="s">
        <v>10121</v>
      </c>
      <c r="F2103" t="s">
        <v>5</v>
      </c>
      <c r="G2103" t="s">
        <v>6</v>
      </c>
      <c r="L2103" t="s">
        <v>7</v>
      </c>
      <c r="M2103">
        <v>1997</v>
      </c>
      <c r="N2103" s="1">
        <v>44599</v>
      </c>
      <c r="O2103" t="s">
        <v>1913</v>
      </c>
      <c r="P2103">
        <v>1</v>
      </c>
      <c r="S2103">
        <v>380.95</v>
      </c>
      <c r="T2103">
        <v>430</v>
      </c>
      <c r="U2103">
        <v>330</v>
      </c>
      <c r="V2103" t="s">
        <v>89</v>
      </c>
      <c r="W2103" t="s">
        <v>90</v>
      </c>
      <c r="X2103" t="s">
        <v>91</v>
      </c>
      <c r="Y2103" t="s">
        <v>717</v>
      </c>
      <c r="AF2103" t="s">
        <v>13</v>
      </c>
      <c r="AG2103" t="str">
        <f>HYPERLINK("https://doi.org/10.1515/9781474470636")</f>
        <v>https://doi.org/10.1515/9781474470636</v>
      </c>
      <c r="AH2103" t="str">
        <f>HYPERLINK("http://www.degruyter.com/isbn/9781474470636")</f>
        <v>http://www.degruyter.com/isbn/9781474470636</v>
      </c>
      <c r="AI2103" t="s">
        <v>24</v>
      </c>
      <c r="AL2103" t="s">
        <v>83</v>
      </c>
      <c r="AM2103">
        <v>1</v>
      </c>
      <c r="AN2103" s="2">
        <v>9780748609604</v>
      </c>
    </row>
    <row r="2104" spans="1:40" x14ac:dyDescent="0.3">
      <c r="A2104" t="s">
        <v>10122</v>
      </c>
      <c r="B2104" t="s">
        <v>1</v>
      </c>
      <c r="C2104" t="s">
        <v>10123</v>
      </c>
      <c r="D2104" t="s">
        <v>4112</v>
      </c>
      <c r="E2104" t="s">
        <v>10124</v>
      </c>
      <c r="F2104" t="s">
        <v>5</v>
      </c>
      <c r="G2104" t="s">
        <v>6</v>
      </c>
      <c r="L2104" t="s">
        <v>7</v>
      </c>
      <c r="M2104">
        <v>1998</v>
      </c>
      <c r="N2104" s="1">
        <v>44634</v>
      </c>
      <c r="O2104" t="s">
        <v>10125</v>
      </c>
      <c r="P2104">
        <v>1</v>
      </c>
      <c r="S2104">
        <v>287.95</v>
      </c>
      <c r="T2104">
        <v>330</v>
      </c>
      <c r="U2104">
        <v>250</v>
      </c>
      <c r="V2104" t="s">
        <v>58</v>
      </c>
      <c r="W2104" t="s">
        <v>129</v>
      </c>
      <c r="X2104" t="s">
        <v>10126</v>
      </c>
      <c r="Y2104" t="s">
        <v>10127</v>
      </c>
      <c r="AF2104" t="s">
        <v>13</v>
      </c>
      <c r="AG2104" t="str">
        <f>HYPERLINK("https://doi.org/10.1515/9781474468312")</f>
        <v>https://doi.org/10.1515/9781474468312</v>
      </c>
      <c r="AH2104" t="str">
        <f>HYPERLINK("http://www.degruyter.com/isbn/9781474468312")</f>
        <v>http://www.degruyter.com/isbn/9781474468312</v>
      </c>
      <c r="AI2104" t="s">
        <v>2357</v>
      </c>
      <c r="AL2104" t="s">
        <v>62</v>
      </c>
      <c r="AM2104">
        <v>1</v>
      </c>
      <c r="AN2104" s="2">
        <v>9780748611058</v>
      </c>
    </row>
    <row r="2105" spans="1:40" x14ac:dyDescent="0.3">
      <c r="A2105" t="s">
        <v>10128</v>
      </c>
      <c r="B2105" t="s">
        <v>1</v>
      </c>
      <c r="C2105" t="s">
        <v>10129</v>
      </c>
      <c r="D2105" t="s">
        <v>10130</v>
      </c>
      <c r="E2105" t="s">
        <v>10131</v>
      </c>
      <c r="F2105" t="s">
        <v>5</v>
      </c>
      <c r="G2105" t="s">
        <v>6</v>
      </c>
      <c r="L2105" t="s">
        <v>7</v>
      </c>
      <c r="M2105">
        <v>2014</v>
      </c>
      <c r="N2105" s="1">
        <v>41775</v>
      </c>
      <c r="O2105" t="s">
        <v>10132</v>
      </c>
      <c r="P2105">
        <v>1</v>
      </c>
      <c r="Q2105" t="s">
        <v>8962</v>
      </c>
      <c r="S2105">
        <v>217.95</v>
      </c>
      <c r="T2105">
        <v>250</v>
      </c>
      <c r="U2105">
        <v>190</v>
      </c>
      <c r="V2105" t="s">
        <v>42</v>
      </c>
      <c r="W2105" t="s">
        <v>161</v>
      </c>
      <c r="X2105" t="s">
        <v>162</v>
      </c>
      <c r="Y2105" t="s">
        <v>393</v>
      </c>
      <c r="AF2105" t="s">
        <v>13</v>
      </c>
      <c r="AG2105" t="str">
        <f>HYPERLINK("https://doi.org/10.1515/9780748692750")</f>
        <v>https://doi.org/10.1515/9780748692750</v>
      </c>
      <c r="AH2105" t="str">
        <f>HYPERLINK("http://www.degruyter.com/isbn/9780748692750")</f>
        <v>http://www.degruyter.com/isbn/9780748692750</v>
      </c>
      <c r="AI2105" t="s">
        <v>34</v>
      </c>
      <c r="AL2105" t="s">
        <v>47</v>
      </c>
      <c r="AM2105">
        <v>1</v>
      </c>
      <c r="AN2105" s="2">
        <v>9780748692743</v>
      </c>
    </row>
    <row r="2106" spans="1:40" x14ac:dyDescent="0.3">
      <c r="A2106" t="s">
        <v>10133</v>
      </c>
      <c r="B2106" t="s">
        <v>1</v>
      </c>
      <c r="C2106" t="s">
        <v>10134</v>
      </c>
      <c r="D2106" t="s">
        <v>10135</v>
      </c>
      <c r="E2106" t="s">
        <v>10136</v>
      </c>
      <c r="F2106" t="s">
        <v>5</v>
      </c>
      <c r="G2106" t="s">
        <v>6</v>
      </c>
      <c r="L2106" t="s">
        <v>7</v>
      </c>
      <c r="M2106">
        <v>2015</v>
      </c>
      <c r="N2106" s="1">
        <v>42107</v>
      </c>
      <c r="O2106" t="s">
        <v>5563</v>
      </c>
      <c r="P2106">
        <v>1</v>
      </c>
      <c r="Q2106" t="s">
        <v>10034</v>
      </c>
      <c r="S2106">
        <v>217.95</v>
      </c>
      <c r="T2106">
        <v>250</v>
      </c>
      <c r="U2106">
        <v>190</v>
      </c>
      <c r="V2106" t="s">
        <v>20</v>
      </c>
      <c r="W2106" t="s">
        <v>1018</v>
      </c>
      <c r="X2106" t="s">
        <v>1018</v>
      </c>
      <c r="Y2106" t="s">
        <v>2215</v>
      </c>
      <c r="AF2106" t="s">
        <v>13</v>
      </c>
      <c r="AG2106" t="str">
        <f>HYPERLINK("https://doi.org/10.1515/9781474401821")</f>
        <v>https://doi.org/10.1515/9781474401821</v>
      </c>
      <c r="AH2106" t="str">
        <f>HYPERLINK("http://www.degruyter.com/isbn/9781474401821")</f>
        <v>http://www.degruyter.com/isbn/9781474401821</v>
      </c>
      <c r="AI2106" t="s">
        <v>34</v>
      </c>
      <c r="AL2106" t="s">
        <v>15</v>
      </c>
      <c r="AM2106">
        <v>1</v>
      </c>
      <c r="AN2106" s="2">
        <v>9781474401814</v>
      </c>
    </row>
    <row r="2107" spans="1:40" x14ac:dyDescent="0.3">
      <c r="A2107" t="s">
        <v>10137</v>
      </c>
      <c r="B2107" t="s">
        <v>1</v>
      </c>
      <c r="C2107" t="s">
        <v>10138</v>
      </c>
      <c r="E2107" t="s">
        <v>10139</v>
      </c>
      <c r="F2107" t="s">
        <v>5</v>
      </c>
      <c r="G2107" t="s">
        <v>6</v>
      </c>
      <c r="L2107" t="s">
        <v>7</v>
      </c>
      <c r="M2107">
        <v>2009</v>
      </c>
      <c r="N2107" s="1">
        <v>39869</v>
      </c>
      <c r="O2107" t="s">
        <v>10140</v>
      </c>
      <c r="P2107">
        <v>1</v>
      </c>
      <c r="Q2107" t="s">
        <v>5794</v>
      </c>
      <c r="S2107">
        <v>228.95</v>
      </c>
      <c r="T2107">
        <v>258</v>
      </c>
      <c r="U2107">
        <v>198</v>
      </c>
      <c r="V2107" t="s">
        <v>42</v>
      </c>
      <c r="W2107" t="s">
        <v>116</v>
      </c>
      <c r="X2107" t="s">
        <v>116</v>
      </c>
      <c r="Y2107" t="s">
        <v>117</v>
      </c>
      <c r="AF2107" t="s">
        <v>13</v>
      </c>
      <c r="AG2107" t="str">
        <f>HYPERLINK("https://doi.org/10.1515/9780748633050")</f>
        <v>https://doi.org/10.1515/9780748633050</v>
      </c>
      <c r="AH2107" t="str">
        <f>HYPERLINK("http://www.degruyter.com/isbn/9780748633050")</f>
        <v>http://www.degruyter.com/isbn/9780748633050</v>
      </c>
      <c r="AI2107" t="s">
        <v>68</v>
      </c>
      <c r="AL2107" t="s">
        <v>47</v>
      </c>
      <c r="AM2107">
        <v>1</v>
      </c>
      <c r="AN2107" s="2">
        <v>9780748633036</v>
      </c>
    </row>
    <row r="2108" spans="1:40" x14ac:dyDescent="0.3">
      <c r="A2108" t="s">
        <v>10141</v>
      </c>
      <c r="B2108" t="s">
        <v>1</v>
      </c>
      <c r="C2108" t="s">
        <v>10142</v>
      </c>
      <c r="D2108" t="s">
        <v>10143</v>
      </c>
      <c r="E2108" t="s">
        <v>10144</v>
      </c>
      <c r="F2108" t="s">
        <v>5</v>
      </c>
      <c r="G2108" t="s">
        <v>6</v>
      </c>
      <c r="L2108" t="s">
        <v>7</v>
      </c>
      <c r="M2108">
        <v>1994</v>
      </c>
      <c r="N2108" s="1">
        <v>44592</v>
      </c>
      <c r="O2108" t="s">
        <v>10145</v>
      </c>
      <c r="P2108">
        <v>1</v>
      </c>
      <c r="Q2108" t="s">
        <v>6929</v>
      </c>
      <c r="S2108">
        <v>217.95</v>
      </c>
      <c r="T2108">
        <v>250</v>
      </c>
      <c r="U2108">
        <v>190</v>
      </c>
      <c r="V2108" t="s">
        <v>58</v>
      </c>
      <c r="W2108" t="s">
        <v>129</v>
      </c>
      <c r="X2108" t="s">
        <v>10126</v>
      </c>
      <c r="Y2108" t="s">
        <v>10127</v>
      </c>
      <c r="AF2108" t="s">
        <v>13</v>
      </c>
      <c r="AG2108" t="str">
        <f>HYPERLINK("https://doi.org/10.1515/9781474470162")</f>
        <v>https://doi.org/10.1515/9781474470162</v>
      </c>
      <c r="AH2108" t="str">
        <f>HYPERLINK("http://www.degruyter.com/isbn/9781474470162")</f>
        <v>http://www.degruyter.com/isbn/9781474470162</v>
      </c>
      <c r="AI2108" t="s">
        <v>24</v>
      </c>
      <c r="AL2108" t="s">
        <v>62</v>
      </c>
      <c r="AM2108">
        <v>1</v>
      </c>
      <c r="AN2108" s="2">
        <v>9780748604937</v>
      </c>
    </row>
    <row r="2109" spans="1:40" x14ac:dyDescent="0.3">
      <c r="A2109" t="s">
        <v>10146</v>
      </c>
      <c r="B2109" t="s">
        <v>1</v>
      </c>
      <c r="C2109" t="s">
        <v>10147</v>
      </c>
      <c r="D2109" t="s">
        <v>10148</v>
      </c>
      <c r="E2109" t="s">
        <v>10149</v>
      </c>
      <c r="F2109" t="s">
        <v>5</v>
      </c>
      <c r="G2109" t="s">
        <v>6</v>
      </c>
      <c r="L2109" t="s">
        <v>7</v>
      </c>
      <c r="M2109">
        <v>2009</v>
      </c>
      <c r="N2109" s="1">
        <v>44592</v>
      </c>
      <c r="O2109" t="s">
        <v>10150</v>
      </c>
      <c r="P2109">
        <v>1</v>
      </c>
      <c r="Q2109" t="s">
        <v>10151</v>
      </c>
      <c r="S2109">
        <v>217.95</v>
      </c>
      <c r="T2109">
        <v>250</v>
      </c>
      <c r="U2109">
        <v>190</v>
      </c>
      <c r="V2109" t="s">
        <v>79</v>
      </c>
      <c r="W2109" t="s">
        <v>209</v>
      </c>
      <c r="X2109" t="s">
        <v>209</v>
      </c>
      <c r="Y2109" t="s">
        <v>510</v>
      </c>
      <c r="AF2109" t="s">
        <v>13</v>
      </c>
      <c r="AG2109" t="str">
        <f>HYPERLINK("https://doi.org/10.1515/9781474465823")</f>
        <v>https://doi.org/10.1515/9781474465823</v>
      </c>
      <c r="AH2109" t="str">
        <f>HYPERLINK("http://www.degruyter.com/isbn/9781474465823")</f>
        <v>http://www.degruyter.com/isbn/9781474465823</v>
      </c>
      <c r="AI2109" t="s">
        <v>68</v>
      </c>
      <c r="AL2109" t="s">
        <v>83</v>
      </c>
      <c r="AM2109">
        <v>1</v>
      </c>
      <c r="AN2109" s="2">
        <v>9780748638925</v>
      </c>
    </row>
    <row r="2110" spans="1:40" x14ac:dyDescent="0.3">
      <c r="A2110" t="s">
        <v>10152</v>
      </c>
      <c r="B2110" t="s">
        <v>1</v>
      </c>
      <c r="C2110" t="s">
        <v>10153</v>
      </c>
      <c r="E2110" t="s">
        <v>10154</v>
      </c>
      <c r="F2110" t="s">
        <v>5</v>
      </c>
      <c r="G2110" t="s">
        <v>6</v>
      </c>
      <c r="L2110" t="s">
        <v>7</v>
      </c>
      <c r="M2110">
        <v>2007</v>
      </c>
      <c r="N2110" s="1">
        <v>39253</v>
      </c>
      <c r="O2110" t="s">
        <v>10155</v>
      </c>
      <c r="P2110">
        <v>1</v>
      </c>
      <c r="Q2110" t="s">
        <v>7052</v>
      </c>
      <c r="S2110">
        <v>287.95</v>
      </c>
      <c r="T2110">
        <v>330</v>
      </c>
      <c r="U2110">
        <v>250</v>
      </c>
      <c r="V2110" t="s">
        <v>42</v>
      </c>
      <c r="W2110" t="s">
        <v>116</v>
      </c>
      <c r="X2110" t="s">
        <v>116</v>
      </c>
      <c r="Y2110" t="s">
        <v>117</v>
      </c>
      <c r="AF2110" t="s">
        <v>13</v>
      </c>
      <c r="AG2110" t="str">
        <f>HYPERLINK("https://doi.org/10.1515/9780748630219?locatt=mode:legacy")</f>
        <v>https://doi.org/10.1515/9780748630219?locatt=mode:legacy</v>
      </c>
      <c r="AH2110" t="str">
        <f>HYPERLINK("http://www.degruyter.com/isbn/9780748630219")</f>
        <v>http://www.degruyter.com/isbn/9780748630219</v>
      </c>
      <c r="AI2110" t="s">
        <v>68</v>
      </c>
      <c r="AL2110" t="s">
        <v>47</v>
      </c>
      <c r="AM2110">
        <v>1</v>
      </c>
      <c r="AN2110" s="2">
        <v>9780748623853</v>
      </c>
    </row>
    <row r="2111" spans="1:40" x14ac:dyDescent="0.3">
      <c r="A2111" t="s">
        <v>10156</v>
      </c>
      <c r="B2111" t="s">
        <v>1</v>
      </c>
      <c r="C2111" t="s">
        <v>10157</v>
      </c>
      <c r="E2111" t="s">
        <v>10158</v>
      </c>
      <c r="F2111" t="s">
        <v>5</v>
      </c>
      <c r="G2111" t="s">
        <v>6</v>
      </c>
      <c r="L2111" t="s">
        <v>7</v>
      </c>
      <c r="M2111">
        <v>2012</v>
      </c>
      <c r="N2111" s="1">
        <v>41093</v>
      </c>
      <c r="O2111" t="s">
        <v>10159</v>
      </c>
      <c r="P2111">
        <v>1</v>
      </c>
      <c r="Q2111" t="s">
        <v>7095</v>
      </c>
      <c r="S2111">
        <v>253.95</v>
      </c>
      <c r="T2111">
        <v>290</v>
      </c>
      <c r="U2111">
        <v>220</v>
      </c>
      <c r="V2111" t="s">
        <v>79</v>
      </c>
      <c r="W2111" t="s">
        <v>209</v>
      </c>
      <c r="X2111" t="s">
        <v>209</v>
      </c>
      <c r="Y2111" t="s">
        <v>510</v>
      </c>
      <c r="AF2111" t="s">
        <v>13</v>
      </c>
      <c r="AG2111" t="str">
        <f>HYPERLINK("https://doi.org/10.1515/9780748645367")</f>
        <v>https://doi.org/10.1515/9780748645367</v>
      </c>
      <c r="AH2111" t="str">
        <f>HYPERLINK("http://www.degruyter.com/isbn/9780748645367")</f>
        <v>http://www.degruyter.com/isbn/9780748645367</v>
      </c>
      <c r="AI2111" t="s">
        <v>68</v>
      </c>
      <c r="AL2111" t="s">
        <v>83</v>
      </c>
      <c r="AM2111">
        <v>1</v>
      </c>
      <c r="AN2111" s="2">
        <v>9780748645350</v>
      </c>
    </row>
    <row r="2112" spans="1:40" x14ac:dyDescent="0.3">
      <c r="A2112" t="s">
        <v>10160</v>
      </c>
      <c r="B2112" t="s">
        <v>1</v>
      </c>
      <c r="C2112" t="s">
        <v>10161</v>
      </c>
      <c r="E2112" t="s">
        <v>10162</v>
      </c>
      <c r="F2112" t="s">
        <v>5</v>
      </c>
      <c r="G2112" t="s">
        <v>6</v>
      </c>
      <c r="L2112" t="s">
        <v>7</v>
      </c>
      <c r="M2112">
        <v>2018</v>
      </c>
      <c r="N2112" s="1">
        <v>44656</v>
      </c>
      <c r="O2112" t="s">
        <v>10163</v>
      </c>
      <c r="P2112">
        <v>1</v>
      </c>
      <c r="Q2112" t="s">
        <v>7086</v>
      </c>
      <c r="S2112">
        <v>217.95</v>
      </c>
      <c r="T2112">
        <v>250</v>
      </c>
      <c r="U2112">
        <v>190</v>
      </c>
      <c r="V2112" t="s">
        <v>20</v>
      </c>
      <c r="W2112" t="s">
        <v>470</v>
      </c>
      <c r="X2112" t="s">
        <v>1269</v>
      </c>
      <c r="Y2112" t="s">
        <v>1270</v>
      </c>
      <c r="AF2112" t="s">
        <v>13</v>
      </c>
      <c r="AG2112" t="str">
        <f>HYPERLINK("https://doi.org/10.1515/9781474441438")</f>
        <v>https://doi.org/10.1515/9781474441438</v>
      </c>
      <c r="AH2112" t="str">
        <f>HYPERLINK("http://www.degruyter.com/isbn/9781474441438")</f>
        <v>http://www.degruyter.com/isbn/9781474441438</v>
      </c>
      <c r="AI2112" t="s">
        <v>7628</v>
      </c>
      <c r="AL2112" t="s">
        <v>15</v>
      </c>
      <c r="AM2112">
        <v>1</v>
      </c>
      <c r="AN2112" s="2">
        <v>9781474441414</v>
      </c>
    </row>
    <row r="2113" spans="1:40" x14ac:dyDescent="0.3">
      <c r="A2113" t="s">
        <v>10164</v>
      </c>
      <c r="B2113" t="s">
        <v>1</v>
      </c>
      <c r="C2113" t="s">
        <v>10165</v>
      </c>
      <c r="D2113" t="s">
        <v>10166</v>
      </c>
      <c r="E2113" t="s">
        <v>10167</v>
      </c>
      <c r="F2113" t="s">
        <v>5</v>
      </c>
      <c r="G2113" t="s">
        <v>6</v>
      </c>
      <c r="L2113" t="s">
        <v>7</v>
      </c>
      <c r="M2113">
        <v>2012</v>
      </c>
      <c r="N2113" s="1">
        <v>44719</v>
      </c>
      <c r="O2113" t="s">
        <v>10168</v>
      </c>
      <c r="P2113">
        <v>1</v>
      </c>
      <c r="Q2113" t="s">
        <v>10151</v>
      </c>
      <c r="S2113">
        <v>217.95</v>
      </c>
      <c r="T2113">
        <v>250</v>
      </c>
      <c r="U2113">
        <v>190</v>
      </c>
      <c r="V2113" t="s">
        <v>79</v>
      </c>
      <c r="W2113" t="s">
        <v>209</v>
      </c>
      <c r="X2113" t="s">
        <v>209</v>
      </c>
      <c r="Y2113" t="s">
        <v>510</v>
      </c>
      <c r="AF2113" t="s">
        <v>13</v>
      </c>
      <c r="AG2113" t="str">
        <f>HYPERLINK("https://doi.org/10.1515/9781474468404")</f>
        <v>https://doi.org/10.1515/9781474468404</v>
      </c>
      <c r="AH2113" t="str">
        <f>HYPERLINK("http://www.degruyter.com/isbn/9781474468404")</f>
        <v>http://www.degruyter.com/isbn/9781474468404</v>
      </c>
      <c r="AI2113" t="s">
        <v>68</v>
      </c>
      <c r="AL2113" t="s">
        <v>83</v>
      </c>
      <c r="AM2113">
        <v>1</v>
      </c>
      <c r="AN2113" s="2">
        <v>9780748645695</v>
      </c>
    </row>
    <row r="2114" spans="1:40" x14ac:dyDescent="0.3">
      <c r="A2114" t="s">
        <v>10169</v>
      </c>
      <c r="B2114" t="s">
        <v>1</v>
      </c>
      <c r="C2114" t="s">
        <v>10170</v>
      </c>
      <c r="D2114" t="s">
        <v>10171</v>
      </c>
      <c r="E2114" t="s">
        <v>10172</v>
      </c>
      <c r="F2114" t="s">
        <v>5</v>
      </c>
      <c r="G2114" t="s">
        <v>6</v>
      </c>
      <c r="L2114" t="s">
        <v>7</v>
      </c>
      <c r="M2114">
        <v>2021</v>
      </c>
      <c r="N2114" s="1">
        <v>44656</v>
      </c>
      <c r="O2114" t="s">
        <v>10173</v>
      </c>
      <c r="P2114">
        <v>1</v>
      </c>
      <c r="Q2114" t="s">
        <v>8962</v>
      </c>
      <c r="S2114">
        <v>217.95</v>
      </c>
      <c r="T2114">
        <v>250</v>
      </c>
      <c r="U2114">
        <v>190</v>
      </c>
      <c r="V2114" t="s">
        <v>329</v>
      </c>
      <c r="W2114" t="s">
        <v>4080</v>
      </c>
      <c r="X2114" t="s">
        <v>4080</v>
      </c>
      <c r="Y2114" t="s">
        <v>4081</v>
      </c>
      <c r="AF2114" t="s">
        <v>13</v>
      </c>
      <c r="AG2114" t="str">
        <f>HYPERLINK("https://doi.org/10.1515/9781474483209")</f>
        <v>https://doi.org/10.1515/9781474483209</v>
      </c>
      <c r="AH2114" t="str">
        <f>HYPERLINK("http://www.degruyter.com/isbn/9781474483209")</f>
        <v>http://www.degruyter.com/isbn/9781474483209</v>
      </c>
      <c r="AI2114" t="s">
        <v>10174</v>
      </c>
      <c r="AJ2114" t="s">
        <v>35</v>
      </c>
      <c r="AL2114" t="s">
        <v>10175</v>
      </c>
      <c r="AM2114">
        <v>1</v>
      </c>
      <c r="AN2114" s="2">
        <v>9781474483179</v>
      </c>
    </row>
    <row r="2115" spans="1:40" x14ac:dyDescent="0.3">
      <c r="A2115" t="s">
        <v>10176</v>
      </c>
      <c r="B2115" t="s">
        <v>1</v>
      </c>
      <c r="C2115" t="s">
        <v>10177</v>
      </c>
      <c r="D2115" t="s">
        <v>10178</v>
      </c>
      <c r="E2115" t="s">
        <v>10179</v>
      </c>
      <c r="F2115" t="s">
        <v>5</v>
      </c>
      <c r="G2115" t="s">
        <v>6</v>
      </c>
      <c r="L2115" t="s">
        <v>7</v>
      </c>
      <c r="M2115">
        <v>1998</v>
      </c>
      <c r="N2115" s="1">
        <v>44599</v>
      </c>
      <c r="O2115" t="s">
        <v>10180</v>
      </c>
      <c r="P2115">
        <v>1</v>
      </c>
      <c r="Q2115" t="s">
        <v>6923</v>
      </c>
      <c r="S2115">
        <v>253.95</v>
      </c>
      <c r="T2115">
        <v>290</v>
      </c>
      <c r="U2115">
        <v>220</v>
      </c>
      <c r="V2115" t="s">
        <v>89</v>
      </c>
      <c r="W2115" t="s">
        <v>90</v>
      </c>
      <c r="X2115" t="s">
        <v>91</v>
      </c>
      <c r="Y2115" t="s">
        <v>1914</v>
      </c>
      <c r="AF2115" t="s">
        <v>13</v>
      </c>
      <c r="AG2115" t="str">
        <f>HYPERLINK("https://doi.org/10.1515/9780748679225")</f>
        <v>https://doi.org/10.1515/9780748679225</v>
      </c>
      <c r="AH2115" t="str">
        <f>HYPERLINK("http://www.degruyter.com/isbn/9780748679225")</f>
        <v>http://www.degruyter.com/isbn/9780748679225</v>
      </c>
      <c r="AI2115" t="s">
        <v>24</v>
      </c>
      <c r="AL2115" t="s">
        <v>83</v>
      </c>
      <c r="AM2115">
        <v>1</v>
      </c>
      <c r="AN2115" s="2">
        <v>9780748609048</v>
      </c>
    </row>
    <row r="2116" spans="1:40" x14ac:dyDescent="0.3">
      <c r="A2116" t="s">
        <v>10181</v>
      </c>
      <c r="B2116" t="s">
        <v>1</v>
      </c>
      <c r="C2116" t="s">
        <v>10182</v>
      </c>
      <c r="E2116" t="s">
        <v>10183</v>
      </c>
      <c r="F2116" t="s">
        <v>5</v>
      </c>
      <c r="G2116" t="s">
        <v>6</v>
      </c>
      <c r="L2116" t="s">
        <v>7</v>
      </c>
      <c r="M2116">
        <v>2012</v>
      </c>
      <c r="N2116" s="1">
        <v>41003</v>
      </c>
      <c r="O2116" t="s">
        <v>5772</v>
      </c>
      <c r="P2116">
        <v>1</v>
      </c>
      <c r="Q2116" t="s">
        <v>5773</v>
      </c>
      <c r="S2116">
        <v>253.95</v>
      </c>
      <c r="T2116">
        <v>290</v>
      </c>
      <c r="U2116">
        <v>220</v>
      </c>
      <c r="V2116" t="s">
        <v>268</v>
      </c>
      <c r="W2116" t="s">
        <v>269</v>
      </c>
      <c r="X2116" t="s">
        <v>269</v>
      </c>
      <c r="Y2116" t="s">
        <v>10184</v>
      </c>
      <c r="AF2116" t="s">
        <v>13</v>
      </c>
      <c r="AG2116" t="str">
        <f>HYPERLINK("https://doi.org/10.1515/9781474469838")</f>
        <v>https://doi.org/10.1515/9781474469838</v>
      </c>
      <c r="AH2116" t="str">
        <f>HYPERLINK("http://www.degruyter.com/isbn/9781474469838")</f>
        <v>http://www.degruyter.com/isbn/9781474469838</v>
      </c>
      <c r="AI2116" t="s">
        <v>6092</v>
      </c>
      <c r="AL2116" t="s">
        <v>272</v>
      </c>
      <c r="AM2116">
        <v>1</v>
      </c>
      <c r="AN2116" s="2">
        <v>9780748645008</v>
      </c>
    </row>
    <row r="2117" spans="1:40" x14ac:dyDescent="0.3">
      <c r="A2117" t="s">
        <v>10185</v>
      </c>
      <c r="B2117" t="s">
        <v>1</v>
      </c>
      <c r="C2117" t="s">
        <v>389</v>
      </c>
      <c r="E2117" t="s">
        <v>391</v>
      </c>
      <c r="F2117" t="s">
        <v>5</v>
      </c>
      <c r="G2117" t="s">
        <v>6</v>
      </c>
      <c r="L2117" t="s">
        <v>7</v>
      </c>
      <c r="M2117">
        <v>2006</v>
      </c>
      <c r="N2117" s="1">
        <v>38918</v>
      </c>
      <c r="O2117" t="s">
        <v>10186</v>
      </c>
      <c r="P2117">
        <v>1</v>
      </c>
      <c r="Q2117" t="s">
        <v>6923</v>
      </c>
      <c r="S2117">
        <v>253.95</v>
      </c>
      <c r="T2117">
        <v>290</v>
      </c>
      <c r="U2117">
        <v>220</v>
      </c>
      <c r="V2117" t="s">
        <v>42</v>
      </c>
      <c r="W2117" t="s">
        <v>116</v>
      </c>
      <c r="X2117" t="s">
        <v>116</v>
      </c>
      <c r="Y2117" t="s">
        <v>1129</v>
      </c>
      <c r="AF2117" t="s">
        <v>13</v>
      </c>
      <c r="AG2117" t="str">
        <f>HYPERLINK("https://doi.org/10.1515/9780748627240")</f>
        <v>https://doi.org/10.1515/9780748627240</v>
      </c>
      <c r="AH2117" t="str">
        <f>HYPERLINK("http://www.degruyter.com/isbn/9780748627240")</f>
        <v>http://www.degruyter.com/isbn/9780748627240</v>
      </c>
      <c r="AI2117" t="s">
        <v>68</v>
      </c>
      <c r="AL2117" t="s">
        <v>47</v>
      </c>
      <c r="AM2117">
        <v>1</v>
      </c>
      <c r="AN2117" s="2">
        <v>9780748612918</v>
      </c>
    </row>
    <row r="2118" spans="1:40" x14ac:dyDescent="0.3">
      <c r="A2118" t="s">
        <v>10187</v>
      </c>
      <c r="B2118" t="s">
        <v>1</v>
      </c>
      <c r="C2118" t="s">
        <v>10188</v>
      </c>
      <c r="D2118" t="s">
        <v>5690</v>
      </c>
      <c r="E2118" t="s">
        <v>10189</v>
      </c>
      <c r="F2118" t="s">
        <v>5</v>
      </c>
      <c r="G2118" t="s">
        <v>6</v>
      </c>
      <c r="L2118" t="s">
        <v>7</v>
      </c>
      <c r="M2118">
        <v>2016</v>
      </c>
      <c r="N2118" s="1">
        <v>42390</v>
      </c>
      <c r="O2118" t="s">
        <v>10190</v>
      </c>
      <c r="P2118">
        <v>1</v>
      </c>
      <c r="Q2118" t="s">
        <v>5693</v>
      </c>
      <c r="S2118">
        <v>227.95</v>
      </c>
      <c r="T2118">
        <v>260</v>
      </c>
      <c r="U2118">
        <v>200</v>
      </c>
      <c r="V2118" t="s">
        <v>42</v>
      </c>
      <c r="W2118" t="s">
        <v>116</v>
      </c>
      <c r="X2118" t="s">
        <v>116</v>
      </c>
      <c r="Y2118" t="s">
        <v>117</v>
      </c>
      <c r="AF2118" t="s">
        <v>13</v>
      </c>
      <c r="AG2118" t="str">
        <f>HYPERLINK("https://doi.org/10.1515/9781474401623")</f>
        <v>https://doi.org/10.1515/9781474401623</v>
      </c>
      <c r="AH2118" t="str">
        <f>HYPERLINK("http://www.degruyter.com/isbn/9781474401623")</f>
        <v>http://www.degruyter.com/isbn/9781474401623</v>
      </c>
      <c r="AI2118" t="s">
        <v>180</v>
      </c>
      <c r="AL2118" t="s">
        <v>47</v>
      </c>
      <c r="AM2118">
        <v>1</v>
      </c>
      <c r="AN2118" s="2">
        <v>9781474401616</v>
      </c>
    </row>
    <row r="2119" spans="1:40" x14ac:dyDescent="0.3">
      <c r="A2119" t="s">
        <v>10191</v>
      </c>
      <c r="B2119" t="s">
        <v>1</v>
      </c>
      <c r="C2119" t="s">
        <v>10192</v>
      </c>
      <c r="D2119" t="s">
        <v>1672</v>
      </c>
      <c r="E2119" t="s">
        <v>10193</v>
      </c>
      <c r="F2119" t="s">
        <v>5</v>
      </c>
      <c r="G2119" t="s">
        <v>6</v>
      </c>
      <c r="L2119" t="s">
        <v>7</v>
      </c>
      <c r="M2119">
        <v>1999</v>
      </c>
      <c r="N2119" s="1">
        <v>44599</v>
      </c>
      <c r="O2119" t="s">
        <v>10194</v>
      </c>
      <c r="P2119">
        <v>1</v>
      </c>
      <c r="Q2119" t="s">
        <v>10195</v>
      </c>
      <c r="S2119">
        <v>331.95</v>
      </c>
      <c r="T2119">
        <v>380</v>
      </c>
      <c r="U2119">
        <v>290</v>
      </c>
      <c r="V2119" t="s">
        <v>42</v>
      </c>
      <c r="W2119" t="s">
        <v>290</v>
      </c>
      <c r="X2119" t="s">
        <v>290</v>
      </c>
      <c r="Y2119" t="s">
        <v>291</v>
      </c>
      <c r="AF2119" t="s">
        <v>13</v>
      </c>
      <c r="AG2119" t="str">
        <f>HYPERLINK("https://doi.org/10.1515/9781474469661")</f>
        <v>https://doi.org/10.1515/9781474469661</v>
      </c>
      <c r="AH2119" t="str">
        <f>HYPERLINK("http://www.degruyter.com/isbn/9781474469661")</f>
        <v>http://www.degruyter.com/isbn/9781474469661</v>
      </c>
      <c r="AI2119" t="s">
        <v>24</v>
      </c>
      <c r="AL2119" t="s">
        <v>47</v>
      </c>
      <c r="AM2119">
        <v>1</v>
      </c>
      <c r="AN2119" s="2">
        <v>9780748609277</v>
      </c>
    </row>
    <row r="2120" spans="1:40" x14ac:dyDescent="0.3">
      <c r="A2120" t="s">
        <v>10196</v>
      </c>
      <c r="B2120" t="s">
        <v>1</v>
      </c>
      <c r="C2120" t="s">
        <v>10197</v>
      </c>
      <c r="E2120" t="s">
        <v>10198</v>
      </c>
      <c r="F2120" t="s">
        <v>5</v>
      </c>
      <c r="G2120" t="s">
        <v>6</v>
      </c>
      <c r="L2120" t="s">
        <v>7</v>
      </c>
      <c r="M2120">
        <v>2007</v>
      </c>
      <c r="N2120" s="1">
        <v>39191</v>
      </c>
      <c r="O2120" t="s">
        <v>10199</v>
      </c>
      <c r="P2120">
        <v>1</v>
      </c>
      <c r="S2120">
        <v>227.95</v>
      </c>
      <c r="T2120">
        <v>260</v>
      </c>
      <c r="U2120">
        <v>200</v>
      </c>
      <c r="V2120" t="s">
        <v>42</v>
      </c>
      <c r="W2120" t="s">
        <v>107</v>
      </c>
      <c r="X2120" t="s">
        <v>108</v>
      </c>
      <c r="Y2120" t="s">
        <v>109</v>
      </c>
      <c r="AF2120" t="s">
        <v>13</v>
      </c>
      <c r="AG2120" t="str">
        <f>HYPERLINK("https://doi.org/10.1515/9780748631353?locatt=mode:legacy")</f>
        <v>https://doi.org/10.1515/9780748631353?locatt=mode:legacy</v>
      </c>
      <c r="AH2120" t="str">
        <f>HYPERLINK("http://www.degruyter.com/isbn/9780748631353")</f>
        <v>http://www.degruyter.com/isbn/9780748631353</v>
      </c>
      <c r="AI2120" t="s">
        <v>68</v>
      </c>
      <c r="AL2120" t="s">
        <v>47</v>
      </c>
      <c r="AM2120">
        <v>1</v>
      </c>
      <c r="AN2120" s="2">
        <v>9780748626069</v>
      </c>
    </row>
    <row r="2121" spans="1:40" x14ac:dyDescent="0.3">
      <c r="A2121" t="s">
        <v>10200</v>
      </c>
      <c r="B2121" t="s">
        <v>1</v>
      </c>
      <c r="C2121" t="s">
        <v>10201</v>
      </c>
      <c r="D2121" t="s">
        <v>10202</v>
      </c>
      <c r="E2121" t="s">
        <v>10203</v>
      </c>
      <c r="F2121" t="s">
        <v>5</v>
      </c>
      <c r="G2121" t="s">
        <v>6</v>
      </c>
      <c r="L2121" t="s">
        <v>7</v>
      </c>
      <c r="M2121">
        <v>2021</v>
      </c>
      <c r="N2121" s="1">
        <v>44656</v>
      </c>
      <c r="O2121" t="s">
        <v>10204</v>
      </c>
      <c r="P2121">
        <v>1</v>
      </c>
      <c r="Q2121" t="s">
        <v>6923</v>
      </c>
      <c r="S2121">
        <v>243.95</v>
      </c>
      <c r="T2121">
        <v>280</v>
      </c>
      <c r="U2121">
        <v>210</v>
      </c>
      <c r="V2121" t="s">
        <v>89</v>
      </c>
      <c r="W2121" t="s">
        <v>90</v>
      </c>
      <c r="X2121" t="s">
        <v>91</v>
      </c>
      <c r="Y2121" t="s">
        <v>717</v>
      </c>
      <c r="AF2121" t="s">
        <v>13</v>
      </c>
      <c r="AG2121" t="str">
        <f>HYPERLINK("https://doi.org/10.1515/9781474451543")</f>
        <v>https://doi.org/10.1515/9781474451543</v>
      </c>
      <c r="AH2121" t="str">
        <f>HYPERLINK("http://www.degruyter.com/isbn/9781474451543")</f>
        <v>http://www.degruyter.com/isbn/9781474451543</v>
      </c>
      <c r="AI2121" t="s">
        <v>10205</v>
      </c>
      <c r="AL2121" t="s">
        <v>83</v>
      </c>
      <c r="AM2121">
        <v>1</v>
      </c>
      <c r="AN2121" s="2">
        <v>9781474451529</v>
      </c>
    </row>
    <row r="2122" spans="1:40" x14ac:dyDescent="0.3">
      <c r="A2122" t="s">
        <v>10206</v>
      </c>
      <c r="B2122" t="s">
        <v>1</v>
      </c>
      <c r="C2122" t="s">
        <v>10207</v>
      </c>
      <c r="D2122" t="s">
        <v>10208</v>
      </c>
      <c r="E2122" t="s">
        <v>10209</v>
      </c>
      <c r="F2122" t="s">
        <v>5</v>
      </c>
      <c r="G2122" t="s">
        <v>6</v>
      </c>
      <c r="L2122" t="s">
        <v>7</v>
      </c>
      <c r="M2122">
        <v>2010</v>
      </c>
      <c r="N2122" s="1">
        <v>44592</v>
      </c>
      <c r="O2122" t="s">
        <v>10210</v>
      </c>
      <c r="P2122">
        <v>1</v>
      </c>
      <c r="Q2122" t="s">
        <v>10151</v>
      </c>
      <c r="S2122">
        <v>217.95</v>
      </c>
      <c r="T2122">
        <v>250</v>
      </c>
      <c r="U2122">
        <v>190</v>
      </c>
      <c r="V2122" t="s">
        <v>79</v>
      </c>
      <c r="W2122" t="s">
        <v>209</v>
      </c>
      <c r="X2122" t="s">
        <v>209</v>
      </c>
      <c r="Y2122" t="s">
        <v>510</v>
      </c>
      <c r="AF2122" t="s">
        <v>13</v>
      </c>
      <c r="AG2122" t="str">
        <f>HYPERLINK("https://doi.org/10.1515/9781474469555")</f>
        <v>https://doi.org/10.1515/9781474469555</v>
      </c>
      <c r="AH2122" t="str">
        <f>HYPERLINK("http://www.degruyter.com/isbn/9781474469555")</f>
        <v>http://www.degruyter.com/isbn/9781474469555</v>
      </c>
      <c r="AI2122" t="s">
        <v>68</v>
      </c>
      <c r="AL2122" t="s">
        <v>83</v>
      </c>
      <c r="AM2122">
        <v>1</v>
      </c>
      <c r="AN2122" s="2">
        <v>9780748638932</v>
      </c>
    </row>
    <row r="2123" spans="1:40" x14ac:dyDescent="0.3">
      <c r="A2123" t="s">
        <v>10211</v>
      </c>
      <c r="B2123" t="s">
        <v>1</v>
      </c>
      <c r="C2123" t="s">
        <v>10212</v>
      </c>
      <c r="D2123" t="s">
        <v>10213</v>
      </c>
      <c r="E2123" t="s">
        <v>10214</v>
      </c>
      <c r="F2123" t="s">
        <v>5</v>
      </c>
      <c r="G2123" t="s">
        <v>6</v>
      </c>
      <c r="L2123" t="s">
        <v>7</v>
      </c>
      <c r="M2123">
        <v>1999</v>
      </c>
      <c r="N2123" s="1">
        <v>44719</v>
      </c>
      <c r="O2123" t="s">
        <v>10215</v>
      </c>
      <c r="P2123">
        <v>1</v>
      </c>
      <c r="Q2123" t="s">
        <v>9050</v>
      </c>
      <c r="S2123">
        <v>305.95</v>
      </c>
      <c r="T2123">
        <v>350</v>
      </c>
      <c r="U2123">
        <v>270</v>
      </c>
      <c r="V2123" t="s">
        <v>20</v>
      </c>
      <c r="W2123" t="s">
        <v>21</v>
      </c>
      <c r="X2123" t="s">
        <v>22</v>
      </c>
      <c r="Y2123" t="s">
        <v>23</v>
      </c>
      <c r="AF2123" t="s">
        <v>13</v>
      </c>
      <c r="AG2123" t="str">
        <f>HYPERLINK("https://doi.org/10.1515/9781474473088")</f>
        <v>https://doi.org/10.1515/9781474473088</v>
      </c>
      <c r="AH2123" t="str">
        <f>HYPERLINK("http://www.degruyter.com/isbn/9781474473088")</f>
        <v>http://www.degruyter.com/isbn/9781474473088</v>
      </c>
      <c r="AI2123" t="s">
        <v>24</v>
      </c>
      <c r="AL2123" t="s">
        <v>15</v>
      </c>
      <c r="AM2123">
        <v>1</v>
      </c>
      <c r="AN2123" s="2">
        <v>9780748610402</v>
      </c>
    </row>
    <row r="2124" spans="1:40" x14ac:dyDescent="0.3">
      <c r="A2124" t="s">
        <v>10216</v>
      </c>
      <c r="B2124" t="s">
        <v>1</v>
      </c>
      <c r="C2124" t="s">
        <v>10217</v>
      </c>
      <c r="D2124" t="s">
        <v>10218</v>
      </c>
      <c r="E2124" t="s">
        <v>10219</v>
      </c>
      <c r="F2124" t="s">
        <v>5</v>
      </c>
      <c r="G2124" t="s">
        <v>6</v>
      </c>
      <c r="L2124" t="s">
        <v>7</v>
      </c>
      <c r="M2124">
        <v>2006</v>
      </c>
      <c r="N2124" s="1">
        <v>38974</v>
      </c>
      <c r="O2124" t="s">
        <v>10220</v>
      </c>
      <c r="P2124">
        <v>1</v>
      </c>
      <c r="S2124">
        <v>217.95</v>
      </c>
      <c r="T2124">
        <v>250</v>
      </c>
      <c r="U2124">
        <v>190</v>
      </c>
      <c r="V2124" t="s">
        <v>20</v>
      </c>
      <c r="W2124" t="s">
        <v>21</v>
      </c>
      <c r="X2124" t="s">
        <v>3445</v>
      </c>
      <c r="Y2124" t="s">
        <v>10221</v>
      </c>
      <c r="AF2124" t="s">
        <v>13</v>
      </c>
      <c r="AG2124" t="str">
        <f>HYPERLINK("https://doi.org/10.1515/9780748636624?locatt=mode:legacy")</f>
        <v>https://doi.org/10.1515/9780748636624?locatt=mode:legacy</v>
      </c>
      <c r="AH2124" t="str">
        <f>HYPERLINK("http://www.degruyter.com/isbn/9780748636624")</f>
        <v>http://www.degruyter.com/isbn/9780748636624</v>
      </c>
      <c r="AI2124" t="s">
        <v>68</v>
      </c>
      <c r="AL2124" t="s">
        <v>15</v>
      </c>
      <c r="AM2124">
        <v>1</v>
      </c>
      <c r="AN2124" s="2">
        <v>9780748624997</v>
      </c>
    </row>
    <row r="2125" spans="1:40" x14ac:dyDescent="0.3">
      <c r="A2125" t="s">
        <v>10222</v>
      </c>
      <c r="B2125" t="s">
        <v>1</v>
      </c>
      <c r="C2125" t="s">
        <v>10223</v>
      </c>
      <c r="D2125" t="s">
        <v>10224</v>
      </c>
      <c r="E2125" t="s">
        <v>10225</v>
      </c>
      <c r="F2125" t="s">
        <v>5</v>
      </c>
      <c r="G2125" t="s">
        <v>6</v>
      </c>
      <c r="L2125" t="s">
        <v>7</v>
      </c>
      <c r="M2125">
        <v>2016</v>
      </c>
      <c r="N2125" s="1">
        <v>42719</v>
      </c>
      <c r="O2125" t="s">
        <v>10226</v>
      </c>
      <c r="P2125">
        <v>1</v>
      </c>
      <c r="Q2125" t="s">
        <v>7238</v>
      </c>
      <c r="S2125">
        <v>321.95</v>
      </c>
      <c r="T2125">
        <v>370</v>
      </c>
      <c r="U2125">
        <v>280</v>
      </c>
      <c r="V2125" t="s">
        <v>329</v>
      </c>
      <c r="W2125" t="s">
        <v>330</v>
      </c>
      <c r="X2125" t="s">
        <v>331</v>
      </c>
      <c r="Y2125" t="s">
        <v>4770</v>
      </c>
      <c r="AF2125" t="s">
        <v>13</v>
      </c>
      <c r="AG2125" t="str">
        <f>HYPERLINK("https://doi.org/10.1515/9781474414265?locatt=mode:legacy")</f>
        <v>https://doi.org/10.1515/9781474414265?locatt=mode:legacy</v>
      </c>
      <c r="AH2125" t="str">
        <f>HYPERLINK("http://www.degruyter.com/isbn/9781474414265")</f>
        <v>http://www.degruyter.com/isbn/9781474414265</v>
      </c>
      <c r="AI2125" t="s">
        <v>180</v>
      </c>
      <c r="AL2125" t="s">
        <v>333</v>
      </c>
      <c r="AM2125">
        <v>1</v>
      </c>
      <c r="AN2125" s="2">
        <v>9781474414258</v>
      </c>
    </row>
    <row r="2126" spans="1:40" x14ac:dyDescent="0.3">
      <c r="A2126" t="s">
        <v>10227</v>
      </c>
      <c r="B2126" t="s">
        <v>1</v>
      </c>
      <c r="C2126" t="s">
        <v>10228</v>
      </c>
      <c r="D2126" t="s">
        <v>10229</v>
      </c>
      <c r="E2126" t="s">
        <v>10230</v>
      </c>
      <c r="F2126" t="s">
        <v>5</v>
      </c>
      <c r="G2126" t="s">
        <v>6</v>
      </c>
      <c r="L2126" t="s">
        <v>7</v>
      </c>
      <c r="M2126">
        <v>2009</v>
      </c>
      <c r="N2126" s="1">
        <v>39954</v>
      </c>
      <c r="O2126" t="s">
        <v>10231</v>
      </c>
      <c r="P2126">
        <v>1</v>
      </c>
      <c r="S2126">
        <v>243.95</v>
      </c>
      <c r="T2126">
        <v>280</v>
      </c>
      <c r="U2126">
        <v>210</v>
      </c>
      <c r="V2126" t="s">
        <v>9</v>
      </c>
      <c r="W2126" t="s">
        <v>10</v>
      </c>
      <c r="X2126" t="s">
        <v>596</v>
      </c>
      <c r="Y2126" t="s">
        <v>4327</v>
      </c>
      <c r="AF2126" t="s">
        <v>13</v>
      </c>
      <c r="AG2126" t="str">
        <f>HYPERLINK("https://doi.org/10.1515/9780748635948?locatt=mode:legacy")</f>
        <v>https://doi.org/10.1515/9780748635948?locatt=mode:legacy</v>
      </c>
      <c r="AH2126" t="str">
        <f>HYPERLINK("http://www.degruyter.com/isbn/9780748635948")</f>
        <v>http://www.degruyter.com/isbn/9780748635948</v>
      </c>
      <c r="AI2126" t="s">
        <v>68</v>
      </c>
      <c r="AL2126" t="s">
        <v>15</v>
      </c>
      <c r="AM2126">
        <v>1</v>
      </c>
      <c r="AN2126" s="2">
        <v>9780748635924</v>
      </c>
    </row>
    <row r="2127" spans="1:40" x14ac:dyDescent="0.3">
      <c r="A2127" t="s">
        <v>10232</v>
      </c>
      <c r="B2127" t="s">
        <v>1</v>
      </c>
      <c r="C2127" t="s">
        <v>10233</v>
      </c>
      <c r="E2127" t="s">
        <v>10234</v>
      </c>
      <c r="F2127" t="s">
        <v>5</v>
      </c>
      <c r="G2127" t="s">
        <v>6</v>
      </c>
      <c r="L2127" t="s">
        <v>7</v>
      </c>
      <c r="M2127">
        <v>2013</v>
      </c>
      <c r="N2127" s="1">
        <v>41366</v>
      </c>
      <c r="O2127" t="s">
        <v>6075</v>
      </c>
      <c r="P2127">
        <v>1</v>
      </c>
      <c r="Q2127" t="s">
        <v>5715</v>
      </c>
      <c r="S2127">
        <v>217.95</v>
      </c>
      <c r="T2127">
        <v>250</v>
      </c>
      <c r="U2127">
        <v>190</v>
      </c>
      <c r="V2127" t="s">
        <v>98</v>
      </c>
      <c r="W2127" t="s">
        <v>366</v>
      </c>
      <c r="X2127" t="s">
        <v>367</v>
      </c>
      <c r="Y2127" t="s">
        <v>368</v>
      </c>
      <c r="AF2127" t="s">
        <v>13</v>
      </c>
      <c r="AG2127" t="str">
        <f>HYPERLINK("https://doi.org/10.1515/9780748646630")</f>
        <v>https://doi.org/10.1515/9780748646630</v>
      </c>
      <c r="AH2127" t="str">
        <f>HYPERLINK("http://www.degruyter.com/isbn/9780748646630")</f>
        <v>http://www.degruyter.com/isbn/9780748646630</v>
      </c>
      <c r="AI2127" t="s">
        <v>68</v>
      </c>
      <c r="AL2127" t="s">
        <v>102</v>
      </c>
      <c r="AM2127">
        <v>1</v>
      </c>
      <c r="AN2127" s="2">
        <v>9780748646616</v>
      </c>
    </row>
    <row r="2128" spans="1:40" x14ac:dyDescent="0.3">
      <c r="A2128" t="s">
        <v>10235</v>
      </c>
      <c r="B2128" t="s">
        <v>1</v>
      </c>
      <c r="C2128" t="s">
        <v>10236</v>
      </c>
      <c r="E2128" t="s">
        <v>10237</v>
      </c>
      <c r="F2128" t="s">
        <v>5</v>
      </c>
      <c r="G2128" t="s">
        <v>6</v>
      </c>
      <c r="L2128" t="s">
        <v>7</v>
      </c>
      <c r="M2128">
        <v>2011</v>
      </c>
      <c r="N2128" s="1">
        <v>40626</v>
      </c>
      <c r="O2128" t="s">
        <v>4335</v>
      </c>
      <c r="P2128">
        <v>1</v>
      </c>
      <c r="S2128">
        <v>243.95</v>
      </c>
      <c r="T2128">
        <v>280</v>
      </c>
      <c r="U2128">
        <v>210</v>
      </c>
      <c r="V2128" t="s">
        <v>20</v>
      </c>
      <c r="W2128" t="s">
        <v>21</v>
      </c>
      <c r="X2128" t="s">
        <v>575</v>
      </c>
      <c r="Y2128" t="s">
        <v>576</v>
      </c>
      <c r="AF2128" t="s">
        <v>13</v>
      </c>
      <c r="AG2128" t="str">
        <f>HYPERLINK("https://doi.org/10.1515/9780748628230?locatt=mode:legacy")</f>
        <v>https://doi.org/10.1515/9780748628230?locatt=mode:legacy</v>
      </c>
      <c r="AH2128" t="str">
        <f>HYPERLINK("http://www.degruyter.com/isbn/9780748628230")</f>
        <v>http://www.degruyter.com/isbn/9780748628230</v>
      </c>
      <c r="AI2128" t="s">
        <v>68</v>
      </c>
      <c r="AL2128" t="s">
        <v>15</v>
      </c>
      <c r="AM2128">
        <v>1</v>
      </c>
      <c r="AN2128" s="2">
        <v>9780748612987</v>
      </c>
    </row>
    <row r="2129" spans="1:40" x14ac:dyDescent="0.3">
      <c r="A2129" t="s">
        <v>10238</v>
      </c>
      <c r="B2129" t="s">
        <v>1</v>
      </c>
      <c r="C2129" t="s">
        <v>10239</v>
      </c>
      <c r="D2129" t="s">
        <v>10240</v>
      </c>
      <c r="E2129" t="s">
        <v>10241</v>
      </c>
      <c r="F2129" t="s">
        <v>5</v>
      </c>
      <c r="G2129" t="s">
        <v>6</v>
      </c>
      <c r="L2129" t="s">
        <v>7</v>
      </c>
      <c r="M2129">
        <v>2021</v>
      </c>
      <c r="N2129" s="1">
        <v>44656</v>
      </c>
      <c r="O2129" t="s">
        <v>10242</v>
      </c>
      <c r="P2129">
        <v>1</v>
      </c>
      <c r="Q2129" t="s">
        <v>8607</v>
      </c>
      <c r="S2129">
        <v>217.95</v>
      </c>
      <c r="T2129">
        <v>250</v>
      </c>
      <c r="U2129">
        <v>190</v>
      </c>
      <c r="V2129" t="s">
        <v>20</v>
      </c>
      <c r="W2129" t="s">
        <v>470</v>
      </c>
      <c r="X2129" t="s">
        <v>1269</v>
      </c>
      <c r="Y2129" t="s">
        <v>1705</v>
      </c>
      <c r="AF2129" t="s">
        <v>13</v>
      </c>
      <c r="AG2129" t="str">
        <f>HYPERLINK("https://doi.org/10.1515/9781474480406")</f>
        <v>https://doi.org/10.1515/9781474480406</v>
      </c>
      <c r="AH2129" t="str">
        <f>HYPERLINK("http://www.degruyter.com/isbn/9781474480406")</f>
        <v>http://www.degruyter.com/isbn/9781474480406</v>
      </c>
      <c r="AI2129" t="s">
        <v>473</v>
      </c>
      <c r="AL2129" t="s">
        <v>15</v>
      </c>
      <c r="AM2129">
        <v>1</v>
      </c>
      <c r="AN2129" s="2">
        <v>9781474480376</v>
      </c>
    </row>
    <row r="2130" spans="1:40" x14ac:dyDescent="0.3">
      <c r="A2130" t="s">
        <v>10243</v>
      </c>
      <c r="B2130" t="s">
        <v>1</v>
      </c>
      <c r="C2130" t="s">
        <v>10244</v>
      </c>
      <c r="E2130" t="s">
        <v>10245</v>
      </c>
      <c r="F2130" t="s">
        <v>5</v>
      </c>
      <c r="G2130" t="s">
        <v>6</v>
      </c>
      <c r="L2130" t="s">
        <v>7</v>
      </c>
      <c r="M2130">
        <v>2020</v>
      </c>
      <c r="N2130" s="1">
        <v>44644</v>
      </c>
      <c r="O2130" t="s">
        <v>10246</v>
      </c>
      <c r="P2130">
        <v>1</v>
      </c>
      <c r="S2130">
        <v>227.95</v>
      </c>
      <c r="T2130">
        <v>260</v>
      </c>
      <c r="U2130">
        <v>200</v>
      </c>
      <c r="V2130" t="s">
        <v>58</v>
      </c>
      <c r="W2130" t="s">
        <v>1135</v>
      </c>
      <c r="X2130" t="s">
        <v>1136</v>
      </c>
      <c r="Y2130" t="s">
        <v>10247</v>
      </c>
      <c r="AF2130" t="s">
        <v>13</v>
      </c>
      <c r="AG2130" t="str">
        <f>HYPERLINK("https://doi.org/10.1515/9781474463584")</f>
        <v>https://doi.org/10.1515/9781474463584</v>
      </c>
      <c r="AH2130" t="str">
        <f>HYPERLINK("http://www.degruyter.com/isbn/9781474463584")</f>
        <v>http://www.degruyter.com/isbn/9781474463584</v>
      </c>
      <c r="AI2130" t="s">
        <v>14</v>
      </c>
      <c r="AL2130" t="s">
        <v>62</v>
      </c>
      <c r="AM2130">
        <v>1</v>
      </c>
      <c r="AN2130" s="2">
        <v>9781474463560</v>
      </c>
    </row>
    <row r="2131" spans="1:40" x14ac:dyDescent="0.3">
      <c r="A2131" t="s">
        <v>10248</v>
      </c>
      <c r="B2131" t="s">
        <v>1</v>
      </c>
      <c r="C2131" t="s">
        <v>10249</v>
      </c>
      <c r="E2131" t="s">
        <v>10250</v>
      </c>
      <c r="F2131" t="s">
        <v>5</v>
      </c>
      <c r="G2131" t="s">
        <v>6</v>
      </c>
      <c r="L2131" t="s">
        <v>7</v>
      </c>
      <c r="M2131">
        <v>2020</v>
      </c>
      <c r="N2131" s="1">
        <v>44656</v>
      </c>
      <c r="O2131" t="s">
        <v>10251</v>
      </c>
      <c r="P2131">
        <v>1</v>
      </c>
      <c r="Q2131" t="s">
        <v>10252</v>
      </c>
      <c r="S2131">
        <v>253.95</v>
      </c>
      <c r="T2131">
        <v>290</v>
      </c>
      <c r="U2131">
        <v>220</v>
      </c>
      <c r="V2131" t="s">
        <v>79</v>
      </c>
      <c r="W2131" t="s">
        <v>209</v>
      </c>
      <c r="X2131" t="s">
        <v>209</v>
      </c>
      <c r="Y2131" t="s">
        <v>699</v>
      </c>
      <c r="AF2131" t="s">
        <v>13</v>
      </c>
      <c r="AG2131" t="str">
        <f>HYPERLINK("https://doi.org/10.1515/9781474430838")</f>
        <v>https://doi.org/10.1515/9781474430838</v>
      </c>
      <c r="AH2131" t="str">
        <f>HYPERLINK("http://www.degruyter.com/isbn/9781474430838")</f>
        <v>http://www.degruyter.com/isbn/9781474430838</v>
      </c>
      <c r="AI2131" t="s">
        <v>14</v>
      </c>
      <c r="AL2131" t="s">
        <v>83</v>
      </c>
      <c r="AM2131">
        <v>1</v>
      </c>
      <c r="AN2131" s="2">
        <v>9781474430814</v>
      </c>
    </row>
    <row r="2132" spans="1:40" x14ac:dyDescent="0.3">
      <c r="A2132" t="s">
        <v>10253</v>
      </c>
      <c r="B2132" t="s">
        <v>1</v>
      </c>
      <c r="C2132" t="s">
        <v>10254</v>
      </c>
      <c r="D2132" t="s">
        <v>10255</v>
      </c>
      <c r="E2132" t="s">
        <v>10256</v>
      </c>
      <c r="F2132" t="s">
        <v>5</v>
      </c>
      <c r="G2132" t="s">
        <v>6</v>
      </c>
      <c r="L2132" t="s">
        <v>7</v>
      </c>
      <c r="M2132">
        <v>2016</v>
      </c>
      <c r="N2132" s="1">
        <v>42426</v>
      </c>
      <c r="O2132" t="s">
        <v>10257</v>
      </c>
      <c r="P2132">
        <v>1</v>
      </c>
      <c r="S2132">
        <v>217.95</v>
      </c>
      <c r="T2132">
        <v>250</v>
      </c>
      <c r="U2132">
        <v>190</v>
      </c>
      <c r="V2132" t="s">
        <v>20</v>
      </c>
      <c r="W2132" t="s">
        <v>21</v>
      </c>
      <c r="X2132" t="s">
        <v>575</v>
      </c>
      <c r="Y2132" t="s">
        <v>576</v>
      </c>
      <c r="AF2132" t="s">
        <v>13</v>
      </c>
      <c r="AG2132" t="str">
        <f>HYPERLINK("https://doi.org/10.1515/9780748699971")</f>
        <v>https://doi.org/10.1515/9780748699971</v>
      </c>
      <c r="AH2132" t="str">
        <f>HYPERLINK("http://www.degruyter.com/isbn/9780748699971")</f>
        <v>http://www.degruyter.com/isbn/9780748699971</v>
      </c>
      <c r="AI2132" t="s">
        <v>180</v>
      </c>
      <c r="AL2132" t="s">
        <v>15</v>
      </c>
      <c r="AM2132">
        <v>1</v>
      </c>
      <c r="AN2132" s="2">
        <v>9780748697670</v>
      </c>
    </row>
    <row r="2133" spans="1:40" x14ac:dyDescent="0.3">
      <c r="A2133" t="s">
        <v>10258</v>
      </c>
      <c r="B2133" t="s">
        <v>1</v>
      </c>
      <c r="C2133" t="s">
        <v>10259</v>
      </c>
      <c r="D2133" t="s">
        <v>10260</v>
      </c>
      <c r="E2133" t="s">
        <v>10261</v>
      </c>
      <c r="F2133" t="s">
        <v>5</v>
      </c>
      <c r="G2133" t="s">
        <v>6</v>
      </c>
      <c r="L2133" t="s">
        <v>7</v>
      </c>
      <c r="M2133">
        <v>2021</v>
      </c>
      <c r="N2133" s="1">
        <v>44656</v>
      </c>
      <c r="O2133" t="s">
        <v>10262</v>
      </c>
      <c r="P2133">
        <v>1</v>
      </c>
      <c r="Q2133" t="s">
        <v>6858</v>
      </c>
      <c r="S2133">
        <v>217.95</v>
      </c>
      <c r="T2133">
        <v>250</v>
      </c>
      <c r="U2133">
        <v>190</v>
      </c>
      <c r="V2133" t="s">
        <v>58</v>
      </c>
      <c r="W2133" t="s">
        <v>59</v>
      </c>
      <c r="X2133" t="s">
        <v>60</v>
      </c>
      <c r="Y2133" t="s">
        <v>169</v>
      </c>
      <c r="AF2133" t="s">
        <v>13</v>
      </c>
      <c r="AG2133" t="str">
        <f>HYPERLINK("https://doi.org/10.1515/9781474453349")</f>
        <v>https://doi.org/10.1515/9781474453349</v>
      </c>
      <c r="AH2133" t="str">
        <f>HYPERLINK("http://www.degruyter.com/isbn/9781474453349")</f>
        <v>http://www.degruyter.com/isbn/9781474453349</v>
      </c>
      <c r="AI2133" t="s">
        <v>5150</v>
      </c>
      <c r="AL2133" t="s">
        <v>62</v>
      </c>
      <c r="AM2133">
        <v>1</v>
      </c>
      <c r="AN2133" s="2">
        <v>9781474453325</v>
      </c>
    </row>
    <row r="2134" spans="1:40" x14ac:dyDescent="0.3">
      <c r="A2134" t="s">
        <v>10263</v>
      </c>
      <c r="B2134" t="s">
        <v>1</v>
      </c>
      <c r="C2134" t="s">
        <v>10264</v>
      </c>
      <c r="D2134" t="s">
        <v>10265</v>
      </c>
      <c r="E2134" t="s">
        <v>10266</v>
      </c>
      <c r="F2134" t="s">
        <v>5</v>
      </c>
      <c r="G2134" t="s">
        <v>6</v>
      </c>
      <c r="L2134" t="s">
        <v>7</v>
      </c>
      <c r="M2134">
        <v>2006</v>
      </c>
      <c r="N2134" s="1">
        <v>38930</v>
      </c>
      <c r="O2134" t="s">
        <v>10267</v>
      </c>
      <c r="P2134">
        <v>1</v>
      </c>
      <c r="Q2134" t="s">
        <v>6665</v>
      </c>
      <c r="S2134">
        <v>217.95</v>
      </c>
      <c r="T2134">
        <v>250</v>
      </c>
      <c r="U2134">
        <v>190</v>
      </c>
      <c r="V2134" t="s">
        <v>9</v>
      </c>
      <c r="W2134" t="s">
        <v>10</v>
      </c>
      <c r="X2134" t="s">
        <v>11</v>
      </c>
      <c r="Y2134" t="s">
        <v>12</v>
      </c>
      <c r="AF2134" t="s">
        <v>13</v>
      </c>
      <c r="AG2134" t="str">
        <f>HYPERLINK("https://doi.org/10.1515/9780748628063?locatt=mode:legacy")</f>
        <v>https://doi.org/10.1515/9780748628063?locatt=mode:legacy</v>
      </c>
      <c r="AH2134" t="str">
        <f>HYPERLINK("http://www.degruyter.com/isbn/9780748628063")</f>
        <v>http://www.degruyter.com/isbn/9780748628063</v>
      </c>
      <c r="AI2134" t="s">
        <v>68</v>
      </c>
      <c r="AL2134" t="s">
        <v>15</v>
      </c>
      <c r="AM2134">
        <v>1</v>
      </c>
      <c r="AN2134" s="2">
        <v>9780748621231</v>
      </c>
    </row>
    <row r="2135" spans="1:40" x14ac:dyDescent="0.3">
      <c r="A2135" t="s">
        <v>10268</v>
      </c>
      <c r="B2135" t="s">
        <v>1</v>
      </c>
      <c r="C2135" t="s">
        <v>10269</v>
      </c>
      <c r="E2135" t="s">
        <v>10270</v>
      </c>
      <c r="F2135" t="s">
        <v>5</v>
      </c>
      <c r="G2135" t="s">
        <v>6</v>
      </c>
      <c r="L2135" t="s">
        <v>7</v>
      </c>
      <c r="M2135">
        <v>2004</v>
      </c>
      <c r="N2135" s="1">
        <v>44607</v>
      </c>
      <c r="O2135" t="s">
        <v>10271</v>
      </c>
      <c r="P2135">
        <v>1</v>
      </c>
      <c r="Q2135" t="s">
        <v>6923</v>
      </c>
      <c r="S2135">
        <v>217.95</v>
      </c>
      <c r="T2135">
        <v>250</v>
      </c>
      <c r="U2135">
        <v>190</v>
      </c>
      <c r="V2135" t="s">
        <v>297</v>
      </c>
      <c r="W2135" t="s">
        <v>298</v>
      </c>
      <c r="X2135" t="s">
        <v>298</v>
      </c>
      <c r="Y2135" t="s">
        <v>10272</v>
      </c>
      <c r="AF2135" t="s">
        <v>13</v>
      </c>
      <c r="AG2135" t="str">
        <f>HYPERLINK("https://doi.org/10.1515/9781474496995")</f>
        <v>https://doi.org/10.1515/9781474496995</v>
      </c>
      <c r="AH2135" t="str">
        <f>HYPERLINK("http://www.degruyter.com/isbn/9781474496995")</f>
        <v>http://www.degruyter.com/isbn/9781474496995</v>
      </c>
      <c r="AI2135" t="s">
        <v>10273</v>
      </c>
      <c r="AL2135" t="s">
        <v>83</v>
      </c>
      <c r="AM2135">
        <v>1</v>
      </c>
      <c r="AN2135" s="2">
        <v>9780748618880</v>
      </c>
    </row>
    <row r="2136" spans="1:40" x14ac:dyDescent="0.3">
      <c r="A2136" t="s">
        <v>10274</v>
      </c>
      <c r="B2136" t="s">
        <v>1</v>
      </c>
      <c r="C2136" t="s">
        <v>10275</v>
      </c>
      <c r="E2136" t="s">
        <v>10276</v>
      </c>
      <c r="F2136" t="s">
        <v>5</v>
      </c>
      <c r="G2136" t="s">
        <v>6</v>
      </c>
      <c r="L2136" t="s">
        <v>7</v>
      </c>
      <c r="M2136">
        <v>2021</v>
      </c>
      <c r="N2136" s="1">
        <v>44656</v>
      </c>
      <c r="O2136" t="s">
        <v>10277</v>
      </c>
      <c r="P2136">
        <v>1</v>
      </c>
      <c r="Q2136" t="s">
        <v>6729</v>
      </c>
      <c r="S2136">
        <v>217.95</v>
      </c>
      <c r="T2136">
        <v>250</v>
      </c>
      <c r="U2136">
        <v>190</v>
      </c>
      <c r="V2136" t="s">
        <v>79</v>
      </c>
      <c r="W2136" t="s">
        <v>734</v>
      </c>
      <c r="X2136" t="s">
        <v>734</v>
      </c>
      <c r="Y2136" t="s">
        <v>735</v>
      </c>
      <c r="AF2136" t="s">
        <v>13</v>
      </c>
      <c r="AG2136" t="str">
        <f>HYPERLINK("https://doi.org/10.1515/9781474451307")</f>
        <v>https://doi.org/10.1515/9781474451307</v>
      </c>
      <c r="AH2136" t="str">
        <f>HYPERLINK("http://www.degruyter.com/isbn/9781474451307")</f>
        <v>http://www.degruyter.com/isbn/9781474451307</v>
      </c>
      <c r="AI2136" t="s">
        <v>4630</v>
      </c>
      <c r="AL2136" t="s">
        <v>83</v>
      </c>
      <c r="AM2136">
        <v>1</v>
      </c>
      <c r="AN2136" s="2">
        <v>9781474451284</v>
      </c>
    </row>
    <row r="2137" spans="1:40" x14ac:dyDescent="0.3">
      <c r="A2137" t="s">
        <v>10278</v>
      </c>
      <c r="B2137" t="s">
        <v>1</v>
      </c>
      <c r="C2137" t="s">
        <v>10279</v>
      </c>
      <c r="E2137" t="s">
        <v>10280</v>
      </c>
      <c r="F2137" t="s">
        <v>5</v>
      </c>
      <c r="G2137" t="s">
        <v>6</v>
      </c>
      <c r="L2137" t="s">
        <v>7</v>
      </c>
      <c r="M2137">
        <v>2006</v>
      </c>
      <c r="N2137" s="1">
        <v>38912</v>
      </c>
      <c r="O2137" t="s">
        <v>10281</v>
      </c>
      <c r="P2137">
        <v>1</v>
      </c>
      <c r="Q2137" t="s">
        <v>7521</v>
      </c>
      <c r="S2137">
        <v>279.95</v>
      </c>
      <c r="T2137">
        <v>320</v>
      </c>
      <c r="U2137">
        <v>240</v>
      </c>
      <c r="V2137" t="s">
        <v>9</v>
      </c>
      <c r="W2137" t="s">
        <v>10</v>
      </c>
      <c r="X2137" t="s">
        <v>11</v>
      </c>
      <c r="Y2137" t="s">
        <v>12</v>
      </c>
      <c r="AF2137" t="s">
        <v>13</v>
      </c>
      <c r="AG2137" t="str">
        <f>HYPERLINK("https://doi.org/10.1515/9780748627271?locatt=mode:legacy")</f>
        <v>https://doi.org/10.1515/9780748627271?locatt=mode:legacy</v>
      </c>
      <c r="AH2137" t="str">
        <f>HYPERLINK("http://www.degruyter.com/isbn/9780748627271")</f>
        <v>http://www.degruyter.com/isbn/9780748627271</v>
      </c>
      <c r="AI2137" t="s">
        <v>68</v>
      </c>
      <c r="AL2137" t="s">
        <v>15</v>
      </c>
      <c r="AM2137">
        <v>1</v>
      </c>
      <c r="AN2137" s="2">
        <v>9780748623440</v>
      </c>
    </row>
    <row r="2138" spans="1:40" x14ac:dyDescent="0.3">
      <c r="A2138" t="s">
        <v>10282</v>
      </c>
      <c r="B2138" t="s">
        <v>1</v>
      </c>
      <c r="C2138" t="s">
        <v>10283</v>
      </c>
      <c r="D2138" t="s">
        <v>10284</v>
      </c>
      <c r="E2138" t="s">
        <v>10285</v>
      </c>
      <c r="F2138" t="s">
        <v>5</v>
      </c>
      <c r="G2138" t="s">
        <v>6</v>
      </c>
      <c r="L2138" t="s">
        <v>7</v>
      </c>
      <c r="M2138">
        <v>2013</v>
      </c>
      <c r="N2138" s="1">
        <v>41550</v>
      </c>
      <c r="O2138" t="s">
        <v>10286</v>
      </c>
      <c r="P2138">
        <v>1</v>
      </c>
      <c r="S2138">
        <v>253.95</v>
      </c>
      <c r="T2138">
        <v>290</v>
      </c>
      <c r="U2138">
        <v>220</v>
      </c>
      <c r="V2138" t="s">
        <v>305</v>
      </c>
      <c r="W2138" t="s">
        <v>306</v>
      </c>
      <c r="X2138" t="s">
        <v>306</v>
      </c>
      <c r="Y2138" t="s">
        <v>1313</v>
      </c>
      <c r="AF2138" t="s">
        <v>13</v>
      </c>
      <c r="AG2138" t="str">
        <f>HYPERLINK("https://doi.org/10.1515/9780748670239")</f>
        <v>https://doi.org/10.1515/9780748670239</v>
      </c>
      <c r="AH2138" t="str">
        <f>HYPERLINK("http://www.degruyter.com/isbn/9780748670239")</f>
        <v>http://www.degruyter.com/isbn/9780748670239</v>
      </c>
      <c r="AI2138" t="s">
        <v>68</v>
      </c>
      <c r="AL2138" t="s">
        <v>308</v>
      </c>
      <c r="AM2138">
        <v>1</v>
      </c>
      <c r="AN2138" s="2">
        <v>9780748670222</v>
      </c>
    </row>
    <row r="2139" spans="1:40" x14ac:dyDescent="0.3">
      <c r="A2139" t="s">
        <v>10287</v>
      </c>
      <c r="B2139" t="s">
        <v>1</v>
      </c>
      <c r="C2139" t="s">
        <v>10288</v>
      </c>
      <c r="D2139" t="s">
        <v>10289</v>
      </c>
      <c r="E2139" t="s">
        <v>10290</v>
      </c>
      <c r="F2139" t="s">
        <v>5</v>
      </c>
      <c r="G2139" t="s">
        <v>6</v>
      </c>
      <c r="L2139" t="s">
        <v>7</v>
      </c>
      <c r="M2139">
        <v>2015</v>
      </c>
      <c r="N2139" s="1">
        <v>42264</v>
      </c>
      <c r="O2139" t="s">
        <v>1894</v>
      </c>
      <c r="P2139">
        <v>1</v>
      </c>
      <c r="S2139">
        <v>209.95</v>
      </c>
      <c r="T2139">
        <v>240</v>
      </c>
      <c r="U2139">
        <v>180</v>
      </c>
      <c r="V2139" t="s">
        <v>20</v>
      </c>
      <c r="W2139" t="s">
        <v>21</v>
      </c>
      <c r="X2139" t="s">
        <v>22</v>
      </c>
      <c r="Y2139" t="s">
        <v>489</v>
      </c>
      <c r="AF2139" t="s">
        <v>13</v>
      </c>
      <c r="AG2139" t="str">
        <f>HYPERLINK("https://doi.org/10.1515/9780748698097")</f>
        <v>https://doi.org/10.1515/9780748698097</v>
      </c>
      <c r="AH2139" t="str">
        <f>HYPERLINK("http://www.degruyter.com/isbn/9780748698097")</f>
        <v>http://www.degruyter.com/isbn/9780748698097</v>
      </c>
      <c r="AI2139" t="s">
        <v>34</v>
      </c>
      <c r="AL2139" t="s">
        <v>15</v>
      </c>
      <c r="AM2139">
        <v>1</v>
      </c>
      <c r="AN2139" s="2">
        <v>9780748698080</v>
      </c>
    </row>
    <row r="2140" spans="1:40" x14ac:dyDescent="0.3">
      <c r="A2140" t="s">
        <v>10291</v>
      </c>
      <c r="B2140" t="s">
        <v>1</v>
      </c>
      <c r="C2140" t="s">
        <v>10292</v>
      </c>
      <c r="D2140" t="s">
        <v>10293</v>
      </c>
      <c r="E2140" t="s">
        <v>10294</v>
      </c>
      <c r="F2140" t="s">
        <v>5</v>
      </c>
      <c r="G2140" t="s">
        <v>6</v>
      </c>
      <c r="L2140" t="s">
        <v>7</v>
      </c>
      <c r="M2140">
        <v>2012</v>
      </c>
      <c r="N2140" s="1">
        <v>41239</v>
      </c>
      <c r="O2140" t="s">
        <v>10295</v>
      </c>
      <c r="P2140">
        <v>1</v>
      </c>
      <c r="S2140">
        <v>253.95</v>
      </c>
      <c r="T2140">
        <v>290</v>
      </c>
      <c r="U2140">
        <v>220</v>
      </c>
      <c r="V2140" t="s">
        <v>79</v>
      </c>
      <c r="W2140" t="s">
        <v>123</v>
      </c>
      <c r="X2140" t="s">
        <v>123</v>
      </c>
      <c r="Y2140" t="s">
        <v>124</v>
      </c>
      <c r="AF2140" t="s">
        <v>13</v>
      </c>
      <c r="AG2140" t="str">
        <f>HYPERLINK("https://doi.org/10.1515/9780748645114")</f>
        <v>https://doi.org/10.1515/9780748645114</v>
      </c>
      <c r="AH2140" t="str">
        <f>HYPERLINK("http://www.degruyter.com/isbn/9780748645114")</f>
        <v>http://www.degruyter.com/isbn/9780748645114</v>
      </c>
      <c r="AI2140" t="s">
        <v>68</v>
      </c>
      <c r="AL2140" t="s">
        <v>83</v>
      </c>
      <c r="AM2140">
        <v>1</v>
      </c>
      <c r="AN2140" s="2">
        <v>9780748645107</v>
      </c>
    </row>
    <row r="2141" spans="1:40" x14ac:dyDescent="0.3">
      <c r="A2141" t="s">
        <v>10296</v>
      </c>
      <c r="B2141" t="s">
        <v>1</v>
      </c>
      <c r="C2141" t="s">
        <v>10297</v>
      </c>
      <c r="D2141" t="s">
        <v>10298</v>
      </c>
      <c r="E2141" t="s">
        <v>10299</v>
      </c>
      <c r="F2141" t="s">
        <v>5</v>
      </c>
      <c r="G2141" t="s">
        <v>6</v>
      </c>
      <c r="L2141" t="s">
        <v>7</v>
      </c>
      <c r="M2141">
        <v>2014</v>
      </c>
      <c r="N2141" s="1">
        <v>41778</v>
      </c>
      <c r="O2141" t="s">
        <v>10300</v>
      </c>
      <c r="P2141">
        <v>1</v>
      </c>
      <c r="S2141">
        <v>227.95</v>
      </c>
      <c r="T2141">
        <v>260</v>
      </c>
      <c r="U2141">
        <v>200</v>
      </c>
      <c r="V2141" t="s">
        <v>58</v>
      </c>
      <c r="W2141" t="s">
        <v>59</v>
      </c>
      <c r="X2141" t="s">
        <v>278</v>
      </c>
      <c r="Y2141" t="s">
        <v>932</v>
      </c>
      <c r="AF2141" t="s">
        <v>13</v>
      </c>
      <c r="AG2141" t="str">
        <f>HYPERLINK("https://doi.org/10.1515/9780748678587")</f>
        <v>https://doi.org/10.1515/9780748678587</v>
      </c>
      <c r="AH2141" t="str">
        <f>HYPERLINK("http://www.degruyter.com/isbn/9780748678587")</f>
        <v>http://www.degruyter.com/isbn/9780748678587</v>
      </c>
      <c r="AI2141" t="s">
        <v>34</v>
      </c>
      <c r="AL2141" t="s">
        <v>62</v>
      </c>
      <c r="AM2141">
        <v>1</v>
      </c>
      <c r="AN2141" s="2">
        <v>9780748678563</v>
      </c>
    </row>
    <row r="2142" spans="1:40" x14ac:dyDescent="0.3">
      <c r="A2142" t="s">
        <v>10301</v>
      </c>
      <c r="B2142" t="s">
        <v>1</v>
      </c>
      <c r="C2142" t="s">
        <v>10302</v>
      </c>
      <c r="E2142" t="s">
        <v>10303</v>
      </c>
      <c r="F2142" t="s">
        <v>5</v>
      </c>
      <c r="G2142" t="s">
        <v>6</v>
      </c>
      <c r="L2142" t="s">
        <v>7</v>
      </c>
      <c r="M2142">
        <v>1991</v>
      </c>
      <c r="N2142" s="1">
        <v>44719</v>
      </c>
      <c r="O2142" t="s">
        <v>7637</v>
      </c>
      <c r="P2142">
        <v>1</v>
      </c>
      <c r="S2142">
        <v>243.95</v>
      </c>
      <c r="T2142">
        <v>280</v>
      </c>
      <c r="U2142">
        <v>210</v>
      </c>
      <c r="V2142" t="s">
        <v>89</v>
      </c>
      <c r="W2142" t="s">
        <v>90</v>
      </c>
      <c r="X2142" t="s">
        <v>91</v>
      </c>
      <c r="Y2142" t="s">
        <v>717</v>
      </c>
      <c r="AF2142" t="s">
        <v>13</v>
      </c>
      <c r="AG2142" t="str">
        <f>HYPERLINK("https://doi.org/10.1515/9781474473453")</f>
        <v>https://doi.org/10.1515/9781474473453</v>
      </c>
      <c r="AH2142" t="str">
        <f>HYPERLINK("http://www.degruyter.com/isbn/9781474473453")</f>
        <v>http://www.degruyter.com/isbn/9781474473453</v>
      </c>
      <c r="AI2142" t="s">
        <v>24</v>
      </c>
      <c r="AJ2142" t="s">
        <v>35</v>
      </c>
      <c r="AL2142" t="s">
        <v>718</v>
      </c>
      <c r="AM2142">
        <v>1</v>
      </c>
      <c r="AN2142" s="2">
        <v>9780748601707</v>
      </c>
    </row>
    <row r="2143" spans="1:40" x14ac:dyDescent="0.3">
      <c r="A2143" t="s">
        <v>10304</v>
      </c>
      <c r="B2143" t="s">
        <v>1</v>
      </c>
      <c r="C2143" t="s">
        <v>10305</v>
      </c>
      <c r="D2143" t="s">
        <v>10306</v>
      </c>
      <c r="E2143" t="s">
        <v>10307</v>
      </c>
      <c r="F2143" t="s">
        <v>5</v>
      </c>
      <c r="G2143" t="s">
        <v>6</v>
      </c>
      <c r="L2143" t="s">
        <v>7</v>
      </c>
      <c r="M2143">
        <v>2014</v>
      </c>
      <c r="N2143" s="1">
        <v>41850</v>
      </c>
      <c r="O2143" t="s">
        <v>10308</v>
      </c>
      <c r="P2143">
        <v>1</v>
      </c>
      <c r="S2143">
        <v>253.95</v>
      </c>
      <c r="T2143">
        <v>290</v>
      </c>
      <c r="U2143">
        <v>220</v>
      </c>
      <c r="V2143" t="s">
        <v>20</v>
      </c>
      <c r="W2143" t="s">
        <v>21</v>
      </c>
      <c r="X2143" t="s">
        <v>458</v>
      </c>
      <c r="Y2143" t="s">
        <v>459</v>
      </c>
      <c r="AF2143" t="s">
        <v>13</v>
      </c>
      <c r="AG2143" t="str">
        <f>HYPERLINK("https://doi.org/10.1515/9780748693504")</f>
        <v>https://doi.org/10.1515/9780748693504</v>
      </c>
      <c r="AH2143" t="str">
        <f>HYPERLINK("http://www.degruyter.com/isbn/9780748693504")</f>
        <v>http://www.degruyter.com/isbn/9780748693504</v>
      </c>
      <c r="AI2143" t="s">
        <v>34</v>
      </c>
      <c r="AJ2143" t="s">
        <v>35</v>
      </c>
      <c r="AL2143" t="s">
        <v>1346</v>
      </c>
      <c r="AM2143">
        <v>1</v>
      </c>
      <c r="AN2143" s="2">
        <v>9780748693344</v>
      </c>
    </row>
    <row r="2144" spans="1:40" x14ac:dyDescent="0.3">
      <c r="A2144" t="s">
        <v>10309</v>
      </c>
      <c r="B2144" t="s">
        <v>1</v>
      </c>
      <c r="C2144" t="s">
        <v>10310</v>
      </c>
      <c r="E2144" t="s">
        <v>10311</v>
      </c>
      <c r="F2144" t="s">
        <v>5</v>
      </c>
      <c r="G2144" t="s">
        <v>6</v>
      </c>
      <c r="L2144" t="s">
        <v>7</v>
      </c>
      <c r="M2144">
        <v>2002</v>
      </c>
      <c r="N2144" s="1">
        <v>37544</v>
      </c>
      <c r="O2144" t="s">
        <v>10312</v>
      </c>
      <c r="P2144">
        <v>1</v>
      </c>
      <c r="Q2144" t="s">
        <v>7738</v>
      </c>
      <c r="S2144">
        <v>227.95</v>
      </c>
      <c r="T2144">
        <v>260</v>
      </c>
      <c r="U2144">
        <v>200</v>
      </c>
      <c r="V2144" t="s">
        <v>98</v>
      </c>
      <c r="W2144" t="s">
        <v>99</v>
      </c>
      <c r="X2144" t="s">
        <v>386</v>
      </c>
      <c r="Y2144" t="s">
        <v>387</v>
      </c>
      <c r="AF2144" t="s">
        <v>13</v>
      </c>
      <c r="AG2144" t="str">
        <f>HYPERLINK("https://doi.org/10.1515/9780748673124")</f>
        <v>https://doi.org/10.1515/9780748673124</v>
      </c>
      <c r="AH2144" t="str">
        <f>HYPERLINK("http://www.degruyter.com/isbn/9780748673124")</f>
        <v>http://www.degruyter.com/isbn/9780748673124</v>
      </c>
      <c r="AI2144" t="s">
        <v>1661</v>
      </c>
      <c r="AL2144" t="s">
        <v>102</v>
      </c>
      <c r="AM2144">
        <v>1</v>
      </c>
      <c r="AN2144" s="2">
        <v>9780748614806</v>
      </c>
    </row>
    <row r="2145" spans="1:40" x14ac:dyDescent="0.3">
      <c r="A2145" t="s">
        <v>10313</v>
      </c>
      <c r="B2145" t="s">
        <v>1</v>
      </c>
      <c r="C2145" t="s">
        <v>10314</v>
      </c>
      <c r="E2145" t="s">
        <v>10315</v>
      </c>
      <c r="F2145" t="s">
        <v>5</v>
      </c>
      <c r="G2145" t="s">
        <v>6</v>
      </c>
      <c r="L2145" t="s">
        <v>7</v>
      </c>
      <c r="M2145">
        <v>1984</v>
      </c>
      <c r="N2145" s="1">
        <v>44607</v>
      </c>
      <c r="O2145" t="s">
        <v>6997</v>
      </c>
      <c r="P2145">
        <v>1</v>
      </c>
      <c r="Q2145" t="s">
        <v>6998</v>
      </c>
      <c r="S2145">
        <v>876.95</v>
      </c>
      <c r="T2145">
        <v>990</v>
      </c>
      <c r="U2145">
        <v>760</v>
      </c>
      <c r="V2145" t="s">
        <v>1325</v>
      </c>
      <c r="W2145" t="s">
        <v>1326</v>
      </c>
      <c r="X2145" t="s">
        <v>1326</v>
      </c>
      <c r="Y2145" t="s">
        <v>6999</v>
      </c>
      <c r="AF2145" t="s">
        <v>13</v>
      </c>
      <c r="AG2145" t="str">
        <f>HYPERLINK("https://www.degruyter.com/isbn/9781474466127")</f>
        <v>https://www.degruyter.com/isbn/9781474466127</v>
      </c>
      <c r="AH2145" t="str">
        <f>HYPERLINK("http://www.degruyter.com/isbn/9781474466127")</f>
        <v>http://www.degruyter.com/isbn/9781474466127</v>
      </c>
      <c r="AI2145" t="s">
        <v>24</v>
      </c>
      <c r="AL2145" t="s">
        <v>1328</v>
      </c>
      <c r="AM2145">
        <v>1</v>
      </c>
      <c r="AN2145" s="2">
        <v>9780852243961</v>
      </c>
    </row>
    <row r="2146" spans="1:40" x14ac:dyDescent="0.3">
      <c r="A2146" t="s">
        <v>10316</v>
      </c>
      <c r="B2146" t="s">
        <v>1</v>
      </c>
      <c r="C2146" t="s">
        <v>10317</v>
      </c>
      <c r="E2146" t="s">
        <v>10318</v>
      </c>
      <c r="F2146" t="s">
        <v>5</v>
      </c>
      <c r="G2146" t="s">
        <v>6</v>
      </c>
      <c r="L2146" t="s">
        <v>7</v>
      </c>
      <c r="M2146">
        <v>2005</v>
      </c>
      <c r="N2146" s="1">
        <v>38559</v>
      </c>
      <c r="O2146" t="s">
        <v>10319</v>
      </c>
      <c r="P2146">
        <v>1</v>
      </c>
      <c r="Q2146" t="s">
        <v>6723</v>
      </c>
      <c r="S2146">
        <v>253.95</v>
      </c>
      <c r="T2146">
        <v>290</v>
      </c>
      <c r="U2146">
        <v>220</v>
      </c>
      <c r="V2146" t="s">
        <v>79</v>
      </c>
      <c r="W2146" t="s">
        <v>783</v>
      </c>
      <c r="X2146" t="s">
        <v>783</v>
      </c>
      <c r="Y2146" t="s">
        <v>784</v>
      </c>
      <c r="AF2146" t="s">
        <v>13</v>
      </c>
      <c r="AG2146" t="str">
        <f>HYPERLINK("https://doi.org/10.1515/9781474469548")</f>
        <v>https://doi.org/10.1515/9781474469548</v>
      </c>
      <c r="AH2146" t="str">
        <f>HYPERLINK("http://www.degruyter.com/isbn/9781474469548")</f>
        <v>http://www.degruyter.com/isbn/9781474469548</v>
      </c>
      <c r="AI2146" t="s">
        <v>68</v>
      </c>
      <c r="AL2146" t="s">
        <v>83</v>
      </c>
      <c r="AM2146">
        <v>1</v>
      </c>
      <c r="AN2146" s="2">
        <v>9780748621965</v>
      </c>
    </row>
    <row r="2147" spans="1:40" x14ac:dyDescent="0.3">
      <c r="A2147" t="s">
        <v>10320</v>
      </c>
      <c r="B2147" t="s">
        <v>1</v>
      </c>
      <c r="C2147" t="s">
        <v>10321</v>
      </c>
      <c r="D2147" t="s">
        <v>10322</v>
      </c>
      <c r="E2147" t="s">
        <v>10323</v>
      </c>
      <c r="F2147" t="s">
        <v>5</v>
      </c>
      <c r="G2147" t="s">
        <v>6</v>
      </c>
      <c r="L2147" t="s">
        <v>7</v>
      </c>
      <c r="M2147">
        <v>2012</v>
      </c>
      <c r="N2147" s="1">
        <v>40996</v>
      </c>
      <c r="O2147" t="s">
        <v>10324</v>
      </c>
      <c r="P2147">
        <v>1</v>
      </c>
      <c r="Q2147" t="s">
        <v>7529</v>
      </c>
      <c r="S2147">
        <v>287.95</v>
      </c>
      <c r="T2147">
        <v>330</v>
      </c>
      <c r="U2147">
        <v>250</v>
      </c>
      <c r="V2147" t="s">
        <v>329</v>
      </c>
      <c r="W2147" t="s">
        <v>330</v>
      </c>
      <c r="X2147" t="s">
        <v>331</v>
      </c>
      <c r="Y2147" t="s">
        <v>4770</v>
      </c>
      <c r="AF2147" t="s">
        <v>13</v>
      </c>
      <c r="AG2147" t="str">
        <f>HYPERLINK("https://doi.org/10.1515/9780748629046")</f>
        <v>https://doi.org/10.1515/9780748629046</v>
      </c>
      <c r="AH2147" t="str">
        <f>HYPERLINK("http://www.degruyter.com/isbn/9780748629046")</f>
        <v>http://www.degruyter.com/isbn/9780748629046</v>
      </c>
      <c r="AI2147" t="s">
        <v>68</v>
      </c>
      <c r="AL2147" t="s">
        <v>333</v>
      </c>
      <c r="AM2147">
        <v>1</v>
      </c>
      <c r="AN2147" s="2">
        <v>9780748619542</v>
      </c>
    </row>
    <row r="2148" spans="1:40" x14ac:dyDescent="0.3">
      <c r="A2148" t="s">
        <v>10325</v>
      </c>
      <c r="B2148" t="s">
        <v>1</v>
      </c>
      <c r="C2148" t="s">
        <v>10326</v>
      </c>
      <c r="E2148" t="s">
        <v>10327</v>
      </c>
      <c r="F2148" t="s">
        <v>5</v>
      </c>
      <c r="G2148" t="s">
        <v>6</v>
      </c>
      <c r="L2148" t="s">
        <v>7</v>
      </c>
      <c r="M2148">
        <v>2017</v>
      </c>
      <c r="N2148" s="1">
        <v>42888</v>
      </c>
      <c r="O2148" t="s">
        <v>10328</v>
      </c>
      <c r="P2148">
        <v>1</v>
      </c>
      <c r="S2148">
        <v>217.95</v>
      </c>
      <c r="T2148">
        <v>250</v>
      </c>
      <c r="U2148">
        <v>190</v>
      </c>
      <c r="V2148" t="s">
        <v>9</v>
      </c>
      <c r="W2148" t="s">
        <v>10</v>
      </c>
      <c r="X2148" t="s">
        <v>11</v>
      </c>
      <c r="Y2148" t="s">
        <v>52</v>
      </c>
      <c r="AF2148" t="s">
        <v>13</v>
      </c>
      <c r="AG2148" t="str">
        <f>HYPERLINK("https://doi.org/10.1515/9781474400114")</f>
        <v>https://doi.org/10.1515/9781474400114</v>
      </c>
      <c r="AH2148" t="str">
        <f>HYPERLINK("http://www.degruyter.com/isbn/9781474400114")</f>
        <v>http://www.degruyter.com/isbn/9781474400114</v>
      </c>
      <c r="AI2148" t="s">
        <v>222</v>
      </c>
      <c r="AL2148" t="s">
        <v>15</v>
      </c>
      <c r="AM2148">
        <v>1</v>
      </c>
      <c r="AN2148" s="2">
        <v>9781474400107</v>
      </c>
    </row>
    <row r="2149" spans="1:40" x14ac:dyDescent="0.3">
      <c r="A2149" t="s">
        <v>10329</v>
      </c>
      <c r="B2149" t="s">
        <v>1</v>
      </c>
      <c r="C2149" t="s">
        <v>10330</v>
      </c>
      <c r="D2149" t="s">
        <v>10331</v>
      </c>
      <c r="E2149" t="s">
        <v>10332</v>
      </c>
      <c r="F2149" t="s">
        <v>5</v>
      </c>
      <c r="G2149" t="s">
        <v>6</v>
      </c>
      <c r="L2149" t="s">
        <v>7</v>
      </c>
      <c r="M2149">
        <v>2021</v>
      </c>
      <c r="N2149" s="1">
        <v>44644</v>
      </c>
      <c r="O2149" t="s">
        <v>10333</v>
      </c>
      <c r="P2149">
        <v>1</v>
      </c>
      <c r="Q2149" t="s">
        <v>8702</v>
      </c>
      <c r="S2149">
        <v>243.95</v>
      </c>
      <c r="T2149">
        <v>280</v>
      </c>
      <c r="U2149">
        <v>210</v>
      </c>
      <c r="V2149" t="s">
        <v>79</v>
      </c>
      <c r="W2149" t="s">
        <v>734</v>
      </c>
      <c r="X2149" t="s">
        <v>734</v>
      </c>
      <c r="Y2149" t="s">
        <v>735</v>
      </c>
      <c r="AF2149" t="s">
        <v>13</v>
      </c>
      <c r="AG2149" t="str">
        <f>HYPERLINK("https://doi.org/10.1515/9781474480321")</f>
        <v>https://doi.org/10.1515/9781474480321</v>
      </c>
      <c r="AH2149" t="str">
        <f>HYPERLINK("http://www.degruyter.com/isbn/9781474480321")</f>
        <v>http://www.degruyter.com/isbn/9781474480321</v>
      </c>
      <c r="AI2149" t="s">
        <v>82</v>
      </c>
      <c r="AL2149" t="s">
        <v>83</v>
      </c>
      <c r="AM2149">
        <v>1</v>
      </c>
      <c r="AN2149" s="2">
        <v>9781474480291</v>
      </c>
    </row>
    <row r="2150" spans="1:40" x14ac:dyDescent="0.3">
      <c r="A2150" t="s">
        <v>10334</v>
      </c>
      <c r="B2150" t="s">
        <v>1</v>
      </c>
      <c r="C2150" t="s">
        <v>10335</v>
      </c>
      <c r="E2150" t="s">
        <v>10336</v>
      </c>
      <c r="F2150" t="s">
        <v>5</v>
      </c>
      <c r="G2150" t="s">
        <v>6</v>
      </c>
      <c r="L2150" t="s">
        <v>7</v>
      </c>
      <c r="M2150">
        <v>2019</v>
      </c>
      <c r="N2150" s="1">
        <v>44656</v>
      </c>
      <c r="O2150" t="s">
        <v>10337</v>
      </c>
      <c r="P2150">
        <v>1</v>
      </c>
      <c r="Q2150" t="s">
        <v>8554</v>
      </c>
      <c r="S2150">
        <v>331.95</v>
      </c>
      <c r="T2150">
        <v>380</v>
      </c>
      <c r="U2150">
        <v>290</v>
      </c>
      <c r="V2150" t="s">
        <v>42</v>
      </c>
      <c r="W2150" t="s">
        <v>43</v>
      </c>
      <c r="X2150" t="s">
        <v>178</v>
      </c>
      <c r="Y2150" t="s">
        <v>179</v>
      </c>
      <c r="AF2150" t="s">
        <v>13</v>
      </c>
      <c r="AG2150" t="str">
        <f>HYPERLINK("https://doi.org/10.1515/9781474438155")</f>
        <v>https://doi.org/10.1515/9781474438155</v>
      </c>
      <c r="AH2150" t="str">
        <f>HYPERLINK("http://www.degruyter.com/isbn/9781474438155")</f>
        <v>http://www.degruyter.com/isbn/9781474438155</v>
      </c>
      <c r="AI2150" t="s">
        <v>280</v>
      </c>
      <c r="AL2150" t="s">
        <v>47</v>
      </c>
      <c r="AM2150">
        <v>1</v>
      </c>
      <c r="AN2150" s="2">
        <v>9781474438131</v>
      </c>
    </row>
    <row r="2151" spans="1:40" x14ac:dyDescent="0.3">
      <c r="A2151" t="s">
        <v>10338</v>
      </c>
      <c r="B2151" t="s">
        <v>1</v>
      </c>
      <c r="C2151" t="s">
        <v>10339</v>
      </c>
      <c r="E2151" t="s">
        <v>10340</v>
      </c>
      <c r="F2151" t="s">
        <v>5</v>
      </c>
      <c r="G2151" t="s">
        <v>6</v>
      </c>
      <c r="L2151" t="s">
        <v>7</v>
      </c>
      <c r="M2151">
        <v>2009</v>
      </c>
      <c r="N2151" s="1">
        <v>39846</v>
      </c>
      <c r="O2151" t="s">
        <v>10341</v>
      </c>
      <c r="P2151">
        <v>1</v>
      </c>
      <c r="Q2151" t="s">
        <v>7027</v>
      </c>
      <c r="S2151">
        <v>217.95</v>
      </c>
      <c r="T2151">
        <v>250</v>
      </c>
      <c r="U2151">
        <v>190</v>
      </c>
      <c r="V2151" t="s">
        <v>98</v>
      </c>
      <c r="W2151" t="s">
        <v>99</v>
      </c>
      <c r="X2151" t="s">
        <v>386</v>
      </c>
      <c r="Y2151" t="s">
        <v>387</v>
      </c>
      <c r="AF2151" t="s">
        <v>13</v>
      </c>
      <c r="AG2151" t="str">
        <f>HYPERLINK("https://doi.org/10.1515/9780748631254")</f>
        <v>https://doi.org/10.1515/9780748631254</v>
      </c>
      <c r="AH2151" t="str">
        <f>HYPERLINK("http://www.degruyter.com/isbn/9780748631254")</f>
        <v>http://www.degruyter.com/isbn/9780748631254</v>
      </c>
      <c r="AI2151" t="s">
        <v>68</v>
      </c>
      <c r="AL2151" t="s">
        <v>102</v>
      </c>
      <c r="AM2151">
        <v>1</v>
      </c>
      <c r="AN2151" s="2">
        <v>9780748625949</v>
      </c>
    </row>
    <row r="2152" spans="1:40" x14ac:dyDescent="0.3">
      <c r="A2152" t="s">
        <v>10342</v>
      </c>
      <c r="B2152" t="s">
        <v>1</v>
      </c>
      <c r="C2152" t="s">
        <v>10343</v>
      </c>
      <c r="E2152" t="s">
        <v>10344</v>
      </c>
      <c r="F2152" t="s">
        <v>5</v>
      </c>
      <c r="G2152" t="s">
        <v>6</v>
      </c>
      <c r="L2152" t="s">
        <v>7</v>
      </c>
      <c r="M2152">
        <v>2006</v>
      </c>
      <c r="N2152" s="1">
        <v>38904</v>
      </c>
      <c r="O2152" t="s">
        <v>10345</v>
      </c>
      <c r="P2152">
        <v>1</v>
      </c>
      <c r="S2152">
        <v>565.95000000000005</v>
      </c>
      <c r="T2152">
        <v>650</v>
      </c>
      <c r="U2152">
        <v>500</v>
      </c>
      <c r="V2152" t="s">
        <v>6821</v>
      </c>
      <c r="W2152" t="s">
        <v>8472</v>
      </c>
      <c r="X2152" t="s">
        <v>10346</v>
      </c>
      <c r="Y2152" t="s">
        <v>10347</v>
      </c>
      <c r="AF2152" t="s">
        <v>13</v>
      </c>
      <c r="AG2152" t="str">
        <f>HYPERLINK("https://doi.org/10.1515/9780748627066")</f>
        <v>https://doi.org/10.1515/9780748627066</v>
      </c>
      <c r="AH2152" t="str">
        <f>HYPERLINK("http://www.degruyter.com/isbn/9780748627066")</f>
        <v>http://www.degruyter.com/isbn/9780748627066</v>
      </c>
      <c r="AI2152" t="s">
        <v>68</v>
      </c>
      <c r="AL2152" t="s">
        <v>6824</v>
      </c>
      <c r="AM2152">
        <v>1</v>
      </c>
      <c r="AN2152" s="2">
        <v>9780748612659</v>
      </c>
    </row>
    <row r="2153" spans="1:40" x14ac:dyDescent="0.3">
      <c r="A2153" t="s">
        <v>10348</v>
      </c>
      <c r="B2153" t="s">
        <v>1</v>
      </c>
      <c r="C2153" t="s">
        <v>10349</v>
      </c>
      <c r="D2153" t="s">
        <v>10350</v>
      </c>
      <c r="E2153" t="s">
        <v>10351</v>
      </c>
      <c r="F2153" t="s">
        <v>5</v>
      </c>
      <c r="G2153" t="s">
        <v>6</v>
      </c>
      <c r="L2153" t="s">
        <v>7</v>
      </c>
      <c r="M2153">
        <v>2020</v>
      </c>
      <c r="N2153" s="1">
        <v>44656</v>
      </c>
      <c r="O2153" t="s">
        <v>10352</v>
      </c>
      <c r="P2153">
        <v>1</v>
      </c>
      <c r="Q2153" t="s">
        <v>8883</v>
      </c>
      <c r="S2153">
        <v>227.95</v>
      </c>
      <c r="T2153">
        <v>260</v>
      </c>
      <c r="U2153">
        <v>200</v>
      </c>
      <c r="V2153" t="s">
        <v>79</v>
      </c>
      <c r="W2153" t="s">
        <v>227</v>
      </c>
      <c r="X2153" t="s">
        <v>228</v>
      </c>
      <c r="Y2153" t="s">
        <v>229</v>
      </c>
      <c r="AF2153" t="s">
        <v>13</v>
      </c>
      <c r="AG2153" t="str">
        <f>HYPERLINK("https://doi.org/10.1515/9781474476072?locatt=mode:legacy")</f>
        <v>https://doi.org/10.1515/9781474476072?locatt=mode:legacy</v>
      </c>
      <c r="AH2153" t="str">
        <f>HYPERLINK("http://www.degruyter.com/isbn/9781474476072")</f>
        <v>http://www.degruyter.com/isbn/9781474476072</v>
      </c>
      <c r="AI2153" t="s">
        <v>14</v>
      </c>
      <c r="AL2153" t="s">
        <v>83</v>
      </c>
      <c r="AM2153">
        <v>1</v>
      </c>
      <c r="AN2153" s="2">
        <v>9781474476041</v>
      </c>
    </row>
    <row r="2154" spans="1:40" x14ac:dyDescent="0.3">
      <c r="A2154" t="s">
        <v>10353</v>
      </c>
      <c r="B2154" t="s">
        <v>1</v>
      </c>
      <c r="C2154" t="s">
        <v>10354</v>
      </c>
      <c r="E2154" t="s">
        <v>10355</v>
      </c>
      <c r="F2154" t="s">
        <v>5</v>
      </c>
      <c r="G2154" t="s">
        <v>6</v>
      </c>
      <c r="L2154" t="s">
        <v>7</v>
      </c>
      <c r="M2154">
        <v>2017</v>
      </c>
      <c r="N2154" s="1">
        <v>42811</v>
      </c>
      <c r="O2154" t="s">
        <v>10356</v>
      </c>
      <c r="P2154">
        <v>1</v>
      </c>
      <c r="Q2154" t="s">
        <v>6665</v>
      </c>
      <c r="S2154">
        <v>217.95</v>
      </c>
      <c r="T2154">
        <v>250</v>
      </c>
      <c r="U2154">
        <v>190</v>
      </c>
      <c r="V2154" t="s">
        <v>9</v>
      </c>
      <c r="W2154" t="s">
        <v>10</v>
      </c>
      <c r="X2154" t="s">
        <v>11</v>
      </c>
      <c r="Y2154" t="s">
        <v>52</v>
      </c>
      <c r="AF2154" t="s">
        <v>13</v>
      </c>
      <c r="AG2154" t="str">
        <f>HYPERLINK("https://doi.org/10.1515/9781474407250?locatt=mode:legacy")</f>
        <v>https://doi.org/10.1515/9781474407250?locatt=mode:legacy</v>
      </c>
      <c r="AH2154" t="str">
        <f>HYPERLINK("http://www.degruyter.com/isbn/9781474407250")</f>
        <v>http://www.degruyter.com/isbn/9781474407250</v>
      </c>
      <c r="AI2154" t="s">
        <v>222</v>
      </c>
      <c r="AL2154" t="s">
        <v>15</v>
      </c>
      <c r="AM2154">
        <v>1</v>
      </c>
      <c r="AN2154" s="2">
        <v>9781474407236</v>
      </c>
    </row>
    <row r="2155" spans="1:40" x14ac:dyDescent="0.3">
      <c r="A2155" t="s">
        <v>10357</v>
      </c>
      <c r="B2155" t="s">
        <v>1</v>
      </c>
      <c r="C2155" t="s">
        <v>10358</v>
      </c>
      <c r="D2155" t="s">
        <v>10359</v>
      </c>
      <c r="E2155" t="s">
        <v>10360</v>
      </c>
      <c r="F2155" t="s">
        <v>5</v>
      </c>
      <c r="G2155" t="s">
        <v>6</v>
      </c>
      <c r="L2155" t="s">
        <v>7</v>
      </c>
      <c r="M2155">
        <v>2017</v>
      </c>
      <c r="N2155" s="1">
        <v>42793</v>
      </c>
      <c r="O2155" t="s">
        <v>10361</v>
      </c>
      <c r="P2155">
        <v>1</v>
      </c>
      <c r="Q2155" t="s">
        <v>10362</v>
      </c>
      <c r="S2155">
        <v>253.95</v>
      </c>
      <c r="T2155">
        <v>290</v>
      </c>
      <c r="U2155">
        <v>220</v>
      </c>
      <c r="V2155" t="s">
        <v>847</v>
      </c>
      <c r="W2155" t="s">
        <v>848</v>
      </c>
      <c r="X2155" t="s">
        <v>849</v>
      </c>
      <c r="Y2155" t="s">
        <v>850</v>
      </c>
      <c r="AF2155" t="s">
        <v>13</v>
      </c>
      <c r="AG2155" t="str">
        <f>HYPERLINK("https://doi.org/10.1515/9781474421126")</f>
        <v>https://doi.org/10.1515/9781474421126</v>
      </c>
      <c r="AH2155" t="str">
        <f>HYPERLINK("http://www.degruyter.com/isbn/9781474421126")</f>
        <v>http://www.degruyter.com/isbn/9781474421126</v>
      </c>
      <c r="AI2155" t="s">
        <v>222</v>
      </c>
      <c r="AL2155" t="s">
        <v>1070</v>
      </c>
      <c r="AM2155">
        <v>1</v>
      </c>
      <c r="AN2155" s="2">
        <v>9781474421119</v>
      </c>
    </row>
    <row r="2156" spans="1:40" x14ac:dyDescent="0.3">
      <c r="A2156" t="s">
        <v>10363</v>
      </c>
      <c r="B2156" t="s">
        <v>1</v>
      </c>
      <c r="C2156" t="s">
        <v>10364</v>
      </c>
      <c r="E2156" t="s">
        <v>10365</v>
      </c>
      <c r="F2156" t="s">
        <v>5</v>
      </c>
      <c r="G2156" t="s">
        <v>6</v>
      </c>
      <c r="L2156" t="s">
        <v>7</v>
      </c>
      <c r="M2156">
        <v>2012</v>
      </c>
      <c r="N2156" s="1">
        <v>41066</v>
      </c>
      <c r="O2156" t="s">
        <v>10366</v>
      </c>
      <c r="P2156">
        <v>1</v>
      </c>
      <c r="Q2156" t="s">
        <v>5715</v>
      </c>
      <c r="S2156">
        <v>217.95</v>
      </c>
      <c r="T2156">
        <v>250</v>
      </c>
      <c r="U2156">
        <v>190</v>
      </c>
      <c r="V2156" t="s">
        <v>98</v>
      </c>
      <c r="W2156" t="s">
        <v>366</v>
      </c>
      <c r="X2156" t="s">
        <v>367</v>
      </c>
      <c r="Y2156" t="s">
        <v>368</v>
      </c>
      <c r="AF2156" t="s">
        <v>13</v>
      </c>
      <c r="AG2156" t="str">
        <f>HYPERLINK("https://doi.org/10.1515/9780748644964")</f>
        <v>https://doi.org/10.1515/9780748644964</v>
      </c>
      <c r="AH2156" t="str">
        <f>HYPERLINK("http://www.degruyter.com/isbn/9780748644964")</f>
        <v>http://www.degruyter.com/isbn/9780748644964</v>
      </c>
      <c r="AI2156" t="s">
        <v>68</v>
      </c>
      <c r="AJ2156" t="s">
        <v>35</v>
      </c>
      <c r="AL2156" t="s">
        <v>2514</v>
      </c>
      <c r="AM2156">
        <v>1</v>
      </c>
      <c r="AN2156" s="2">
        <v>9780748644957</v>
      </c>
    </row>
    <row r="2157" spans="1:40" x14ac:dyDescent="0.3">
      <c r="A2157" t="s">
        <v>10367</v>
      </c>
      <c r="B2157" t="s">
        <v>1</v>
      </c>
      <c r="C2157" t="s">
        <v>10368</v>
      </c>
      <c r="E2157" t="s">
        <v>10369</v>
      </c>
      <c r="F2157" t="s">
        <v>5</v>
      </c>
      <c r="G2157" t="s">
        <v>6</v>
      </c>
      <c r="L2157" t="s">
        <v>7</v>
      </c>
      <c r="M2157">
        <v>2006</v>
      </c>
      <c r="N2157" s="1">
        <v>38883</v>
      </c>
      <c r="O2157" t="s">
        <v>10370</v>
      </c>
      <c r="P2157">
        <v>1</v>
      </c>
      <c r="Q2157" t="s">
        <v>8317</v>
      </c>
      <c r="S2157">
        <v>217.95</v>
      </c>
      <c r="T2157">
        <v>250</v>
      </c>
      <c r="U2157">
        <v>190</v>
      </c>
      <c r="V2157" t="s">
        <v>42</v>
      </c>
      <c r="W2157" t="s">
        <v>43</v>
      </c>
      <c r="X2157" t="s">
        <v>44</v>
      </c>
      <c r="Y2157" t="s">
        <v>45</v>
      </c>
      <c r="AF2157" t="s">
        <v>13</v>
      </c>
      <c r="AG2157" t="str">
        <f>HYPERLINK("https://doi.org/10.1515/9780748627219")</f>
        <v>https://doi.org/10.1515/9780748627219</v>
      </c>
      <c r="AH2157" t="str">
        <f>HYPERLINK("http://www.degruyter.com/isbn/9780748627219")</f>
        <v>http://www.degruyter.com/isbn/9780748627219</v>
      </c>
      <c r="AI2157" t="s">
        <v>68</v>
      </c>
      <c r="AL2157" t="s">
        <v>47</v>
      </c>
      <c r="AM2157">
        <v>1</v>
      </c>
      <c r="AN2157" s="2">
        <v>9780748618491</v>
      </c>
    </row>
    <row r="2158" spans="1:40" x14ac:dyDescent="0.3">
      <c r="A2158" t="s">
        <v>10371</v>
      </c>
      <c r="B2158" t="s">
        <v>1</v>
      </c>
      <c r="C2158" t="s">
        <v>6983</v>
      </c>
      <c r="D2158" t="s">
        <v>10372</v>
      </c>
      <c r="E2158" t="s">
        <v>6985</v>
      </c>
      <c r="F2158" t="s">
        <v>5</v>
      </c>
      <c r="G2158" t="s">
        <v>6</v>
      </c>
      <c r="L2158" t="s">
        <v>7</v>
      </c>
      <c r="M2158">
        <v>2021</v>
      </c>
      <c r="N2158" s="1">
        <v>44656</v>
      </c>
      <c r="O2158" t="s">
        <v>10373</v>
      </c>
      <c r="P2158">
        <v>1</v>
      </c>
      <c r="Q2158" t="s">
        <v>7655</v>
      </c>
      <c r="S2158">
        <v>227.95</v>
      </c>
      <c r="T2158">
        <v>260</v>
      </c>
      <c r="U2158">
        <v>200</v>
      </c>
      <c r="V2158" t="s">
        <v>9</v>
      </c>
      <c r="W2158" t="s">
        <v>10</v>
      </c>
      <c r="X2158" t="s">
        <v>11</v>
      </c>
      <c r="Y2158" t="s">
        <v>52</v>
      </c>
      <c r="AF2158" t="s">
        <v>13</v>
      </c>
      <c r="AG2158" t="str">
        <f>HYPERLINK("https://doi.org/10.1515/9781474482363")</f>
        <v>https://doi.org/10.1515/9781474482363</v>
      </c>
      <c r="AH2158" t="str">
        <f>HYPERLINK("http://www.degruyter.com/isbn/9781474482363")</f>
        <v>http://www.degruyter.com/isbn/9781474482363</v>
      </c>
      <c r="AI2158" t="s">
        <v>908</v>
      </c>
      <c r="AL2158" t="s">
        <v>15</v>
      </c>
      <c r="AM2158">
        <v>1</v>
      </c>
      <c r="AN2158" s="2">
        <v>9781474482349</v>
      </c>
    </row>
    <row r="2159" spans="1:40" x14ac:dyDescent="0.3">
      <c r="A2159" t="s">
        <v>10374</v>
      </c>
      <c r="B2159" t="s">
        <v>1</v>
      </c>
      <c r="C2159" t="s">
        <v>10375</v>
      </c>
      <c r="D2159" t="s">
        <v>10376</v>
      </c>
      <c r="E2159" t="s">
        <v>10377</v>
      </c>
      <c r="F2159" t="s">
        <v>5</v>
      </c>
      <c r="G2159" t="s">
        <v>6</v>
      </c>
      <c r="L2159" t="s">
        <v>7</v>
      </c>
      <c r="M2159">
        <v>2021</v>
      </c>
      <c r="N2159" s="1">
        <v>44644</v>
      </c>
      <c r="O2159" t="s">
        <v>10378</v>
      </c>
      <c r="P2159">
        <v>1</v>
      </c>
      <c r="Q2159" t="s">
        <v>8702</v>
      </c>
      <c r="S2159">
        <v>253.95</v>
      </c>
      <c r="T2159">
        <v>290</v>
      </c>
      <c r="U2159">
        <v>220</v>
      </c>
      <c r="V2159" t="s">
        <v>79</v>
      </c>
      <c r="W2159" t="s">
        <v>209</v>
      </c>
      <c r="X2159" t="s">
        <v>209</v>
      </c>
      <c r="Y2159" t="s">
        <v>1951</v>
      </c>
      <c r="AF2159" t="s">
        <v>13</v>
      </c>
      <c r="AG2159" t="str">
        <f>HYPERLINK("https://doi.org/10.1515/9781474475266")</f>
        <v>https://doi.org/10.1515/9781474475266</v>
      </c>
      <c r="AH2159" t="str">
        <f>HYPERLINK("http://www.degruyter.com/isbn/9781474475266")</f>
        <v>http://www.degruyter.com/isbn/9781474475266</v>
      </c>
      <c r="AI2159" t="s">
        <v>82</v>
      </c>
      <c r="AL2159" t="s">
        <v>83</v>
      </c>
      <c r="AM2159">
        <v>1</v>
      </c>
      <c r="AN2159" s="2">
        <v>9781474475242</v>
      </c>
    </row>
    <row r="2160" spans="1:40" x14ac:dyDescent="0.3">
      <c r="A2160" t="s">
        <v>10379</v>
      </c>
      <c r="B2160" t="s">
        <v>1</v>
      </c>
      <c r="C2160" t="s">
        <v>10380</v>
      </c>
      <c r="D2160" t="s">
        <v>10381</v>
      </c>
      <c r="E2160" t="s">
        <v>10382</v>
      </c>
      <c r="F2160" t="s">
        <v>5</v>
      </c>
      <c r="G2160" t="s">
        <v>6</v>
      </c>
      <c r="L2160" t="s">
        <v>7</v>
      </c>
      <c r="M2160">
        <v>2020</v>
      </c>
      <c r="N2160" s="1">
        <v>44656</v>
      </c>
      <c r="O2160" t="s">
        <v>10383</v>
      </c>
      <c r="P2160">
        <v>1</v>
      </c>
      <c r="Q2160" t="s">
        <v>8702</v>
      </c>
      <c r="S2160">
        <v>253.95</v>
      </c>
      <c r="T2160">
        <v>290</v>
      </c>
      <c r="U2160">
        <v>220</v>
      </c>
      <c r="V2160" t="s">
        <v>79</v>
      </c>
      <c r="W2160" t="s">
        <v>123</v>
      </c>
      <c r="X2160" t="s">
        <v>123</v>
      </c>
      <c r="Y2160" t="s">
        <v>124</v>
      </c>
      <c r="AF2160" t="s">
        <v>13</v>
      </c>
      <c r="AG2160" t="str">
        <f>HYPERLINK("https://doi.org/10.1515/9781474438353")</f>
        <v>https://doi.org/10.1515/9781474438353</v>
      </c>
      <c r="AH2160" t="str">
        <f>HYPERLINK("http://www.degruyter.com/isbn/9781474438353")</f>
        <v>http://www.degruyter.com/isbn/9781474438353</v>
      </c>
      <c r="AI2160" t="s">
        <v>14</v>
      </c>
      <c r="AL2160" t="s">
        <v>83</v>
      </c>
      <c r="AM2160">
        <v>1</v>
      </c>
      <c r="AN2160" s="2">
        <v>9781474438339</v>
      </c>
    </row>
    <row r="2161" spans="1:40" x14ac:dyDescent="0.3">
      <c r="A2161" t="s">
        <v>10384</v>
      </c>
      <c r="B2161" t="s">
        <v>1</v>
      </c>
      <c r="C2161" t="s">
        <v>10385</v>
      </c>
      <c r="E2161" t="s">
        <v>10386</v>
      </c>
      <c r="F2161" t="s">
        <v>5</v>
      </c>
      <c r="G2161" t="s">
        <v>6</v>
      </c>
      <c r="L2161" t="s">
        <v>7</v>
      </c>
      <c r="M2161">
        <v>2010</v>
      </c>
      <c r="N2161" s="1">
        <v>40364</v>
      </c>
      <c r="O2161" t="s">
        <v>10387</v>
      </c>
      <c r="P2161">
        <v>1</v>
      </c>
      <c r="Q2161" t="s">
        <v>8942</v>
      </c>
      <c r="S2161">
        <v>253.95</v>
      </c>
      <c r="T2161">
        <v>290</v>
      </c>
      <c r="U2161">
        <v>220</v>
      </c>
      <c r="V2161" t="s">
        <v>79</v>
      </c>
      <c r="W2161" t="s">
        <v>209</v>
      </c>
      <c r="X2161" t="s">
        <v>209</v>
      </c>
      <c r="Y2161" t="s">
        <v>510</v>
      </c>
      <c r="AF2161" t="s">
        <v>13</v>
      </c>
      <c r="AG2161" t="str">
        <f>HYPERLINK("https://doi.org/10.1515/9780748642915")</f>
        <v>https://doi.org/10.1515/9780748642915</v>
      </c>
      <c r="AH2161" t="str">
        <f>HYPERLINK("http://www.degruyter.com/isbn/9780748642915")</f>
        <v>http://www.degruyter.com/isbn/9780748642915</v>
      </c>
      <c r="AI2161" t="s">
        <v>68</v>
      </c>
      <c r="AL2161" t="s">
        <v>83</v>
      </c>
      <c r="AM2161">
        <v>1</v>
      </c>
      <c r="AN2161" s="2">
        <v>9780748639229</v>
      </c>
    </row>
    <row r="2162" spans="1:40" x14ac:dyDescent="0.3">
      <c r="A2162" t="s">
        <v>10388</v>
      </c>
      <c r="B2162" t="s">
        <v>1</v>
      </c>
      <c r="C2162" t="s">
        <v>10389</v>
      </c>
      <c r="E2162" t="s">
        <v>10390</v>
      </c>
      <c r="F2162" t="s">
        <v>5</v>
      </c>
      <c r="G2162" t="s">
        <v>6</v>
      </c>
      <c r="L2162" t="s">
        <v>7</v>
      </c>
      <c r="M2162">
        <v>2001</v>
      </c>
      <c r="N2162" s="1">
        <v>37189</v>
      </c>
      <c r="O2162" t="s">
        <v>10391</v>
      </c>
      <c r="P2162">
        <v>1</v>
      </c>
      <c r="Q2162" t="s">
        <v>7298</v>
      </c>
      <c r="S2162">
        <v>305.95</v>
      </c>
      <c r="T2162">
        <v>350</v>
      </c>
      <c r="U2162">
        <v>270</v>
      </c>
      <c r="V2162" t="s">
        <v>329</v>
      </c>
      <c r="W2162" t="s">
        <v>330</v>
      </c>
      <c r="X2162" t="s">
        <v>331</v>
      </c>
      <c r="Y2162" t="s">
        <v>332</v>
      </c>
      <c r="AF2162" t="s">
        <v>13</v>
      </c>
      <c r="AG2162" t="str">
        <f>HYPERLINK("https://doi.org/10.1515/9781474468916")</f>
        <v>https://doi.org/10.1515/9781474468916</v>
      </c>
      <c r="AH2162" t="str">
        <f>HYPERLINK("http://www.degruyter.com/isbn/9781474468916")</f>
        <v>http://www.degruyter.com/isbn/9781474468916</v>
      </c>
      <c r="AI2162" t="s">
        <v>68</v>
      </c>
      <c r="AL2162" t="s">
        <v>333</v>
      </c>
      <c r="AM2162">
        <v>1</v>
      </c>
      <c r="AN2162" s="2">
        <v>9780748612703</v>
      </c>
    </row>
    <row r="2163" spans="1:40" x14ac:dyDescent="0.3">
      <c r="A2163" t="s">
        <v>10392</v>
      </c>
      <c r="B2163" t="s">
        <v>1</v>
      </c>
      <c r="C2163" t="s">
        <v>10393</v>
      </c>
      <c r="D2163" t="s">
        <v>10394</v>
      </c>
      <c r="E2163" t="s">
        <v>10395</v>
      </c>
      <c r="F2163" t="s">
        <v>5</v>
      </c>
      <c r="G2163" t="s">
        <v>6</v>
      </c>
      <c r="L2163" t="s">
        <v>7</v>
      </c>
      <c r="M2163">
        <v>2017</v>
      </c>
      <c r="N2163" s="1">
        <v>42842</v>
      </c>
      <c r="O2163" t="s">
        <v>4145</v>
      </c>
      <c r="P2163">
        <v>1</v>
      </c>
      <c r="Q2163" t="s">
        <v>8096</v>
      </c>
      <c r="S2163">
        <v>217.95</v>
      </c>
      <c r="T2163">
        <v>250</v>
      </c>
      <c r="U2163">
        <v>190</v>
      </c>
      <c r="V2163" t="s">
        <v>42</v>
      </c>
      <c r="W2163" t="s">
        <v>107</v>
      </c>
      <c r="X2163" t="s">
        <v>108</v>
      </c>
      <c r="Y2163" t="s">
        <v>221</v>
      </c>
      <c r="AF2163" t="s">
        <v>13</v>
      </c>
      <c r="AG2163" t="str">
        <f>HYPERLINK("https://doi.org/10.1515/9781474417259")</f>
        <v>https://doi.org/10.1515/9781474417259</v>
      </c>
      <c r="AH2163" t="str">
        <f>HYPERLINK("http://www.degruyter.com/isbn/9781474417259")</f>
        <v>http://www.degruyter.com/isbn/9781474417259</v>
      </c>
      <c r="AI2163" t="s">
        <v>222</v>
      </c>
      <c r="AL2163" t="s">
        <v>47</v>
      </c>
      <c r="AM2163">
        <v>1</v>
      </c>
      <c r="AN2163" s="2">
        <v>9781474417242</v>
      </c>
    </row>
    <row r="2164" spans="1:40" x14ac:dyDescent="0.3">
      <c r="A2164" t="s">
        <v>10396</v>
      </c>
      <c r="B2164" t="s">
        <v>1</v>
      </c>
      <c r="C2164" t="s">
        <v>10397</v>
      </c>
      <c r="D2164" t="s">
        <v>1672</v>
      </c>
      <c r="E2164" t="s">
        <v>10398</v>
      </c>
      <c r="F2164" t="s">
        <v>5</v>
      </c>
      <c r="G2164" t="s">
        <v>6</v>
      </c>
      <c r="L2164" t="s">
        <v>7</v>
      </c>
      <c r="M2164">
        <v>2002</v>
      </c>
      <c r="N2164" s="1">
        <v>37452</v>
      </c>
      <c r="O2164" t="s">
        <v>8001</v>
      </c>
      <c r="P2164">
        <v>1</v>
      </c>
      <c r="Q2164" t="s">
        <v>10195</v>
      </c>
      <c r="S2164">
        <v>331.95</v>
      </c>
      <c r="T2164">
        <v>380</v>
      </c>
      <c r="U2164">
        <v>290</v>
      </c>
      <c r="V2164" t="s">
        <v>42</v>
      </c>
      <c r="W2164" t="s">
        <v>290</v>
      </c>
      <c r="X2164" t="s">
        <v>290</v>
      </c>
      <c r="Y2164" t="s">
        <v>291</v>
      </c>
      <c r="AF2164" t="s">
        <v>13</v>
      </c>
      <c r="AG2164" t="str">
        <f>HYPERLINK("https://doi.org/10.1515/9781474497138")</f>
        <v>https://doi.org/10.1515/9781474497138</v>
      </c>
      <c r="AH2164" t="str">
        <f>HYPERLINK("http://www.degruyter.com/isbn/9781474497138")</f>
        <v>http://www.degruyter.com/isbn/9781474497138</v>
      </c>
      <c r="AI2164" t="s">
        <v>68</v>
      </c>
      <c r="AL2164" t="s">
        <v>47</v>
      </c>
      <c r="AM2164">
        <v>1</v>
      </c>
      <c r="AN2164" s="2">
        <v>9780748610969</v>
      </c>
    </row>
    <row r="2165" spans="1:40" x14ac:dyDescent="0.3">
      <c r="A2165" t="s">
        <v>10399</v>
      </c>
      <c r="B2165" t="s">
        <v>1</v>
      </c>
      <c r="C2165" t="s">
        <v>10400</v>
      </c>
      <c r="D2165" t="s">
        <v>10401</v>
      </c>
      <c r="E2165" t="s">
        <v>10402</v>
      </c>
      <c r="F2165" t="s">
        <v>5</v>
      </c>
      <c r="G2165" t="s">
        <v>6</v>
      </c>
      <c r="L2165" t="s">
        <v>7</v>
      </c>
      <c r="M2165">
        <v>2017</v>
      </c>
      <c r="N2165" s="1">
        <v>42956</v>
      </c>
      <c r="O2165" t="s">
        <v>10403</v>
      </c>
      <c r="P2165">
        <v>1</v>
      </c>
      <c r="Q2165" t="s">
        <v>7194</v>
      </c>
      <c r="S2165">
        <v>217.95</v>
      </c>
      <c r="T2165">
        <v>250</v>
      </c>
      <c r="U2165">
        <v>190</v>
      </c>
      <c r="V2165" t="s">
        <v>305</v>
      </c>
      <c r="W2165" t="s">
        <v>650</v>
      </c>
      <c r="X2165" t="s">
        <v>650</v>
      </c>
      <c r="Y2165" t="s">
        <v>651</v>
      </c>
      <c r="AF2165" t="s">
        <v>13</v>
      </c>
      <c r="AG2165" t="str">
        <f>HYPERLINK("https://doi.org/10.1515/9780748670000?locatt=mode:legacy")</f>
        <v>https://doi.org/10.1515/9780748670000?locatt=mode:legacy</v>
      </c>
      <c r="AH2165" t="str">
        <f>HYPERLINK("http://www.degruyter.com/isbn/9780748670000")</f>
        <v>http://www.degruyter.com/isbn/9780748670000</v>
      </c>
      <c r="AI2165" t="s">
        <v>222</v>
      </c>
      <c r="AL2165" t="s">
        <v>308</v>
      </c>
      <c r="AM2165">
        <v>1</v>
      </c>
      <c r="AN2165" s="2">
        <v>9780748669998</v>
      </c>
    </row>
    <row r="2166" spans="1:40" x14ac:dyDescent="0.3">
      <c r="A2166" t="s">
        <v>10404</v>
      </c>
      <c r="B2166" t="s">
        <v>1</v>
      </c>
      <c r="C2166" t="s">
        <v>10405</v>
      </c>
      <c r="E2166" t="s">
        <v>10406</v>
      </c>
      <c r="F2166" t="s">
        <v>5</v>
      </c>
      <c r="G2166" t="s">
        <v>6</v>
      </c>
      <c r="L2166" t="s">
        <v>7</v>
      </c>
      <c r="M2166">
        <v>2012</v>
      </c>
      <c r="N2166" s="1">
        <v>40954</v>
      </c>
      <c r="O2166" t="s">
        <v>10407</v>
      </c>
      <c r="P2166">
        <v>1</v>
      </c>
      <c r="Q2166" t="s">
        <v>10408</v>
      </c>
      <c r="S2166">
        <v>217.95</v>
      </c>
      <c r="T2166">
        <v>250</v>
      </c>
      <c r="U2166">
        <v>190</v>
      </c>
      <c r="V2166" t="s">
        <v>9</v>
      </c>
      <c r="W2166" t="s">
        <v>10</v>
      </c>
      <c r="X2166" t="s">
        <v>596</v>
      </c>
      <c r="Y2166" t="s">
        <v>4327</v>
      </c>
      <c r="AF2166" t="s">
        <v>13</v>
      </c>
      <c r="AG2166" t="str">
        <f>HYPERLINK("https://doi.org/10.1515/9780748637249")</f>
        <v>https://doi.org/10.1515/9780748637249</v>
      </c>
      <c r="AH2166" t="str">
        <f>HYPERLINK("http://www.degruyter.com/isbn/9780748637249")</f>
        <v>http://www.degruyter.com/isbn/9780748637249</v>
      </c>
      <c r="AI2166" t="s">
        <v>68</v>
      </c>
      <c r="AL2166" t="s">
        <v>15</v>
      </c>
      <c r="AM2166">
        <v>1</v>
      </c>
      <c r="AN2166" s="2">
        <v>9780748637225</v>
      </c>
    </row>
    <row r="2167" spans="1:40" x14ac:dyDescent="0.3">
      <c r="A2167" t="s">
        <v>10409</v>
      </c>
      <c r="B2167" t="s">
        <v>1</v>
      </c>
      <c r="C2167" t="s">
        <v>10410</v>
      </c>
      <c r="D2167" t="s">
        <v>10411</v>
      </c>
      <c r="E2167" t="s">
        <v>10412</v>
      </c>
      <c r="F2167" t="s">
        <v>5</v>
      </c>
      <c r="G2167" t="s">
        <v>6</v>
      </c>
      <c r="L2167" t="s">
        <v>7</v>
      </c>
      <c r="M2167">
        <v>2011</v>
      </c>
      <c r="N2167" s="1">
        <v>40731</v>
      </c>
      <c r="O2167" t="s">
        <v>10413</v>
      </c>
      <c r="P2167">
        <v>1</v>
      </c>
      <c r="Q2167" t="s">
        <v>7174</v>
      </c>
      <c r="S2167">
        <v>243.95</v>
      </c>
      <c r="T2167">
        <v>280</v>
      </c>
      <c r="U2167">
        <v>210</v>
      </c>
      <c r="V2167" t="s">
        <v>98</v>
      </c>
      <c r="W2167" t="s">
        <v>1513</v>
      </c>
      <c r="X2167" t="s">
        <v>1514</v>
      </c>
      <c r="Y2167" t="s">
        <v>1515</v>
      </c>
      <c r="AF2167" t="s">
        <v>13</v>
      </c>
      <c r="AG2167" t="str">
        <f>HYPERLINK("https://doi.org/10.1515/9780748647583")</f>
        <v>https://doi.org/10.1515/9780748647583</v>
      </c>
      <c r="AH2167" t="str">
        <f>HYPERLINK("http://www.degruyter.com/isbn/9780748647583")</f>
        <v>http://www.degruyter.com/isbn/9780748647583</v>
      </c>
      <c r="AI2167" t="s">
        <v>68</v>
      </c>
      <c r="AL2167" t="s">
        <v>102</v>
      </c>
      <c r="AM2167">
        <v>1</v>
      </c>
      <c r="AN2167" s="2">
        <v>9780748639038</v>
      </c>
    </row>
    <row r="2168" spans="1:40" x14ac:dyDescent="0.3">
      <c r="A2168" t="s">
        <v>10414</v>
      </c>
      <c r="B2168" t="s">
        <v>1</v>
      </c>
      <c r="C2168" t="s">
        <v>10415</v>
      </c>
      <c r="E2168" t="s">
        <v>10416</v>
      </c>
      <c r="F2168" t="s">
        <v>5</v>
      </c>
      <c r="G2168" t="s">
        <v>6</v>
      </c>
      <c r="L2168" t="s">
        <v>7</v>
      </c>
      <c r="M2168">
        <v>2015</v>
      </c>
      <c r="N2168" s="1">
        <v>42234</v>
      </c>
      <c r="O2168" t="s">
        <v>10417</v>
      </c>
      <c r="P2168">
        <v>1</v>
      </c>
      <c r="Q2168" t="s">
        <v>6923</v>
      </c>
      <c r="S2168">
        <v>253.95</v>
      </c>
      <c r="T2168">
        <v>290</v>
      </c>
      <c r="U2168">
        <v>220</v>
      </c>
      <c r="V2168" t="s">
        <v>89</v>
      </c>
      <c r="W2168" t="s">
        <v>90</v>
      </c>
      <c r="X2168" t="s">
        <v>91</v>
      </c>
      <c r="Y2168" t="s">
        <v>717</v>
      </c>
      <c r="AF2168" t="s">
        <v>13</v>
      </c>
      <c r="AG2168" t="str">
        <f>HYPERLINK("https://doi.org/10.1515/9780748632244")</f>
        <v>https://doi.org/10.1515/9780748632244</v>
      </c>
      <c r="AH2168" t="str">
        <f>HYPERLINK("http://www.degruyter.com/isbn/9780748632244")</f>
        <v>http://www.degruyter.com/isbn/9780748632244</v>
      </c>
      <c r="AI2168" t="s">
        <v>34</v>
      </c>
      <c r="AJ2168" t="s">
        <v>35</v>
      </c>
      <c r="AL2168" t="s">
        <v>718</v>
      </c>
      <c r="AM2168">
        <v>1</v>
      </c>
      <c r="AN2168" s="2">
        <v>9780748632763</v>
      </c>
    </row>
    <row r="2169" spans="1:40" x14ac:dyDescent="0.3">
      <c r="A2169" t="s">
        <v>10418</v>
      </c>
      <c r="B2169" t="s">
        <v>1</v>
      </c>
      <c r="C2169" t="s">
        <v>10419</v>
      </c>
      <c r="D2169" t="s">
        <v>10420</v>
      </c>
      <c r="E2169" t="s">
        <v>10421</v>
      </c>
      <c r="F2169" t="s">
        <v>5</v>
      </c>
      <c r="G2169" t="s">
        <v>6</v>
      </c>
      <c r="L2169" t="s">
        <v>7</v>
      </c>
      <c r="M2169">
        <v>2015</v>
      </c>
      <c r="N2169" s="1">
        <v>42169</v>
      </c>
      <c r="O2169" t="s">
        <v>10422</v>
      </c>
      <c r="P2169">
        <v>1</v>
      </c>
      <c r="Q2169" t="s">
        <v>7423</v>
      </c>
      <c r="S2169">
        <v>217.95</v>
      </c>
      <c r="T2169">
        <v>250</v>
      </c>
      <c r="U2169">
        <v>190</v>
      </c>
      <c r="V2169" t="s">
        <v>98</v>
      </c>
      <c r="W2169" t="s">
        <v>366</v>
      </c>
      <c r="X2169" t="s">
        <v>10423</v>
      </c>
      <c r="Y2169" t="s">
        <v>10424</v>
      </c>
      <c r="AF2169" t="s">
        <v>13</v>
      </c>
      <c r="AG2169" t="str">
        <f>HYPERLINK("https://doi.org/10.1515/9780748698035")</f>
        <v>https://doi.org/10.1515/9780748698035</v>
      </c>
      <c r="AH2169" t="str">
        <f>HYPERLINK("http://www.degruyter.com/isbn/9780748698035")</f>
        <v>http://www.degruyter.com/isbn/9780748698035</v>
      </c>
      <c r="AI2169" t="s">
        <v>34</v>
      </c>
      <c r="AL2169" t="s">
        <v>102</v>
      </c>
      <c r="AM2169">
        <v>1</v>
      </c>
      <c r="AN2169" s="2">
        <v>9780748698028</v>
      </c>
    </row>
    <row r="2170" spans="1:40" x14ac:dyDescent="0.3">
      <c r="A2170" t="s">
        <v>10425</v>
      </c>
      <c r="B2170" t="s">
        <v>1</v>
      </c>
      <c r="C2170" t="s">
        <v>10426</v>
      </c>
      <c r="E2170" t="s">
        <v>10427</v>
      </c>
      <c r="F2170" t="s">
        <v>5</v>
      </c>
      <c r="G2170" t="s">
        <v>6</v>
      </c>
      <c r="L2170" t="s">
        <v>7</v>
      </c>
      <c r="M2170">
        <v>2013</v>
      </c>
      <c r="N2170" s="1">
        <v>41344</v>
      </c>
      <c r="O2170" t="s">
        <v>10428</v>
      </c>
      <c r="P2170">
        <v>1</v>
      </c>
      <c r="Q2170" t="s">
        <v>6881</v>
      </c>
      <c r="S2170">
        <v>227.95</v>
      </c>
      <c r="T2170">
        <v>260</v>
      </c>
      <c r="U2170">
        <v>200</v>
      </c>
      <c r="V2170" t="s">
        <v>98</v>
      </c>
      <c r="W2170" t="s">
        <v>99</v>
      </c>
      <c r="X2170" t="s">
        <v>100</v>
      </c>
      <c r="Y2170" t="s">
        <v>937</v>
      </c>
      <c r="AF2170" t="s">
        <v>13</v>
      </c>
      <c r="AG2170" t="str">
        <f>HYPERLINK("https://doi.org/10.1515/9780748637492")</f>
        <v>https://doi.org/10.1515/9780748637492</v>
      </c>
      <c r="AH2170" t="str">
        <f>HYPERLINK("http://www.degruyter.com/isbn/9780748637492")</f>
        <v>http://www.degruyter.com/isbn/9780748637492</v>
      </c>
      <c r="AI2170" t="s">
        <v>68</v>
      </c>
      <c r="AL2170" t="s">
        <v>102</v>
      </c>
      <c r="AM2170">
        <v>1</v>
      </c>
      <c r="AN2170" s="2">
        <v>9780748637485</v>
      </c>
    </row>
    <row r="2171" spans="1:40" x14ac:dyDescent="0.3">
      <c r="A2171" t="s">
        <v>10429</v>
      </c>
      <c r="B2171" t="s">
        <v>1</v>
      </c>
      <c r="C2171" t="s">
        <v>10430</v>
      </c>
      <c r="D2171" t="s">
        <v>10431</v>
      </c>
      <c r="E2171" t="s">
        <v>10432</v>
      </c>
      <c r="F2171" t="s">
        <v>5</v>
      </c>
      <c r="G2171" t="s">
        <v>6</v>
      </c>
      <c r="L2171" t="s">
        <v>7</v>
      </c>
      <c r="M2171">
        <v>2018</v>
      </c>
      <c r="N2171" s="1">
        <v>44644</v>
      </c>
      <c r="O2171" t="s">
        <v>10433</v>
      </c>
      <c r="P2171">
        <v>1</v>
      </c>
      <c r="S2171">
        <v>217.95</v>
      </c>
      <c r="T2171">
        <v>250</v>
      </c>
      <c r="U2171">
        <v>190</v>
      </c>
      <c r="V2171" t="s">
        <v>42</v>
      </c>
      <c r="W2171" t="s">
        <v>107</v>
      </c>
      <c r="X2171" t="s">
        <v>108</v>
      </c>
      <c r="Y2171" t="s">
        <v>109</v>
      </c>
      <c r="AF2171" t="s">
        <v>13</v>
      </c>
      <c r="AG2171" t="str">
        <f>HYPERLINK("https://doi.org/10.1515/9781474423489?locatt=mode:legacy")</f>
        <v>https://doi.org/10.1515/9781474423489?locatt=mode:legacy</v>
      </c>
      <c r="AH2171" t="str">
        <f>HYPERLINK("http://www.degruyter.com/isbn/9781474423489")</f>
        <v>http://www.degruyter.com/isbn/9781474423489</v>
      </c>
      <c r="AI2171" t="s">
        <v>46</v>
      </c>
      <c r="AL2171" t="s">
        <v>47</v>
      </c>
      <c r="AM2171">
        <v>1</v>
      </c>
      <c r="AN2171" s="2">
        <v>9781474423472</v>
      </c>
    </row>
    <row r="2172" spans="1:40" x14ac:dyDescent="0.3">
      <c r="A2172" t="s">
        <v>10434</v>
      </c>
      <c r="B2172" t="s">
        <v>1</v>
      </c>
      <c r="C2172" t="s">
        <v>10435</v>
      </c>
      <c r="D2172" t="s">
        <v>10436</v>
      </c>
      <c r="E2172" t="s">
        <v>10437</v>
      </c>
      <c r="F2172" t="s">
        <v>5</v>
      </c>
      <c r="G2172" t="s">
        <v>6</v>
      </c>
      <c r="L2172" t="s">
        <v>7</v>
      </c>
      <c r="M2172">
        <v>2017</v>
      </c>
      <c r="N2172" s="1">
        <v>43087</v>
      </c>
      <c r="O2172" t="s">
        <v>10438</v>
      </c>
      <c r="P2172">
        <v>1</v>
      </c>
      <c r="Q2172" t="s">
        <v>7423</v>
      </c>
      <c r="S2172">
        <v>217.95</v>
      </c>
      <c r="T2172">
        <v>250</v>
      </c>
      <c r="U2172">
        <v>190</v>
      </c>
      <c r="V2172" t="s">
        <v>98</v>
      </c>
      <c r="W2172" t="s">
        <v>366</v>
      </c>
      <c r="X2172" t="s">
        <v>10423</v>
      </c>
      <c r="Y2172" t="s">
        <v>10424</v>
      </c>
      <c r="AF2172" t="s">
        <v>13</v>
      </c>
      <c r="AG2172" t="str">
        <f>HYPERLINK("https://doi.org/10.1515/9781474421577?locatt=mode:legacy")</f>
        <v>https://doi.org/10.1515/9781474421577?locatt=mode:legacy</v>
      </c>
      <c r="AH2172" t="str">
        <f>HYPERLINK("http://www.degruyter.com/isbn/9781474421577")</f>
        <v>http://www.degruyter.com/isbn/9781474421577</v>
      </c>
      <c r="AI2172" t="s">
        <v>222</v>
      </c>
      <c r="AL2172" t="s">
        <v>102</v>
      </c>
      <c r="AM2172">
        <v>1</v>
      </c>
      <c r="AN2172" s="2">
        <v>9781474421560</v>
      </c>
    </row>
    <row r="2173" spans="1:40" x14ac:dyDescent="0.3">
      <c r="A2173" t="s">
        <v>10439</v>
      </c>
      <c r="B2173" t="s">
        <v>1</v>
      </c>
      <c r="C2173" t="s">
        <v>10440</v>
      </c>
      <c r="D2173" t="s">
        <v>10441</v>
      </c>
      <c r="E2173" t="s">
        <v>10442</v>
      </c>
      <c r="F2173" t="s">
        <v>5</v>
      </c>
      <c r="G2173" t="s">
        <v>6</v>
      </c>
      <c r="L2173" t="s">
        <v>7</v>
      </c>
      <c r="M2173">
        <v>2017</v>
      </c>
      <c r="N2173" s="1">
        <v>42815</v>
      </c>
      <c r="O2173" t="s">
        <v>10443</v>
      </c>
      <c r="P2173">
        <v>1</v>
      </c>
      <c r="Q2173" t="s">
        <v>6923</v>
      </c>
      <c r="S2173">
        <v>253.95</v>
      </c>
      <c r="T2173">
        <v>290</v>
      </c>
      <c r="U2173">
        <v>220</v>
      </c>
      <c r="V2173" t="s">
        <v>20</v>
      </c>
      <c r="W2173" t="s">
        <v>21</v>
      </c>
      <c r="X2173" t="s">
        <v>839</v>
      </c>
      <c r="Y2173" t="s">
        <v>1850</v>
      </c>
      <c r="AF2173" t="s">
        <v>13</v>
      </c>
      <c r="AG2173" t="str">
        <f>HYPERLINK("https://doi.org/10.1515/9780748681853")</f>
        <v>https://doi.org/10.1515/9780748681853</v>
      </c>
      <c r="AH2173" t="str">
        <f>HYPERLINK("http://www.degruyter.com/isbn/9780748681853")</f>
        <v>http://www.degruyter.com/isbn/9780748681853</v>
      </c>
      <c r="AI2173" t="s">
        <v>222</v>
      </c>
      <c r="AJ2173" t="s">
        <v>35</v>
      </c>
      <c r="AL2173" t="s">
        <v>1346</v>
      </c>
      <c r="AM2173">
        <v>1</v>
      </c>
      <c r="AN2173" s="2">
        <v>9780748681839</v>
      </c>
    </row>
    <row r="2174" spans="1:40" x14ac:dyDescent="0.3">
      <c r="A2174" t="s">
        <v>10444</v>
      </c>
      <c r="B2174" t="s">
        <v>1</v>
      </c>
      <c r="C2174" t="s">
        <v>10445</v>
      </c>
      <c r="E2174" t="s">
        <v>10446</v>
      </c>
      <c r="F2174" t="s">
        <v>5</v>
      </c>
      <c r="G2174" t="s">
        <v>6</v>
      </c>
      <c r="L2174" t="s">
        <v>7</v>
      </c>
      <c r="M2174">
        <v>2020</v>
      </c>
      <c r="N2174" s="1">
        <v>44656</v>
      </c>
      <c r="O2174" t="s">
        <v>10447</v>
      </c>
      <c r="P2174">
        <v>1</v>
      </c>
      <c r="Q2174" t="s">
        <v>7095</v>
      </c>
      <c r="S2174">
        <v>227.95</v>
      </c>
      <c r="T2174">
        <v>260</v>
      </c>
      <c r="U2174">
        <v>200</v>
      </c>
      <c r="V2174" t="s">
        <v>449</v>
      </c>
      <c r="W2174" t="s">
        <v>450</v>
      </c>
      <c r="X2174" t="s">
        <v>450</v>
      </c>
      <c r="Y2174" t="s">
        <v>451</v>
      </c>
      <c r="AF2174" t="s">
        <v>13</v>
      </c>
      <c r="AG2174" t="str">
        <f>HYPERLINK("https://www.degruyter.com/isbn/9781474440240")</f>
        <v>https://www.degruyter.com/isbn/9781474440240</v>
      </c>
      <c r="AH2174" t="str">
        <f>HYPERLINK("http://www.degruyter.com/isbn/9781474440240")</f>
        <v>http://www.degruyter.com/isbn/9781474440240</v>
      </c>
      <c r="AI2174" t="s">
        <v>7403</v>
      </c>
      <c r="AL2174" t="s">
        <v>308</v>
      </c>
      <c r="AM2174">
        <v>1</v>
      </c>
      <c r="AN2174" s="2">
        <v>9781474440226</v>
      </c>
    </row>
    <row r="2175" spans="1:40" x14ac:dyDescent="0.3">
      <c r="A2175" t="s">
        <v>10448</v>
      </c>
      <c r="B2175" t="s">
        <v>1</v>
      </c>
      <c r="C2175" t="s">
        <v>10449</v>
      </c>
      <c r="D2175" t="s">
        <v>10450</v>
      </c>
      <c r="E2175" t="s">
        <v>10451</v>
      </c>
      <c r="F2175" t="s">
        <v>5</v>
      </c>
      <c r="G2175" t="s">
        <v>6</v>
      </c>
      <c r="L2175" t="s">
        <v>7</v>
      </c>
      <c r="M2175">
        <v>2014</v>
      </c>
      <c r="N2175" s="1">
        <v>41794</v>
      </c>
      <c r="O2175" t="s">
        <v>10452</v>
      </c>
      <c r="P2175">
        <v>1</v>
      </c>
      <c r="Q2175" t="s">
        <v>6539</v>
      </c>
      <c r="S2175">
        <v>217.95</v>
      </c>
      <c r="T2175">
        <v>250</v>
      </c>
      <c r="U2175">
        <v>190</v>
      </c>
      <c r="V2175" t="s">
        <v>42</v>
      </c>
      <c r="W2175" t="s">
        <v>107</v>
      </c>
      <c r="X2175" t="s">
        <v>108</v>
      </c>
      <c r="Y2175" t="s">
        <v>109</v>
      </c>
      <c r="AF2175" t="s">
        <v>13</v>
      </c>
      <c r="AG2175" t="str">
        <f>HYPERLINK("https://doi.org/10.1515/9780748694594?locatt=mode:legacy")</f>
        <v>https://doi.org/10.1515/9780748694594?locatt=mode:legacy</v>
      </c>
      <c r="AH2175" t="str">
        <f>HYPERLINK("http://www.degruyter.com/isbn/9780748694594")</f>
        <v>http://www.degruyter.com/isbn/9780748694594</v>
      </c>
      <c r="AI2175" t="s">
        <v>34</v>
      </c>
      <c r="AL2175" t="s">
        <v>47</v>
      </c>
      <c r="AM2175">
        <v>1</v>
      </c>
      <c r="AN2175" s="2">
        <v>9780748694587</v>
      </c>
    </row>
    <row r="2176" spans="1:40" x14ac:dyDescent="0.3">
      <c r="A2176" t="s">
        <v>10453</v>
      </c>
      <c r="B2176" t="s">
        <v>1</v>
      </c>
      <c r="C2176" t="s">
        <v>10454</v>
      </c>
      <c r="E2176" t="s">
        <v>10455</v>
      </c>
      <c r="F2176" t="s">
        <v>5</v>
      </c>
      <c r="G2176" t="s">
        <v>6</v>
      </c>
      <c r="L2176" t="s">
        <v>7</v>
      </c>
      <c r="M2176">
        <v>2012</v>
      </c>
      <c r="N2176" s="1">
        <v>41233</v>
      </c>
      <c r="O2176" t="s">
        <v>10456</v>
      </c>
      <c r="P2176">
        <v>1</v>
      </c>
      <c r="Q2176" t="s">
        <v>6665</v>
      </c>
      <c r="S2176">
        <v>217.95</v>
      </c>
      <c r="T2176">
        <v>250</v>
      </c>
      <c r="U2176">
        <v>190</v>
      </c>
      <c r="V2176" t="s">
        <v>42</v>
      </c>
      <c r="W2176" t="s">
        <v>43</v>
      </c>
      <c r="X2176" t="s">
        <v>44</v>
      </c>
      <c r="Y2176" t="s">
        <v>45</v>
      </c>
      <c r="AF2176" t="s">
        <v>13</v>
      </c>
      <c r="AG2176" t="str">
        <f>HYPERLINK("https://doi.org/10.1515/9780748636402")</f>
        <v>https://doi.org/10.1515/9780748636402</v>
      </c>
      <c r="AH2176" t="str">
        <f>HYPERLINK("http://www.degruyter.com/isbn/9780748636402")</f>
        <v>http://www.degruyter.com/isbn/9780748636402</v>
      </c>
      <c r="AI2176" t="s">
        <v>68</v>
      </c>
      <c r="AJ2176" t="s">
        <v>35</v>
      </c>
      <c r="AL2176" t="s">
        <v>520</v>
      </c>
      <c r="AM2176">
        <v>1</v>
      </c>
      <c r="AN2176" s="2">
        <v>9780748636389</v>
      </c>
    </row>
    <row r="2177" spans="1:40" x14ac:dyDescent="0.3">
      <c r="A2177" t="s">
        <v>10457</v>
      </c>
      <c r="B2177" t="s">
        <v>1</v>
      </c>
      <c r="C2177" t="s">
        <v>10458</v>
      </c>
      <c r="E2177" t="s">
        <v>10459</v>
      </c>
      <c r="F2177" t="s">
        <v>5</v>
      </c>
      <c r="G2177" t="s">
        <v>6</v>
      </c>
      <c r="L2177" t="s">
        <v>7</v>
      </c>
      <c r="M2177">
        <v>2018</v>
      </c>
      <c r="N2177" s="1">
        <v>44644</v>
      </c>
      <c r="O2177" t="s">
        <v>10460</v>
      </c>
      <c r="P2177">
        <v>1</v>
      </c>
      <c r="Q2177" t="s">
        <v>8859</v>
      </c>
      <c r="S2177">
        <v>227.95</v>
      </c>
      <c r="T2177">
        <v>260</v>
      </c>
      <c r="U2177">
        <v>200</v>
      </c>
      <c r="V2177" t="s">
        <v>20</v>
      </c>
      <c r="W2177" t="s">
        <v>21</v>
      </c>
      <c r="X2177" t="s">
        <v>22</v>
      </c>
      <c r="Y2177" t="s">
        <v>23</v>
      </c>
      <c r="AF2177" t="s">
        <v>13</v>
      </c>
      <c r="AG2177" t="str">
        <f>HYPERLINK("https://doi.org/10.1515/9781474417822?locatt=mode:legacy")</f>
        <v>https://doi.org/10.1515/9781474417822?locatt=mode:legacy</v>
      </c>
      <c r="AH2177" t="str">
        <f>HYPERLINK("http://www.degruyter.com/isbn/9781474417822")</f>
        <v>http://www.degruyter.com/isbn/9781474417822</v>
      </c>
      <c r="AI2177" t="s">
        <v>46</v>
      </c>
      <c r="AL2177" t="s">
        <v>15</v>
      </c>
      <c r="AM2177">
        <v>1</v>
      </c>
      <c r="AN2177" s="2">
        <v>9781474417815</v>
      </c>
    </row>
    <row r="2178" spans="1:40" x14ac:dyDescent="0.3">
      <c r="A2178" t="s">
        <v>10461</v>
      </c>
      <c r="B2178" t="s">
        <v>1</v>
      </c>
      <c r="C2178" t="s">
        <v>10462</v>
      </c>
      <c r="D2178" t="s">
        <v>10463</v>
      </c>
      <c r="E2178" t="s">
        <v>10464</v>
      </c>
      <c r="F2178" t="s">
        <v>5</v>
      </c>
      <c r="G2178" t="s">
        <v>6</v>
      </c>
      <c r="L2178" t="s">
        <v>7</v>
      </c>
      <c r="M2178">
        <v>2014</v>
      </c>
      <c r="N2178" s="1">
        <v>41920</v>
      </c>
      <c r="O2178" t="s">
        <v>10465</v>
      </c>
      <c r="P2178">
        <v>1</v>
      </c>
      <c r="S2178">
        <v>217.95</v>
      </c>
      <c r="T2178">
        <v>250</v>
      </c>
      <c r="U2178">
        <v>190</v>
      </c>
      <c r="V2178" t="s">
        <v>42</v>
      </c>
      <c r="W2178" t="s">
        <v>116</v>
      </c>
      <c r="X2178" t="s">
        <v>116</v>
      </c>
      <c r="Y2178" t="s">
        <v>117</v>
      </c>
      <c r="AF2178" t="s">
        <v>13</v>
      </c>
      <c r="AG2178" t="str">
        <f>HYPERLINK("https://doi.org/10.1515/9780748675562?locatt=mode:legacy")</f>
        <v>https://doi.org/10.1515/9780748675562?locatt=mode:legacy</v>
      </c>
      <c r="AH2178" t="str">
        <f>HYPERLINK("http://www.degruyter.com/isbn/9780748675562")</f>
        <v>http://www.degruyter.com/isbn/9780748675562</v>
      </c>
      <c r="AI2178" t="s">
        <v>34</v>
      </c>
      <c r="AL2178" t="s">
        <v>47</v>
      </c>
      <c r="AM2178">
        <v>1</v>
      </c>
      <c r="AN2178" s="2">
        <v>9780748675555</v>
      </c>
    </row>
    <row r="2179" spans="1:40" x14ac:dyDescent="0.3">
      <c r="A2179" t="s">
        <v>10466</v>
      </c>
      <c r="B2179" t="s">
        <v>1</v>
      </c>
      <c r="C2179" t="s">
        <v>10467</v>
      </c>
      <c r="E2179" t="s">
        <v>10468</v>
      </c>
      <c r="F2179" t="s">
        <v>5</v>
      </c>
      <c r="G2179" t="s">
        <v>6</v>
      </c>
      <c r="L2179" t="s">
        <v>7</v>
      </c>
      <c r="M2179">
        <v>2019</v>
      </c>
      <c r="N2179" s="1">
        <v>44644</v>
      </c>
      <c r="O2179" t="s">
        <v>10469</v>
      </c>
      <c r="P2179">
        <v>1</v>
      </c>
      <c r="S2179">
        <v>217.95</v>
      </c>
      <c r="T2179">
        <v>250</v>
      </c>
      <c r="U2179">
        <v>190</v>
      </c>
      <c r="V2179" t="s">
        <v>98</v>
      </c>
      <c r="W2179" t="s">
        <v>366</v>
      </c>
      <c r="X2179" t="s">
        <v>367</v>
      </c>
      <c r="Y2179" t="s">
        <v>368</v>
      </c>
      <c r="AF2179" t="s">
        <v>13</v>
      </c>
      <c r="AG2179" t="str">
        <f>HYPERLINK("https://doi.org/10.1515/9780748677382")</f>
        <v>https://doi.org/10.1515/9780748677382</v>
      </c>
      <c r="AH2179" t="str">
        <f>HYPERLINK("http://www.degruyter.com/isbn/9780748677382")</f>
        <v>http://www.degruyter.com/isbn/9780748677382</v>
      </c>
      <c r="AI2179" t="s">
        <v>280</v>
      </c>
      <c r="AL2179" t="s">
        <v>102</v>
      </c>
      <c r="AM2179">
        <v>1</v>
      </c>
      <c r="AN2179" s="2">
        <v>9780748677375</v>
      </c>
    </row>
    <row r="2180" spans="1:40" x14ac:dyDescent="0.3">
      <c r="A2180" t="s">
        <v>10470</v>
      </c>
      <c r="B2180" t="s">
        <v>1</v>
      </c>
      <c r="C2180" t="s">
        <v>10471</v>
      </c>
      <c r="D2180" t="s">
        <v>10472</v>
      </c>
      <c r="E2180" t="s">
        <v>10473</v>
      </c>
      <c r="F2180" t="s">
        <v>5</v>
      </c>
      <c r="G2180" t="s">
        <v>6</v>
      </c>
      <c r="L2180" t="s">
        <v>7</v>
      </c>
      <c r="M2180">
        <v>2000</v>
      </c>
      <c r="N2180" s="1">
        <v>44607</v>
      </c>
      <c r="O2180" t="s">
        <v>3667</v>
      </c>
      <c r="P2180">
        <v>1</v>
      </c>
      <c r="S2180">
        <v>217.95</v>
      </c>
      <c r="T2180">
        <v>250</v>
      </c>
      <c r="U2180">
        <v>190</v>
      </c>
      <c r="V2180" t="s">
        <v>42</v>
      </c>
      <c r="W2180" t="s">
        <v>116</v>
      </c>
      <c r="X2180" t="s">
        <v>116</v>
      </c>
      <c r="Y2180" t="s">
        <v>117</v>
      </c>
      <c r="AF2180" t="s">
        <v>13</v>
      </c>
      <c r="AG2180" t="str">
        <f>HYPERLINK("https://doi.org/10.1515/9781474472364")</f>
        <v>https://doi.org/10.1515/9781474472364</v>
      </c>
      <c r="AH2180" t="str">
        <f>HYPERLINK("http://www.degruyter.com/isbn/9781474472364")</f>
        <v>http://www.degruyter.com/isbn/9781474472364</v>
      </c>
      <c r="AI2180" t="s">
        <v>68</v>
      </c>
      <c r="AL2180" t="s">
        <v>47</v>
      </c>
      <c r="AM2180">
        <v>1</v>
      </c>
      <c r="AN2180" s="2">
        <v>9780748610006</v>
      </c>
    </row>
    <row r="2181" spans="1:40" x14ac:dyDescent="0.3">
      <c r="A2181" t="s">
        <v>10474</v>
      </c>
      <c r="B2181" t="s">
        <v>1</v>
      </c>
      <c r="C2181" t="s">
        <v>10475</v>
      </c>
      <c r="D2181" t="s">
        <v>10476</v>
      </c>
      <c r="E2181" t="s">
        <v>10477</v>
      </c>
      <c r="F2181" t="s">
        <v>5</v>
      </c>
      <c r="G2181" t="s">
        <v>6</v>
      </c>
      <c r="L2181" t="s">
        <v>7</v>
      </c>
      <c r="M2181">
        <v>2017</v>
      </c>
      <c r="N2181" s="1">
        <v>43089</v>
      </c>
      <c r="O2181" t="s">
        <v>10478</v>
      </c>
      <c r="P2181">
        <v>1</v>
      </c>
      <c r="Q2181" t="s">
        <v>7571</v>
      </c>
      <c r="S2181">
        <v>253.95</v>
      </c>
      <c r="T2181">
        <v>290</v>
      </c>
      <c r="U2181">
        <v>220</v>
      </c>
      <c r="V2181" t="s">
        <v>20</v>
      </c>
      <c r="W2181" t="s">
        <v>21</v>
      </c>
      <c r="X2181" t="s">
        <v>575</v>
      </c>
      <c r="Y2181" t="s">
        <v>576</v>
      </c>
      <c r="AF2181" t="s">
        <v>13</v>
      </c>
      <c r="AG2181" t="str">
        <f>HYPERLINK("https://doi.org/10.1515/9780748629015")</f>
        <v>https://doi.org/10.1515/9780748629015</v>
      </c>
      <c r="AH2181" t="str">
        <f>HYPERLINK("http://www.degruyter.com/isbn/9780748629015")</f>
        <v>http://www.degruyter.com/isbn/9780748629015</v>
      </c>
      <c r="AI2181" t="s">
        <v>222</v>
      </c>
      <c r="AL2181" t="s">
        <v>15</v>
      </c>
      <c r="AM2181">
        <v>1</v>
      </c>
      <c r="AN2181" s="2">
        <v>9780748619399</v>
      </c>
    </row>
    <row r="2182" spans="1:40" x14ac:dyDescent="0.3">
      <c r="A2182" t="s">
        <v>10479</v>
      </c>
      <c r="B2182" t="s">
        <v>1</v>
      </c>
      <c r="C2182" t="s">
        <v>10480</v>
      </c>
      <c r="E2182" t="s">
        <v>10481</v>
      </c>
      <c r="F2182" t="s">
        <v>5</v>
      </c>
      <c r="G2182" t="s">
        <v>6</v>
      </c>
      <c r="L2182" t="s">
        <v>7</v>
      </c>
      <c r="M2182">
        <v>2009</v>
      </c>
      <c r="N2182" s="1">
        <v>39884</v>
      </c>
      <c r="O2182" t="s">
        <v>10482</v>
      </c>
      <c r="P2182">
        <v>1</v>
      </c>
      <c r="Q2182" t="s">
        <v>6418</v>
      </c>
      <c r="S2182">
        <v>253.95</v>
      </c>
      <c r="T2182">
        <v>290</v>
      </c>
      <c r="U2182">
        <v>220</v>
      </c>
      <c r="V2182" t="s">
        <v>20</v>
      </c>
      <c r="W2182" t="s">
        <v>556</v>
      </c>
      <c r="X2182" t="s">
        <v>1739</v>
      </c>
      <c r="Y2182" t="s">
        <v>1740</v>
      </c>
      <c r="AF2182" t="s">
        <v>13</v>
      </c>
      <c r="AG2182" t="str">
        <f>HYPERLINK("https://doi.org/10.1515/9780748636105?locatt=mode:legacy")</f>
        <v>https://doi.org/10.1515/9780748636105?locatt=mode:legacy</v>
      </c>
      <c r="AH2182" t="str">
        <f>HYPERLINK("http://www.degruyter.com/isbn/9780748636105")</f>
        <v>http://www.degruyter.com/isbn/9780748636105</v>
      </c>
      <c r="AI2182" t="s">
        <v>68</v>
      </c>
      <c r="AL2182" t="s">
        <v>15</v>
      </c>
      <c r="AM2182">
        <v>1</v>
      </c>
      <c r="AN2182" s="2">
        <v>9780748636082</v>
      </c>
    </row>
    <row r="2183" spans="1:40" x14ac:dyDescent="0.3">
      <c r="A2183" t="s">
        <v>10483</v>
      </c>
      <c r="B2183" t="s">
        <v>1</v>
      </c>
      <c r="C2183" t="s">
        <v>10484</v>
      </c>
      <c r="D2183" t="s">
        <v>10485</v>
      </c>
      <c r="E2183" t="s">
        <v>10486</v>
      </c>
      <c r="F2183" t="s">
        <v>5</v>
      </c>
      <c r="G2183" t="s">
        <v>6</v>
      </c>
      <c r="L2183" t="s">
        <v>7</v>
      </c>
      <c r="M2183">
        <v>2018</v>
      </c>
      <c r="N2183" s="1">
        <v>44656</v>
      </c>
      <c r="O2183" t="s">
        <v>10487</v>
      </c>
      <c r="P2183">
        <v>1</v>
      </c>
      <c r="Q2183" t="s">
        <v>7086</v>
      </c>
      <c r="S2183">
        <v>253.95</v>
      </c>
      <c r="T2183">
        <v>290</v>
      </c>
      <c r="U2183">
        <v>220</v>
      </c>
      <c r="V2183" t="s">
        <v>847</v>
      </c>
      <c r="W2183" t="s">
        <v>848</v>
      </c>
      <c r="X2183" t="s">
        <v>20</v>
      </c>
      <c r="Y2183" t="s">
        <v>3205</v>
      </c>
      <c r="AF2183" t="s">
        <v>13</v>
      </c>
      <c r="AG2183" t="str">
        <f>HYPERLINK("https://doi.org/10.1515/9781474434126")</f>
        <v>https://doi.org/10.1515/9781474434126</v>
      </c>
      <c r="AH2183" t="str">
        <f>HYPERLINK("http://www.degruyter.com/isbn/9781474434126")</f>
        <v>http://www.degruyter.com/isbn/9781474434126</v>
      </c>
      <c r="AI2183" t="s">
        <v>46</v>
      </c>
      <c r="AL2183" t="s">
        <v>1070</v>
      </c>
      <c r="AM2183">
        <v>1</v>
      </c>
      <c r="AN2183" s="2">
        <v>9781474434102</v>
      </c>
    </row>
    <row r="2184" spans="1:40" x14ac:dyDescent="0.3">
      <c r="A2184" t="s">
        <v>10488</v>
      </c>
      <c r="B2184" t="s">
        <v>1</v>
      </c>
      <c r="C2184" t="s">
        <v>10489</v>
      </c>
      <c r="E2184" t="s">
        <v>10490</v>
      </c>
      <c r="F2184" t="s">
        <v>5</v>
      </c>
      <c r="G2184" t="s">
        <v>6</v>
      </c>
      <c r="L2184" t="s">
        <v>7</v>
      </c>
      <c r="M2184">
        <v>2017</v>
      </c>
      <c r="N2184" s="1">
        <v>43047</v>
      </c>
      <c r="O2184" t="s">
        <v>10491</v>
      </c>
      <c r="P2184">
        <v>1</v>
      </c>
      <c r="Q2184" t="s">
        <v>6539</v>
      </c>
      <c r="S2184">
        <v>217.95</v>
      </c>
      <c r="T2184">
        <v>250</v>
      </c>
      <c r="U2184">
        <v>190</v>
      </c>
      <c r="V2184" t="s">
        <v>42</v>
      </c>
      <c r="W2184" t="s">
        <v>107</v>
      </c>
      <c r="X2184" t="s">
        <v>108</v>
      </c>
      <c r="Y2184" t="s">
        <v>109</v>
      </c>
      <c r="AF2184" t="s">
        <v>13</v>
      </c>
      <c r="AG2184" t="str">
        <f>HYPERLINK("https://doi.org/10.1515/9781474417693")</f>
        <v>https://doi.org/10.1515/9781474417693</v>
      </c>
      <c r="AH2184" t="str">
        <f>HYPERLINK("http://www.degruyter.com/isbn/9781474417693")</f>
        <v>http://www.degruyter.com/isbn/9781474417693</v>
      </c>
      <c r="AI2184" t="s">
        <v>222</v>
      </c>
      <c r="AL2184" t="s">
        <v>47</v>
      </c>
      <c r="AM2184">
        <v>1</v>
      </c>
      <c r="AN2184" s="2">
        <v>9781474417686</v>
      </c>
    </row>
    <row r="2185" spans="1:40" x14ac:dyDescent="0.3">
      <c r="A2185" t="s">
        <v>10492</v>
      </c>
      <c r="B2185" t="s">
        <v>1</v>
      </c>
      <c r="C2185" t="s">
        <v>10493</v>
      </c>
      <c r="D2185" t="s">
        <v>10494</v>
      </c>
      <c r="E2185" t="s">
        <v>10495</v>
      </c>
      <c r="F2185" t="s">
        <v>5</v>
      </c>
      <c r="G2185" t="s">
        <v>6</v>
      </c>
      <c r="L2185" t="s">
        <v>7</v>
      </c>
      <c r="M2185">
        <v>2019</v>
      </c>
      <c r="N2185" s="1">
        <v>44644</v>
      </c>
      <c r="O2185" t="s">
        <v>10496</v>
      </c>
      <c r="P2185">
        <v>1</v>
      </c>
      <c r="Q2185" t="s">
        <v>7810</v>
      </c>
      <c r="S2185">
        <v>253.95</v>
      </c>
      <c r="T2185">
        <v>290</v>
      </c>
      <c r="U2185">
        <v>220</v>
      </c>
      <c r="V2185" t="s">
        <v>79</v>
      </c>
      <c r="W2185" t="s">
        <v>762</v>
      </c>
      <c r="X2185" t="s">
        <v>762</v>
      </c>
      <c r="Y2185" t="s">
        <v>763</v>
      </c>
      <c r="AF2185" t="s">
        <v>13</v>
      </c>
      <c r="AG2185" t="str">
        <f>HYPERLINK("https://doi.org/10.1515/9781474451147?locatt=mode:legacy")</f>
        <v>https://doi.org/10.1515/9781474451147?locatt=mode:legacy</v>
      </c>
      <c r="AH2185" t="str">
        <f>HYPERLINK("http://www.degruyter.com/isbn/9781474451147")</f>
        <v>http://www.degruyter.com/isbn/9781474451147</v>
      </c>
      <c r="AI2185" t="s">
        <v>280</v>
      </c>
      <c r="AL2185" t="s">
        <v>83</v>
      </c>
      <c r="AM2185">
        <v>1</v>
      </c>
      <c r="AN2185" s="2">
        <v>9781474451123</v>
      </c>
    </row>
    <row r="2186" spans="1:40" x14ac:dyDescent="0.3">
      <c r="A2186" t="s">
        <v>10497</v>
      </c>
      <c r="B2186" t="s">
        <v>1</v>
      </c>
      <c r="C2186" t="s">
        <v>10498</v>
      </c>
      <c r="E2186" t="s">
        <v>10499</v>
      </c>
      <c r="F2186" t="s">
        <v>5</v>
      </c>
      <c r="G2186" t="s">
        <v>6</v>
      </c>
      <c r="L2186" t="s">
        <v>7</v>
      </c>
      <c r="M2186">
        <v>2010</v>
      </c>
      <c r="N2186" s="1">
        <v>40421</v>
      </c>
      <c r="O2186" t="s">
        <v>10500</v>
      </c>
      <c r="P2186">
        <v>1</v>
      </c>
      <c r="Q2186" t="s">
        <v>10501</v>
      </c>
      <c r="S2186">
        <v>261.95</v>
      </c>
      <c r="T2186">
        <v>300</v>
      </c>
      <c r="U2186">
        <v>230</v>
      </c>
      <c r="V2186" t="s">
        <v>20</v>
      </c>
      <c r="W2186" t="s">
        <v>21</v>
      </c>
      <c r="X2186" t="s">
        <v>575</v>
      </c>
      <c r="Y2186" t="s">
        <v>576</v>
      </c>
      <c r="AF2186" t="s">
        <v>13</v>
      </c>
      <c r="AG2186" t="str">
        <f>HYPERLINK("https://doi.org/10.1515/9780748629534")</f>
        <v>https://doi.org/10.1515/9780748629534</v>
      </c>
      <c r="AH2186" t="str">
        <f>HYPERLINK("http://www.degruyter.com/isbn/9780748629534")</f>
        <v>http://www.degruyter.com/isbn/9780748629534</v>
      </c>
      <c r="AI2186" t="s">
        <v>68</v>
      </c>
      <c r="AL2186" t="s">
        <v>15</v>
      </c>
      <c r="AM2186">
        <v>1</v>
      </c>
      <c r="AN2186" s="2">
        <v>9780748621699</v>
      </c>
    </row>
    <row r="2187" spans="1:40" x14ac:dyDescent="0.3">
      <c r="A2187" t="s">
        <v>10502</v>
      </c>
      <c r="B2187" t="s">
        <v>1</v>
      </c>
      <c r="C2187" t="s">
        <v>10503</v>
      </c>
      <c r="E2187" t="s">
        <v>10504</v>
      </c>
      <c r="F2187" t="s">
        <v>5</v>
      </c>
      <c r="G2187" t="s">
        <v>6</v>
      </c>
      <c r="L2187" t="s">
        <v>7</v>
      </c>
      <c r="M2187">
        <v>2009</v>
      </c>
      <c r="N2187" s="1">
        <v>40065</v>
      </c>
      <c r="O2187" t="s">
        <v>10505</v>
      </c>
      <c r="P2187">
        <v>1</v>
      </c>
      <c r="Q2187" t="s">
        <v>10408</v>
      </c>
      <c r="S2187">
        <v>209.95</v>
      </c>
      <c r="T2187">
        <v>240</v>
      </c>
      <c r="U2187">
        <v>180</v>
      </c>
      <c r="V2187" t="s">
        <v>9</v>
      </c>
      <c r="W2187" t="s">
        <v>2817</v>
      </c>
      <c r="X2187" t="s">
        <v>2818</v>
      </c>
      <c r="Y2187" t="s">
        <v>2819</v>
      </c>
      <c r="AF2187" t="s">
        <v>13</v>
      </c>
      <c r="AG2187" t="str">
        <f>HYPERLINK("https://doi.org/10.1515/9781474471039?locatt=mode:legacy")</f>
        <v>https://doi.org/10.1515/9781474471039?locatt=mode:legacy</v>
      </c>
      <c r="AH2187" t="str">
        <f>HYPERLINK("http://www.degruyter.com/isbn/9781474471039")</f>
        <v>http://www.degruyter.com/isbn/9781474471039</v>
      </c>
      <c r="AI2187" t="s">
        <v>3793</v>
      </c>
      <c r="AL2187" t="s">
        <v>15</v>
      </c>
      <c r="AM2187">
        <v>1</v>
      </c>
      <c r="AN2187" s="2">
        <v>9780748637515</v>
      </c>
    </row>
    <row r="2188" spans="1:40" x14ac:dyDescent="0.3">
      <c r="A2188" t="s">
        <v>10506</v>
      </c>
      <c r="B2188" t="s">
        <v>1</v>
      </c>
      <c r="C2188" t="s">
        <v>10507</v>
      </c>
      <c r="E2188" t="s">
        <v>10508</v>
      </c>
      <c r="F2188" t="s">
        <v>5</v>
      </c>
      <c r="G2188" t="s">
        <v>6</v>
      </c>
      <c r="L2188" t="s">
        <v>7</v>
      </c>
      <c r="M2188">
        <v>2021</v>
      </c>
      <c r="N2188" s="1">
        <v>44644</v>
      </c>
      <c r="O2188" t="s">
        <v>10509</v>
      </c>
      <c r="P2188">
        <v>1</v>
      </c>
      <c r="Q2188" t="s">
        <v>6899</v>
      </c>
      <c r="S2188">
        <v>217.95</v>
      </c>
      <c r="T2188">
        <v>250</v>
      </c>
      <c r="U2188">
        <v>190</v>
      </c>
      <c r="V2188" t="s">
        <v>329</v>
      </c>
      <c r="W2188" t="s">
        <v>330</v>
      </c>
      <c r="X2188" t="s">
        <v>331</v>
      </c>
      <c r="Y2188" t="s">
        <v>4770</v>
      </c>
      <c r="AF2188" t="s">
        <v>13</v>
      </c>
      <c r="AG2188" t="str">
        <f>HYPERLINK("https://doi.org/10.1515/9781474446747")</f>
        <v>https://doi.org/10.1515/9781474446747</v>
      </c>
      <c r="AH2188" t="str">
        <f>HYPERLINK("http://www.degruyter.com/isbn/9781474446747")</f>
        <v>http://www.degruyter.com/isbn/9781474446747</v>
      </c>
      <c r="AI2188" t="s">
        <v>9679</v>
      </c>
      <c r="AL2188" t="s">
        <v>333</v>
      </c>
      <c r="AM2188">
        <v>1</v>
      </c>
      <c r="AN2188" s="2">
        <v>9781474446723</v>
      </c>
    </row>
    <row r="2189" spans="1:40" x14ac:dyDescent="0.3">
      <c r="A2189" t="s">
        <v>10510</v>
      </c>
      <c r="B2189" t="s">
        <v>1</v>
      </c>
      <c r="C2189" t="s">
        <v>10511</v>
      </c>
      <c r="D2189" t="s">
        <v>10512</v>
      </c>
      <c r="E2189" t="s">
        <v>10513</v>
      </c>
      <c r="F2189" t="s">
        <v>5</v>
      </c>
      <c r="G2189" t="s">
        <v>6</v>
      </c>
      <c r="L2189" t="s">
        <v>7</v>
      </c>
      <c r="M2189">
        <v>2020</v>
      </c>
      <c r="N2189" s="1">
        <v>44644</v>
      </c>
      <c r="O2189" t="s">
        <v>10514</v>
      </c>
      <c r="P2189">
        <v>1</v>
      </c>
      <c r="S2189">
        <v>253.95</v>
      </c>
      <c r="T2189">
        <v>290</v>
      </c>
      <c r="U2189">
        <v>220</v>
      </c>
      <c r="V2189" t="s">
        <v>20</v>
      </c>
      <c r="W2189" t="s">
        <v>21</v>
      </c>
      <c r="X2189" t="s">
        <v>22</v>
      </c>
      <c r="Y2189" t="s">
        <v>23</v>
      </c>
      <c r="AF2189" t="s">
        <v>13</v>
      </c>
      <c r="AG2189" t="str">
        <f>HYPERLINK("https://doi.org/10.1515/9781474462419")</f>
        <v>https://doi.org/10.1515/9781474462419</v>
      </c>
      <c r="AH2189" t="str">
        <f>HYPERLINK("http://www.degruyter.com/isbn/9781474462419")</f>
        <v>http://www.degruyter.com/isbn/9781474462419</v>
      </c>
      <c r="AI2189" t="s">
        <v>14</v>
      </c>
      <c r="AL2189" t="s">
        <v>15</v>
      </c>
      <c r="AM2189">
        <v>1</v>
      </c>
      <c r="AN2189" s="2">
        <v>9781474462396</v>
      </c>
    </row>
    <row r="2190" spans="1:40" x14ac:dyDescent="0.3">
      <c r="A2190" t="s">
        <v>10515</v>
      </c>
      <c r="B2190" t="s">
        <v>1</v>
      </c>
      <c r="C2190" t="s">
        <v>10516</v>
      </c>
      <c r="E2190" t="s">
        <v>10517</v>
      </c>
      <c r="F2190" t="s">
        <v>5</v>
      </c>
      <c r="G2190" t="s">
        <v>6</v>
      </c>
      <c r="L2190" t="s">
        <v>7</v>
      </c>
      <c r="M2190">
        <v>2020</v>
      </c>
      <c r="N2190" s="1">
        <v>44644</v>
      </c>
      <c r="O2190" t="s">
        <v>10518</v>
      </c>
      <c r="P2190">
        <v>1</v>
      </c>
      <c r="Q2190" t="s">
        <v>6912</v>
      </c>
      <c r="S2190">
        <v>253.95</v>
      </c>
      <c r="T2190">
        <v>290</v>
      </c>
      <c r="U2190">
        <v>220</v>
      </c>
      <c r="V2190" t="s">
        <v>98</v>
      </c>
      <c r="W2190" t="s">
        <v>99</v>
      </c>
      <c r="X2190" t="s">
        <v>100</v>
      </c>
      <c r="Y2190" t="s">
        <v>937</v>
      </c>
      <c r="AF2190" t="s">
        <v>13</v>
      </c>
      <c r="AG2190" t="str">
        <f>HYPERLINK("https://doi.org/10.1515/9780748681808")</f>
        <v>https://doi.org/10.1515/9780748681808</v>
      </c>
      <c r="AH2190" t="str">
        <f>HYPERLINK("http://www.degruyter.com/isbn/9780748681808")</f>
        <v>http://www.degruyter.com/isbn/9780748681808</v>
      </c>
      <c r="AI2190" t="s">
        <v>14</v>
      </c>
      <c r="AL2190" t="s">
        <v>102</v>
      </c>
      <c r="AM2190">
        <v>1</v>
      </c>
      <c r="AN2190" s="2">
        <v>9780748681785</v>
      </c>
    </row>
    <row r="2191" spans="1:40" x14ac:dyDescent="0.3">
      <c r="A2191" t="s">
        <v>10519</v>
      </c>
      <c r="B2191" t="s">
        <v>1</v>
      </c>
      <c r="C2191" t="s">
        <v>10520</v>
      </c>
      <c r="E2191" t="s">
        <v>10521</v>
      </c>
      <c r="F2191" t="s">
        <v>5</v>
      </c>
      <c r="G2191" t="s">
        <v>6</v>
      </c>
      <c r="L2191" t="s">
        <v>7</v>
      </c>
      <c r="M2191">
        <v>2020</v>
      </c>
      <c r="N2191" s="1">
        <v>44656</v>
      </c>
      <c r="O2191" t="s">
        <v>10522</v>
      </c>
      <c r="P2191">
        <v>1</v>
      </c>
      <c r="Q2191" t="s">
        <v>9162</v>
      </c>
      <c r="S2191">
        <v>217.95</v>
      </c>
      <c r="T2191">
        <v>250</v>
      </c>
      <c r="U2191">
        <v>190</v>
      </c>
      <c r="V2191" t="s">
        <v>42</v>
      </c>
      <c r="W2191" t="s">
        <v>107</v>
      </c>
      <c r="X2191" t="s">
        <v>108</v>
      </c>
      <c r="Y2191" t="s">
        <v>952</v>
      </c>
      <c r="AF2191" t="s">
        <v>13</v>
      </c>
      <c r="AG2191" t="str">
        <f>HYPERLINK("https://doi.org/10.1515/9781474442428")</f>
        <v>https://doi.org/10.1515/9781474442428</v>
      </c>
      <c r="AH2191" t="str">
        <f>HYPERLINK("http://www.degruyter.com/isbn/9781474442428")</f>
        <v>http://www.degruyter.com/isbn/9781474442428</v>
      </c>
      <c r="AI2191" t="s">
        <v>14</v>
      </c>
      <c r="AL2191" t="s">
        <v>47</v>
      </c>
      <c r="AM2191">
        <v>1</v>
      </c>
      <c r="AN2191" s="2">
        <v>9781474442336</v>
      </c>
    </row>
    <row r="2192" spans="1:40" x14ac:dyDescent="0.3">
      <c r="A2192" t="s">
        <v>10523</v>
      </c>
      <c r="B2192" t="s">
        <v>1</v>
      </c>
      <c r="C2192" t="s">
        <v>10524</v>
      </c>
      <c r="D2192" t="s">
        <v>10525</v>
      </c>
      <c r="E2192" t="s">
        <v>10526</v>
      </c>
      <c r="F2192" t="s">
        <v>5</v>
      </c>
      <c r="G2192" t="s">
        <v>6</v>
      </c>
      <c r="L2192" t="s">
        <v>7</v>
      </c>
      <c r="M2192">
        <v>2012</v>
      </c>
      <c r="N2192" s="1">
        <v>40975</v>
      </c>
      <c r="O2192" t="s">
        <v>10527</v>
      </c>
      <c r="P2192">
        <v>1</v>
      </c>
      <c r="Q2192" t="s">
        <v>7529</v>
      </c>
      <c r="S2192">
        <v>287.95</v>
      </c>
      <c r="T2192">
        <v>330</v>
      </c>
      <c r="U2192">
        <v>250</v>
      </c>
      <c r="V2192" t="s">
        <v>329</v>
      </c>
      <c r="W2192" t="s">
        <v>330</v>
      </c>
      <c r="X2192" t="s">
        <v>331</v>
      </c>
      <c r="Y2192" t="s">
        <v>332</v>
      </c>
      <c r="AF2192" t="s">
        <v>13</v>
      </c>
      <c r="AG2192" t="str">
        <f>HYPERLINK("https://doi.org/10.1515/9780748629992")</f>
        <v>https://doi.org/10.1515/9780748629992</v>
      </c>
      <c r="AH2192" t="str">
        <f>HYPERLINK("http://www.degruyter.com/isbn/9780748629992")</f>
        <v>http://www.degruyter.com/isbn/9780748629992</v>
      </c>
      <c r="AI2192" t="s">
        <v>68</v>
      </c>
      <c r="AL2192" t="s">
        <v>333</v>
      </c>
      <c r="AM2192">
        <v>1</v>
      </c>
      <c r="AN2192" s="2">
        <v>9780748623211</v>
      </c>
    </row>
    <row r="2193" spans="1:40" x14ac:dyDescent="0.3">
      <c r="A2193" t="s">
        <v>10528</v>
      </c>
      <c r="B2193" t="s">
        <v>1</v>
      </c>
      <c r="C2193" t="s">
        <v>10529</v>
      </c>
      <c r="E2193" t="s">
        <v>10530</v>
      </c>
      <c r="F2193" t="s">
        <v>5</v>
      </c>
      <c r="G2193" t="s">
        <v>6</v>
      </c>
      <c r="L2193" t="s">
        <v>7</v>
      </c>
      <c r="M2193">
        <v>2020</v>
      </c>
      <c r="N2193" s="1">
        <v>44644</v>
      </c>
      <c r="O2193" t="s">
        <v>10531</v>
      </c>
      <c r="P2193">
        <v>1</v>
      </c>
      <c r="Q2193" t="s">
        <v>8750</v>
      </c>
      <c r="S2193">
        <v>217.95</v>
      </c>
      <c r="T2193">
        <v>250</v>
      </c>
      <c r="U2193">
        <v>190</v>
      </c>
      <c r="V2193" t="s">
        <v>42</v>
      </c>
      <c r="W2193" t="s">
        <v>43</v>
      </c>
      <c r="X2193" t="s">
        <v>6163</v>
      </c>
      <c r="Y2193" t="s">
        <v>117</v>
      </c>
      <c r="AF2193" t="s">
        <v>13</v>
      </c>
      <c r="AG2193" t="str">
        <f>HYPERLINK("https://doi.org/10.1515/9781474477321")</f>
        <v>https://doi.org/10.1515/9781474477321</v>
      </c>
      <c r="AH2193" t="str">
        <f>HYPERLINK("http://www.degruyter.com/isbn/9781474477321")</f>
        <v>http://www.degruyter.com/isbn/9781474477321</v>
      </c>
      <c r="AI2193" t="s">
        <v>14</v>
      </c>
      <c r="AL2193" t="s">
        <v>47</v>
      </c>
      <c r="AM2193">
        <v>1</v>
      </c>
      <c r="AN2193" s="2">
        <v>9781474477307</v>
      </c>
    </row>
    <row r="2194" spans="1:40" x14ac:dyDescent="0.3">
      <c r="A2194" t="s">
        <v>10532</v>
      </c>
      <c r="B2194" t="s">
        <v>1</v>
      </c>
      <c r="C2194" t="s">
        <v>10533</v>
      </c>
      <c r="D2194" t="s">
        <v>10534</v>
      </c>
      <c r="E2194" t="s">
        <v>10535</v>
      </c>
      <c r="F2194" t="s">
        <v>5</v>
      </c>
      <c r="G2194" t="s">
        <v>6</v>
      </c>
      <c r="L2194" t="s">
        <v>7</v>
      </c>
      <c r="M2194">
        <v>2016</v>
      </c>
      <c r="N2194" s="1">
        <v>42473</v>
      </c>
      <c r="O2194" t="s">
        <v>10536</v>
      </c>
      <c r="P2194">
        <v>1</v>
      </c>
      <c r="Q2194" t="s">
        <v>7019</v>
      </c>
      <c r="S2194">
        <v>217.95</v>
      </c>
      <c r="T2194">
        <v>250</v>
      </c>
      <c r="U2194">
        <v>190</v>
      </c>
      <c r="V2194" t="s">
        <v>42</v>
      </c>
      <c r="W2194" t="s">
        <v>116</v>
      </c>
      <c r="X2194" t="s">
        <v>116</v>
      </c>
      <c r="Y2194" t="s">
        <v>117</v>
      </c>
      <c r="AF2194" t="s">
        <v>13</v>
      </c>
      <c r="AG2194" t="str">
        <f>HYPERLINK("https://doi.org/10.1515/9781474401043?locatt=mode:legacy")</f>
        <v>https://doi.org/10.1515/9781474401043?locatt=mode:legacy</v>
      </c>
      <c r="AH2194" t="str">
        <f>HYPERLINK("http://www.degruyter.com/isbn/9781474401043")</f>
        <v>http://www.degruyter.com/isbn/9781474401043</v>
      </c>
      <c r="AI2194" t="s">
        <v>180</v>
      </c>
      <c r="AL2194" t="s">
        <v>47</v>
      </c>
      <c r="AM2194">
        <v>1</v>
      </c>
      <c r="AN2194" s="2">
        <v>9781474401036</v>
      </c>
    </row>
    <row r="2195" spans="1:40" x14ac:dyDescent="0.3">
      <c r="A2195" t="s">
        <v>10537</v>
      </c>
      <c r="B2195" t="s">
        <v>1</v>
      </c>
      <c r="C2195" t="s">
        <v>10538</v>
      </c>
      <c r="D2195" t="s">
        <v>10539</v>
      </c>
      <c r="E2195" t="s">
        <v>10540</v>
      </c>
      <c r="F2195" t="s">
        <v>5</v>
      </c>
      <c r="G2195" t="s">
        <v>6</v>
      </c>
      <c r="L2195" t="s">
        <v>7</v>
      </c>
      <c r="M2195">
        <v>1998</v>
      </c>
      <c r="N2195" s="1">
        <v>44641</v>
      </c>
      <c r="O2195" t="s">
        <v>10541</v>
      </c>
      <c r="P2195">
        <v>1</v>
      </c>
      <c r="Q2195" t="s">
        <v>7950</v>
      </c>
      <c r="S2195">
        <v>217.95</v>
      </c>
      <c r="T2195">
        <v>250</v>
      </c>
      <c r="U2195">
        <v>190</v>
      </c>
      <c r="V2195" t="s">
        <v>98</v>
      </c>
      <c r="W2195" t="s">
        <v>99</v>
      </c>
      <c r="X2195" t="s">
        <v>386</v>
      </c>
      <c r="Y2195" t="s">
        <v>387</v>
      </c>
      <c r="AF2195" t="s">
        <v>13</v>
      </c>
      <c r="AG2195" t="str">
        <f>HYPERLINK("https://doi.org/10.1515/9780748628889")</f>
        <v>https://doi.org/10.1515/9780748628889</v>
      </c>
      <c r="AH2195" t="str">
        <f>HYPERLINK("http://www.degruyter.com/isbn/9780748628889")</f>
        <v>http://www.degruyter.com/isbn/9780748628889</v>
      </c>
      <c r="AI2195" t="s">
        <v>24</v>
      </c>
      <c r="AL2195" t="s">
        <v>102</v>
      </c>
      <c r="AM2195">
        <v>1</v>
      </c>
      <c r="AN2195" s="2">
        <v>9780748610556</v>
      </c>
    </row>
    <row r="2196" spans="1:40" x14ac:dyDescent="0.3">
      <c r="A2196" t="s">
        <v>10542</v>
      </c>
      <c r="B2196" t="s">
        <v>1</v>
      </c>
      <c r="C2196" t="s">
        <v>10543</v>
      </c>
      <c r="D2196" t="s">
        <v>10544</v>
      </c>
      <c r="E2196" t="s">
        <v>10545</v>
      </c>
      <c r="F2196" t="s">
        <v>5</v>
      </c>
      <c r="G2196" t="s">
        <v>6</v>
      </c>
      <c r="K2196" t="s">
        <v>929</v>
      </c>
      <c r="L2196" t="s">
        <v>7</v>
      </c>
      <c r="M2196">
        <v>2014</v>
      </c>
      <c r="N2196" s="1">
        <v>41740</v>
      </c>
      <c r="O2196" t="s">
        <v>10546</v>
      </c>
      <c r="P2196">
        <v>1</v>
      </c>
      <c r="Q2196" t="s">
        <v>7086</v>
      </c>
      <c r="V2196" t="s">
        <v>20</v>
      </c>
      <c r="W2196" t="s">
        <v>21</v>
      </c>
      <c r="X2196" t="s">
        <v>458</v>
      </c>
      <c r="Y2196" t="s">
        <v>459</v>
      </c>
      <c r="AF2196" t="s">
        <v>13</v>
      </c>
      <c r="AG2196" t="str">
        <f>HYPERLINK("https://doi.org/10.1515/9780748677696?locatt=mode:legacy")</f>
        <v>https://doi.org/10.1515/9780748677696?locatt=mode:legacy</v>
      </c>
      <c r="AH2196" t="str">
        <f>HYPERLINK("http://www.degruyter.com/isbn/9780748677696")</f>
        <v>http://www.degruyter.com/isbn/9780748677696</v>
      </c>
      <c r="AI2196" t="s">
        <v>34</v>
      </c>
      <c r="AM2196">
        <v>1</v>
      </c>
      <c r="AN2196" s="2"/>
    </row>
    <row r="2197" spans="1:40" x14ac:dyDescent="0.3">
      <c r="A2197" t="s">
        <v>10547</v>
      </c>
      <c r="B2197" t="s">
        <v>1</v>
      </c>
      <c r="C2197" t="s">
        <v>10548</v>
      </c>
      <c r="E2197" t="s">
        <v>10549</v>
      </c>
      <c r="F2197" t="s">
        <v>5</v>
      </c>
      <c r="G2197" t="s">
        <v>6</v>
      </c>
      <c r="L2197" t="s">
        <v>7</v>
      </c>
      <c r="M2197">
        <v>2005</v>
      </c>
      <c r="N2197" s="1">
        <v>38398</v>
      </c>
      <c r="O2197" t="s">
        <v>10550</v>
      </c>
      <c r="P2197">
        <v>1</v>
      </c>
      <c r="Q2197" t="s">
        <v>10551</v>
      </c>
      <c r="S2197">
        <v>253.95</v>
      </c>
      <c r="T2197">
        <v>290</v>
      </c>
      <c r="U2197">
        <v>220</v>
      </c>
      <c r="V2197" t="s">
        <v>297</v>
      </c>
      <c r="W2197" t="s">
        <v>298</v>
      </c>
      <c r="X2197" t="s">
        <v>298</v>
      </c>
      <c r="Y2197" t="s">
        <v>299</v>
      </c>
      <c r="AF2197" t="s">
        <v>13</v>
      </c>
      <c r="AG2197" t="str">
        <f>HYPERLINK("https://doi.org/10.1515/9781474463867")</f>
        <v>https://doi.org/10.1515/9781474463867</v>
      </c>
      <c r="AH2197" t="str">
        <f>HYPERLINK("http://www.degruyter.com/isbn/9781474463867")</f>
        <v>http://www.degruyter.com/isbn/9781474463867</v>
      </c>
      <c r="AI2197" t="s">
        <v>68</v>
      </c>
      <c r="AL2197" t="s">
        <v>83</v>
      </c>
      <c r="AM2197">
        <v>1</v>
      </c>
      <c r="AN2197" s="2">
        <v>9780748619153</v>
      </c>
    </row>
    <row r="2198" spans="1:40" x14ac:dyDescent="0.3">
      <c r="A2198" t="s">
        <v>10552</v>
      </c>
      <c r="B2198" t="s">
        <v>1</v>
      </c>
      <c r="C2198" t="s">
        <v>10553</v>
      </c>
      <c r="D2198" t="s">
        <v>10554</v>
      </c>
      <c r="E2198" t="s">
        <v>10555</v>
      </c>
      <c r="F2198" t="s">
        <v>5</v>
      </c>
      <c r="G2198" t="s">
        <v>6</v>
      </c>
      <c r="L2198" t="s">
        <v>7</v>
      </c>
      <c r="M2198">
        <v>2014</v>
      </c>
      <c r="N2198" s="1">
        <v>41983</v>
      </c>
      <c r="O2198" t="s">
        <v>10556</v>
      </c>
      <c r="P2198">
        <v>1</v>
      </c>
      <c r="S2198">
        <v>243.95</v>
      </c>
      <c r="T2198">
        <v>280</v>
      </c>
      <c r="U2198">
        <v>210</v>
      </c>
      <c r="V2198" t="s">
        <v>58</v>
      </c>
      <c r="W2198" t="s">
        <v>59</v>
      </c>
      <c r="X2198" t="s">
        <v>60</v>
      </c>
      <c r="Y2198" t="s">
        <v>772</v>
      </c>
      <c r="AF2198" t="s">
        <v>13</v>
      </c>
      <c r="AG2198" t="str">
        <f>HYPERLINK("https://doi.org/10.1515/9780748695409")</f>
        <v>https://doi.org/10.1515/9780748695409</v>
      </c>
      <c r="AH2198" t="str">
        <f>HYPERLINK("http://www.degruyter.com/isbn/9780748695409")</f>
        <v>http://www.degruyter.com/isbn/9780748695409</v>
      </c>
      <c r="AI2198" t="s">
        <v>34</v>
      </c>
      <c r="AL2198" t="s">
        <v>62</v>
      </c>
      <c r="AM2198">
        <v>1</v>
      </c>
      <c r="AN2198" s="2">
        <v>9780748695393</v>
      </c>
    </row>
    <row r="2199" spans="1:40" x14ac:dyDescent="0.3">
      <c r="A2199" t="s">
        <v>10557</v>
      </c>
      <c r="B2199" t="s">
        <v>1</v>
      </c>
      <c r="C2199" t="s">
        <v>10558</v>
      </c>
      <c r="E2199" t="s">
        <v>10559</v>
      </c>
      <c r="F2199" t="s">
        <v>5</v>
      </c>
      <c r="G2199" t="s">
        <v>6</v>
      </c>
      <c r="L2199" t="s">
        <v>7</v>
      </c>
      <c r="M2199">
        <v>1984</v>
      </c>
      <c r="N2199" s="1">
        <v>44599</v>
      </c>
      <c r="O2199" t="s">
        <v>10560</v>
      </c>
      <c r="P2199">
        <v>1</v>
      </c>
      <c r="S2199">
        <v>217.95</v>
      </c>
      <c r="T2199">
        <v>250</v>
      </c>
      <c r="U2199">
        <v>190</v>
      </c>
      <c r="V2199" t="s">
        <v>79</v>
      </c>
      <c r="W2199" t="s">
        <v>734</v>
      </c>
      <c r="X2199" t="s">
        <v>734</v>
      </c>
      <c r="Y2199" t="s">
        <v>6064</v>
      </c>
      <c r="AF2199" t="s">
        <v>13</v>
      </c>
      <c r="AG2199" t="str">
        <f>HYPERLINK("https://doi.org/10.1515/9781474472814")</f>
        <v>https://doi.org/10.1515/9781474472814</v>
      </c>
      <c r="AH2199" t="str">
        <f>HYPERLINK("http://www.degruyter.com/isbn/9781474472814")</f>
        <v>http://www.degruyter.com/isbn/9781474472814</v>
      </c>
      <c r="AI2199" t="s">
        <v>24</v>
      </c>
      <c r="AL2199" t="s">
        <v>83</v>
      </c>
      <c r="AM2199">
        <v>1</v>
      </c>
      <c r="AN2199" s="2">
        <v>9780852244555</v>
      </c>
    </row>
    <row r="2200" spans="1:40" x14ac:dyDescent="0.3">
      <c r="A2200" t="s">
        <v>10561</v>
      </c>
      <c r="B2200" t="s">
        <v>1</v>
      </c>
      <c r="C2200" t="s">
        <v>10562</v>
      </c>
      <c r="D2200" t="s">
        <v>10563</v>
      </c>
      <c r="E2200" t="s">
        <v>10564</v>
      </c>
      <c r="F2200" t="s">
        <v>5</v>
      </c>
      <c r="G2200" t="s">
        <v>6</v>
      </c>
      <c r="L2200" t="s">
        <v>7</v>
      </c>
      <c r="M2200">
        <v>2021</v>
      </c>
      <c r="N2200" s="1">
        <v>44634</v>
      </c>
      <c r="O2200" t="s">
        <v>10565</v>
      </c>
      <c r="P2200">
        <v>1</v>
      </c>
      <c r="S2200">
        <v>243.95</v>
      </c>
      <c r="T2200">
        <v>280</v>
      </c>
      <c r="U2200">
        <v>210</v>
      </c>
      <c r="V2200" t="s">
        <v>98</v>
      </c>
      <c r="W2200" t="s">
        <v>366</v>
      </c>
      <c r="X2200" t="s">
        <v>367</v>
      </c>
      <c r="Y2200" t="s">
        <v>10566</v>
      </c>
      <c r="AF2200" t="s">
        <v>13</v>
      </c>
      <c r="AG2200" t="str">
        <f>HYPERLINK("https://doi.org/10.1515/9781474467216")</f>
        <v>https://doi.org/10.1515/9781474467216</v>
      </c>
      <c r="AH2200" t="str">
        <f>HYPERLINK("http://www.degruyter.com/isbn/9781474467216")</f>
        <v>http://www.degruyter.com/isbn/9781474467216</v>
      </c>
      <c r="AI2200" t="s">
        <v>565</v>
      </c>
      <c r="AL2200" t="s">
        <v>102</v>
      </c>
      <c r="AM2200">
        <v>1</v>
      </c>
      <c r="AN2200" s="2">
        <v>9781474467193</v>
      </c>
    </row>
    <row r="2201" spans="1:40" x14ac:dyDescent="0.3">
      <c r="A2201" t="s">
        <v>10567</v>
      </c>
      <c r="B2201" t="s">
        <v>1</v>
      </c>
      <c r="C2201" t="s">
        <v>10568</v>
      </c>
      <c r="E2201" t="s">
        <v>10569</v>
      </c>
      <c r="F2201" t="s">
        <v>5</v>
      </c>
      <c r="G2201" t="s">
        <v>6</v>
      </c>
      <c r="L2201" t="s">
        <v>7</v>
      </c>
      <c r="M2201">
        <v>2009</v>
      </c>
      <c r="N2201" s="1">
        <v>39994</v>
      </c>
      <c r="O2201" t="s">
        <v>10570</v>
      </c>
      <c r="P2201">
        <v>1</v>
      </c>
      <c r="Q2201" t="s">
        <v>7481</v>
      </c>
      <c r="S2201">
        <v>287.95</v>
      </c>
      <c r="T2201">
        <v>330</v>
      </c>
      <c r="U2201">
        <v>250</v>
      </c>
      <c r="V2201" t="s">
        <v>58</v>
      </c>
      <c r="W2201" t="s">
        <v>129</v>
      </c>
      <c r="X2201" t="s">
        <v>130</v>
      </c>
      <c r="Y2201" t="s">
        <v>10571</v>
      </c>
      <c r="AF2201" t="s">
        <v>13</v>
      </c>
      <c r="AG2201" t="str">
        <f>HYPERLINK("https://doi.org/10.1515/9780748636303")</f>
        <v>https://doi.org/10.1515/9780748636303</v>
      </c>
      <c r="AH2201" t="str">
        <f>HYPERLINK("http://www.degruyter.com/isbn/9780748636303")</f>
        <v>http://www.degruyter.com/isbn/9780748636303</v>
      </c>
      <c r="AI2201" t="s">
        <v>68</v>
      </c>
      <c r="AL2201" t="s">
        <v>62</v>
      </c>
      <c r="AM2201">
        <v>1</v>
      </c>
      <c r="AN2201" s="2">
        <v>9780748636280</v>
      </c>
    </row>
    <row r="2202" spans="1:40" x14ac:dyDescent="0.3">
      <c r="A2202" t="s">
        <v>10572</v>
      </c>
      <c r="B2202" t="s">
        <v>1</v>
      </c>
      <c r="C2202" t="s">
        <v>10573</v>
      </c>
      <c r="E2202" t="s">
        <v>10574</v>
      </c>
      <c r="F2202" t="s">
        <v>5</v>
      </c>
      <c r="G2202" t="s">
        <v>6</v>
      </c>
      <c r="L2202" t="s">
        <v>7</v>
      </c>
      <c r="M2202">
        <v>2019</v>
      </c>
      <c r="N2202" s="1">
        <v>44656</v>
      </c>
      <c r="O2202" t="s">
        <v>10575</v>
      </c>
      <c r="P2202">
        <v>1</v>
      </c>
      <c r="Q2202" t="s">
        <v>6665</v>
      </c>
      <c r="S2202">
        <v>227.95</v>
      </c>
      <c r="T2202">
        <v>260</v>
      </c>
      <c r="U2202">
        <v>200</v>
      </c>
      <c r="V2202" t="s">
        <v>20</v>
      </c>
      <c r="W2202" t="s">
        <v>21</v>
      </c>
      <c r="X2202" t="s">
        <v>10576</v>
      </c>
      <c r="Y2202" t="s">
        <v>10577</v>
      </c>
      <c r="AF2202" t="s">
        <v>13</v>
      </c>
      <c r="AG2202" t="str">
        <f>HYPERLINK("https://doi.org/10.1515/9781474438070?locatt=mode:legacy")</f>
        <v>https://doi.org/10.1515/9781474438070?locatt=mode:legacy</v>
      </c>
      <c r="AH2202" t="str">
        <f>HYPERLINK("http://www.degruyter.com/isbn/9781474438070")</f>
        <v>http://www.degruyter.com/isbn/9781474438070</v>
      </c>
      <c r="AI2202" t="s">
        <v>280</v>
      </c>
      <c r="AL2202" t="s">
        <v>15</v>
      </c>
      <c r="AM2202">
        <v>1</v>
      </c>
      <c r="AN2202" s="2">
        <v>9781474438056</v>
      </c>
    </row>
    <row r="2203" spans="1:40" x14ac:dyDescent="0.3">
      <c r="A2203" t="s">
        <v>10578</v>
      </c>
      <c r="B2203" t="s">
        <v>1</v>
      </c>
      <c r="C2203" t="s">
        <v>10579</v>
      </c>
      <c r="D2203" t="s">
        <v>10580</v>
      </c>
      <c r="E2203" t="s">
        <v>10581</v>
      </c>
      <c r="F2203" t="s">
        <v>5</v>
      </c>
      <c r="G2203" t="s">
        <v>6</v>
      </c>
      <c r="L2203" t="s">
        <v>7</v>
      </c>
      <c r="M2203">
        <v>2013</v>
      </c>
      <c r="N2203" s="1">
        <v>41596</v>
      </c>
      <c r="O2203" t="s">
        <v>10582</v>
      </c>
      <c r="P2203">
        <v>1</v>
      </c>
      <c r="Q2203" t="s">
        <v>7194</v>
      </c>
      <c r="S2203">
        <v>227.95</v>
      </c>
      <c r="T2203">
        <v>260</v>
      </c>
      <c r="U2203">
        <v>200</v>
      </c>
      <c r="V2203" t="s">
        <v>79</v>
      </c>
      <c r="W2203" t="s">
        <v>80</v>
      </c>
      <c r="X2203" t="s">
        <v>80</v>
      </c>
      <c r="Y2203" t="s">
        <v>81</v>
      </c>
      <c r="AF2203" t="s">
        <v>13</v>
      </c>
      <c r="AG2203" t="str">
        <f>HYPERLINK("https://doi.org/10.1515/9780748686230?locatt=mode:legacy")</f>
        <v>https://doi.org/10.1515/9780748686230?locatt=mode:legacy</v>
      </c>
      <c r="AH2203" t="str">
        <f>HYPERLINK("http://www.degruyter.com/isbn/9780748686230")</f>
        <v>http://www.degruyter.com/isbn/9780748686230</v>
      </c>
      <c r="AI2203" t="s">
        <v>68</v>
      </c>
      <c r="AL2203" t="s">
        <v>83</v>
      </c>
      <c r="AM2203">
        <v>1</v>
      </c>
      <c r="AN2203" s="2">
        <v>9780748686223</v>
      </c>
    </row>
    <row r="2204" spans="1:40" x14ac:dyDescent="0.3">
      <c r="A2204" t="s">
        <v>10583</v>
      </c>
      <c r="B2204" t="s">
        <v>1</v>
      </c>
      <c r="C2204" t="s">
        <v>10584</v>
      </c>
      <c r="D2204" t="s">
        <v>10585</v>
      </c>
      <c r="E2204" t="s">
        <v>10586</v>
      </c>
      <c r="F2204" t="s">
        <v>5</v>
      </c>
      <c r="G2204" t="s">
        <v>6</v>
      </c>
      <c r="L2204" t="s">
        <v>7</v>
      </c>
      <c r="M2204">
        <v>2017</v>
      </c>
      <c r="N2204" s="1">
        <v>43016</v>
      </c>
      <c r="O2204" t="s">
        <v>10587</v>
      </c>
      <c r="P2204">
        <v>1</v>
      </c>
      <c r="Q2204" t="s">
        <v>6729</v>
      </c>
      <c r="S2204">
        <v>217.95</v>
      </c>
      <c r="T2204">
        <v>250</v>
      </c>
      <c r="U2204">
        <v>190</v>
      </c>
      <c r="V2204" t="s">
        <v>79</v>
      </c>
      <c r="W2204" t="s">
        <v>734</v>
      </c>
      <c r="X2204" t="s">
        <v>734</v>
      </c>
      <c r="Y2204" t="s">
        <v>735</v>
      </c>
      <c r="AF2204" t="s">
        <v>13</v>
      </c>
      <c r="AG2204" t="str">
        <f>HYPERLINK("https://doi.org/10.1515/9781474428217")</f>
        <v>https://doi.org/10.1515/9781474428217</v>
      </c>
      <c r="AH2204" t="str">
        <f>HYPERLINK("http://www.degruyter.com/isbn/9781474428217")</f>
        <v>http://www.degruyter.com/isbn/9781474428217</v>
      </c>
      <c r="AI2204" t="s">
        <v>222</v>
      </c>
      <c r="AL2204" t="s">
        <v>83</v>
      </c>
      <c r="AM2204">
        <v>1</v>
      </c>
      <c r="AN2204" s="2">
        <v>9781474428194</v>
      </c>
    </row>
    <row r="2205" spans="1:40" x14ac:dyDescent="0.3">
      <c r="A2205" t="s">
        <v>10588</v>
      </c>
      <c r="B2205" t="s">
        <v>1</v>
      </c>
      <c r="C2205" t="s">
        <v>10589</v>
      </c>
      <c r="D2205" t="s">
        <v>10590</v>
      </c>
      <c r="E2205" t="s">
        <v>10591</v>
      </c>
      <c r="F2205" t="s">
        <v>5</v>
      </c>
      <c r="G2205" t="s">
        <v>6</v>
      </c>
      <c r="L2205" t="s">
        <v>7</v>
      </c>
      <c r="M2205">
        <v>2018</v>
      </c>
      <c r="N2205" s="1">
        <v>44656</v>
      </c>
      <c r="O2205" t="s">
        <v>10592</v>
      </c>
      <c r="P2205">
        <v>1</v>
      </c>
      <c r="Q2205" t="s">
        <v>7810</v>
      </c>
      <c r="S2205">
        <v>253.95</v>
      </c>
      <c r="T2205">
        <v>290</v>
      </c>
      <c r="U2205">
        <v>220</v>
      </c>
      <c r="V2205" t="s">
        <v>20</v>
      </c>
      <c r="W2205" t="s">
        <v>556</v>
      </c>
      <c r="X2205" t="s">
        <v>10593</v>
      </c>
      <c r="Y2205" t="s">
        <v>10594</v>
      </c>
      <c r="AF2205" t="s">
        <v>13</v>
      </c>
      <c r="AG2205" t="str">
        <f>HYPERLINK("https://doi.org/10.1515/9781474413282")</f>
        <v>https://doi.org/10.1515/9781474413282</v>
      </c>
      <c r="AH2205" t="str">
        <f>HYPERLINK("http://www.degruyter.com/isbn/9781474413282")</f>
        <v>http://www.degruyter.com/isbn/9781474413282</v>
      </c>
      <c r="AI2205" t="s">
        <v>46</v>
      </c>
      <c r="AL2205" t="s">
        <v>15</v>
      </c>
      <c r="AM2205">
        <v>1</v>
      </c>
      <c r="AN2205" s="2">
        <v>9781474413275</v>
      </c>
    </row>
    <row r="2206" spans="1:40" x14ac:dyDescent="0.3">
      <c r="A2206" t="s">
        <v>10595</v>
      </c>
      <c r="B2206" t="s">
        <v>1</v>
      </c>
      <c r="C2206" t="s">
        <v>10596</v>
      </c>
      <c r="E2206" t="s">
        <v>10597</v>
      </c>
      <c r="F2206" t="s">
        <v>5</v>
      </c>
      <c r="G2206" t="s">
        <v>6</v>
      </c>
      <c r="L2206" t="s">
        <v>7</v>
      </c>
      <c r="M2206">
        <v>2019</v>
      </c>
      <c r="N2206" s="1">
        <v>44656</v>
      </c>
      <c r="O2206" t="s">
        <v>10598</v>
      </c>
      <c r="P2206">
        <v>1</v>
      </c>
      <c r="S2206">
        <v>217.95</v>
      </c>
      <c r="T2206">
        <v>250</v>
      </c>
      <c r="U2206">
        <v>190</v>
      </c>
      <c r="V2206" t="s">
        <v>58</v>
      </c>
      <c r="W2206" t="s">
        <v>59</v>
      </c>
      <c r="X2206" t="s">
        <v>60</v>
      </c>
      <c r="Y2206" t="s">
        <v>2620</v>
      </c>
      <c r="AF2206" t="s">
        <v>13</v>
      </c>
      <c r="AG2206" t="str">
        <f>HYPERLINK("https://doi.org/10.1515/9781474437592")</f>
        <v>https://doi.org/10.1515/9781474437592</v>
      </c>
      <c r="AH2206" t="str">
        <f>HYPERLINK("http://www.degruyter.com/isbn/9781474437592")</f>
        <v>http://www.degruyter.com/isbn/9781474437592</v>
      </c>
      <c r="AI2206" t="s">
        <v>280</v>
      </c>
      <c r="AL2206" t="s">
        <v>62</v>
      </c>
      <c r="AM2206">
        <v>1</v>
      </c>
      <c r="AN2206" s="2">
        <v>9781474437578</v>
      </c>
    </row>
    <row r="2207" spans="1:40" x14ac:dyDescent="0.3">
      <c r="A2207" t="s">
        <v>10599</v>
      </c>
      <c r="B2207" t="s">
        <v>1</v>
      </c>
      <c r="C2207" t="s">
        <v>10600</v>
      </c>
      <c r="E2207" t="s">
        <v>10601</v>
      </c>
      <c r="F2207" t="s">
        <v>5</v>
      </c>
      <c r="G2207" t="s">
        <v>6</v>
      </c>
      <c r="L2207" t="s">
        <v>7</v>
      </c>
      <c r="M2207">
        <v>2014</v>
      </c>
      <c r="N2207" s="1">
        <v>41855</v>
      </c>
      <c r="O2207" t="s">
        <v>10602</v>
      </c>
      <c r="P2207">
        <v>1</v>
      </c>
      <c r="S2207">
        <v>217.95</v>
      </c>
      <c r="T2207">
        <v>250</v>
      </c>
      <c r="U2207">
        <v>190</v>
      </c>
      <c r="V2207" t="s">
        <v>20</v>
      </c>
      <c r="W2207" t="s">
        <v>21</v>
      </c>
      <c r="X2207" t="s">
        <v>22</v>
      </c>
      <c r="Y2207" t="s">
        <v>23</v>
      </c>
      <c r="AF2207" t="s">
        <v>13</v>
      </c>
      <c r="AG2207" t="str">
        <f>HYPERLINK("https://doi.org/10.1515/9780748692583")</f>
        <v>https://doi.org/10.1515/9780748692583</v>
      </c>
      <c r="AH2207" t="str">
        <f>HYPERLINK("http://www.degruyter.com/isbn/9780748692583")</f>
        <v>http://www.degruyter.com/isbn/9780748692583</v>
      </c>
      <c r="AI2207" t="s">
        <v>34</v>
      </c>
      <c r="AL2207" t="s">
        <v>15</v>
      </c>
      <c r="AM2207">
        <v>1</v>
      </c>
      <c r="AN2207" s="2">
        <v>9780748692576</v>
      </c>
    </row>
    <row r="2208" spans="1:40" x14ac:dyDescent="0.3">
      <c r="A2208" t="s">
        <v>10603</v>
      </c>
      <c r="B2208" t="s">
        <v>1</v>
      </c>
      <c r="C2208" t="s">
        <v>10604</v>
      </c>
      <c r="E2208" t="s">
        <v>10605</v>
      </c>
      <c r="F2208" t="s">
        <v>5</v>
      </c>
      <c r="G2208" t="s">
        <v>6</v>
      </c>
      <c r="L2208" t="s">
        <v>7</v>
      </c>
      <c r="M2208">
        <v>2018</v>
      </c>
      <c r="N2208" s="1">
        <v>44644</v>
      </c>
      <c r="O2208" t="s">
        <v>10606</v>
      </c>
      <c r="P2208">
        <v>1</v>
      </c>
      <c r="S2208">
        <v>253.95</v>
      </c>
      <c r="T2208">
        <v>290</v>
      </c>
      <c r="U2208">
        <v>220</v>
      </c>
      <c r="V2208" t="s">
        <v>58</v>
      </c>
      <c r="W2208" t="s">
        <v>59</v>
      </c>
      <c r="X2208" t="s">
        <v>60</v>
      </c>
      <c r="Y2208" t="s">
        <v>145</v>
      </c>
      <c r="AF2208" t="s">
        <v>13</v>
      </c>
      <c r="AG2208" t="str">
        <f>HYPERLINK("https://doi.org/10.1515/9780748699742")</f>
        <v>https://doi.org/10.1515/9780748699742</v>
      </c>
      <c r="AH2208" t="str">
        <f>HYPERLINK("http://www.degruyter.com/isbn/9780748699742")</f>
        <v>http://www.degruyter.com/isbn/9780748699742</v>
      </c>
      <c r="AI2208" t="s">
        <v>46</v>
      </c>
      <c r="AL2208" t="s">
        <v>62</v>
      </c>
      <c r="AM2208">
        <v>1</v>
      </c>
      <c r="AN2208" s="2">
        <v>9780748699735</v>
      </c>
    </row>
    <row r="2209" spans="1:40" x14ac:dyDescent="0.3">
      <c r="A2209" t="s">
        <v>10607</v>
      </c>
      <c r="B2209" t="s">
        <v>1</v>
      </c>
      <c r="C2209" t="s">
        <v>10608</v>
      </c>
      <c r="D2209" t="s">
        <v>10609</v>
      </c>
      <c r="E2209" t="s">
        <v>10610</v>
      </c>
      <c r="F2209" t="s">
        <v>5</v>
      </c>
      <c r="G2209" t="s">
        <v>6</v>
      </c>
      <c r="L2209" t="s">
        <v>7</v>
      </c>
      <c r="M2209">
        <v>2019</v>
      </c>
      <c r="N2209" s="1">
        <v>44656</v>
      </c>
      <c r="O2209" t="s">
        <v>10611</v>
      </c>
      <c r="P2209">
        <v>1</v>
      </c>
      <c r="Q2209" t="s">
        <v>7086</v>
      </c>
      <c r="S2209">
        <v>253.95</v>
      </c>
      <c r="T2209">
        <v>290</v>
      </c>
      <c r="U2209">
        <v>220</v>
      </c>
      <c r="V2209" t="s">
        <v>20</v>
      </c>
      <c r="W2209" t="s">
        <v>556</v>
      </c>
      <c r="X2209" t="s">
        <v>902</v>
      </c>
      <c r="Y2209" t="s">
        <v>903</v>
      </c>
      <c r="AF2209" t="s">
        <v>13</v>
      </c>
      <c r="AG2209" t="str">
        <f>HYPERLINK("https://doi.org/10.1515/9781474454018")</f>
        <v>https://doi.org/10.1515/9781474454018</v>
      </c>
      <c r="AH2209" t="str">
        <f>HYPERLINK("http://www.degruyter.com/isbn/9781474454018")</f>
        <v>http://www.degruyter.com/isbn/9781474454018</v>
      </c>
      <c r="AI2209" t="s">
        <v>280</v>
      </c>
      <c r="AL2209" t="s">
        <v>15</v>
      </c>
      <c r="AM2209">
        <v>1</v>
      </c>
      <c r="AN2209" s="2">
        <v>9781474453998</v>
      </c>
    </row>
    <row r="2210" spans="1:40" x14ac:dyDescent="0.3">
      <c r="A2210" t="s">
        <v>10612</v>
      </c>
      <c r="B2210" t="s">
        <v>1</v>
      </c>
      <c r="C2210" t="s">
        <v>10613</v>
      </c>
      <c r="E2210" t="s">
        <v>10614</v>
      </c>
      <c r="F2210" t="s">
        <v>5</v>
      </c>
      <c r="G2210" t="s">
        <v>6</v>
      </c>
      <c r="L2210" t="s">
        <v>7</v>
      </c>
      <c r="M2210">
        <v>2009</v>
      </c>
      <c r="N2210" s="1">
        <v>39997</v>
      </c>
      <c r="O2210" t="s">
        <v>10615</v>
      </c>
      <c r="P2210">
        <v>1</v>
      </c>
      <c r="Q2210" t="s">
        <v>7047</v>
      </c>
      <c r="S2210">
        <v>227.95</v>
      </c>
      <c r="T2210">
        <v>260</v>
      </c>
      <c r="U2210">
        <v>200</v>
      </c>
      <c r="V2210" t="s">
        <v>42</v>
      </c>
      <c r="W2210" t="s">
        <v>107</v>
      </c>
      <c r="X2210" t="s">
        <v>108</v>
      </c>
      <c r="Y2210" t="s">
        <v>109</v>
      </c>
      <c r="AF2210" t="s">
        <v>13</v>
      </c>
      <c r="AG2210" t="str">
        <f>HYPERLINK("https://doi.org/10.1515/9780748636273")</f>
        <v>https://doi.org/10.1515/9780748636273</v>
      </c>
      <c r="AH2210" t="str">
        <f>HYPERLINK("http://www.degruyter.com/isbn/9780748636273")</f>
        <v>http://www.degruyter.com/isbn/9780748636273</v>
      </c>
      <c r="AI2210" t="s">
        <v>68</v>
      </c>
      <c r="AL2210" t="s">
        <v>47</v>
      </c>
      <c r="AM2210">
        <v>1</v>
      </c>
      <c r="AN2210" s="2">
        <v>9780748636259</v>
      </c>
    </row>
    <row r="2211" spans="1:40" x14ac:dyDescent="0.3">
      <c r="A2211" t="s">
        <v>10616</v>
      </c>
      <c r="B2211" t="s">
        <v>1</v>
      </c>
      <c r="C2211" t="s">
        <v>10617</v>
      </c>
      <c r="D2211" t="s">
        <v>10618</v>
      </c>
      <c r="E2211" t="s">
        <v>10619</v>
      </c>
      <c r="F2211" t="s">
        <v>5</v>
      </c>
      <c r="G2211" t="s">
        <v>6</v>
      </c>
      <c r="L2211" t="s">
        <v>7</v>
      </c>
      <c r="M2211">
        <v>2012</v>
      </c>
      <c r="N2211" s="1">
        <v>41044</v>
      </c>
      <c r="O2211" t="s">
        <v>10620</v>
      </c>
      <c r="P2211">
        <v>1</v>
      </c>
      <c r="Q2211" t="s">
        <v>6606</v>
      </c>
      <c r="S2211">
        <v>243.95</v>
      </c>
      <c r="T2211">
        <v>280</v>
      </c>
      <c r="U2211">
        <v>210</v>
      </c>
      <c r="V2211" t="s">
        <v>79</v>
      </c>
      <c r="W2211" t="s">
        <v>209</v>
      </c>
      <c r="X2211" t="s">
        <v>209</v>
      </c>
      <c r="Y2211" t="s">
        <v>510</v>
      </c>
      <c r="AF2211" t="s">
        <v>13</v>
      </c>
      <c r="AG2211" t="str">
        <f>HYPERLINK("https://doi.org/10.1515/9780748650569")</f>
        <v>https://doi.org/10.1515/9780748650569</v>
      </c>
      <c r="AH2211" t="str">
        <f>HYPERLINK("http://www.degruyter.com/isbn/9780748650569")</f>
        <v>http://www.degruyter.com/isbn/9780748650569</v>
      </c>
      <c r="AI2211" t="s">
        <v>68</v>
      </c>
      <c r="AL2211" t="s">
        <v>83</v>
      </c>
      <c r="AM2211">
        <v>1</v>
      </c>
      <c r="AN2211" s="2">
        <v>9780748650552</v>
      </c>
    </row>
    <row r="2212" spans="1:40" x14ac:dyDescent="0.3">
      <c r="A2212" t="s">
        <v>10621</v>
      </c>
      <c r="B2212" t="s">
        <v>1</v>
      </c>
      <c r="C2212" t="s">
        <v>10622</v>
      </c>
      <c r="E2212" t="s">
        <v>10623</v>
      </c>
      <c r="F2212" t="s">
        <v>5</v>
      </c>
      <c r="G2212" t="s">
        <v>6</v>
      </c>
      <c r="L2212" t="s">
        <v>7</v>
      </c>
      <c r="M2212">
        <v>2015</v>
      </c>
      <c r="N2212" s="1">
        <v>42158</v>
      </c>
      <c r="O2212" t="s">
        <v>10624</v>
      </c>
      <c r="P2212">
        <v>1</v>
      </c>
      <c r="Q2212" t="s">
        <v>7095</v>
      </c>
      <c r="S2212">
        <v>243.95</v>
      </c>
      <c r="T2212">
        <v>280</v>
      </c>
      <c r="U2212">
        <v>210</v>
      </c>
      <c r="V2212" t="s">
        <v>79</v>
      </c>
      <c r="W2212" t="s">
        <v>209</v>
      </c>
      <c r="X2212" t="s">
        <v>209</v>
      </c>
      <c r="Y2212" t="s">
        <v>510</v>
      </c>
      <c r="AF2212" t="s">
        <v>13</v>
      </c>
      <c r="AG2212" t="str">
        <f>HYPERLINK("https://doi.org/10.1515/9780748678860")</f>
        <v>https://doi.org/10.1515/9780748678860</v>
      </c>
      <c r="AH2212" t="str">
        <f>HYPERLINK("http://www.degruyter.com/isbn/9780748678860")</f>
        <v>http://www.degruyter.com/isbn/9780748678860</v>
      </c>
      <c r="AI2212" t="s">
        <v>34</v>
      </c>
      <c r="AL2212" t="s">
        <v>83</v>
      </c>
      <c r="AM2212">
        <v>1</v>
      </c>
      <c r="AN2212" s="2">
        <v>9780748678846</v>
      </c>
    </row>
    <row r="2213" spans="1:40" x14ac:dyDescent="0.3">
      <c r="A2213" t="s">
        <v>10625</v>
      </c>
      <c r="B2213" t="s">
        <v>1</v>
      </c>
      <c r="C2213" t="s">
        <v>10626</v>
      </c>
      <c r="E2213" t="s">
        <v>10627</v>
      </c>
      <c r="F2213" t="s">
        <v>5</v>
      </c>
      <c r="G2213" t="s">
        <v>6</v>
      </c>
      <c r="L2213" t="s">
        <v>7</v>
      </c>
      <c r="M2213">
        <v>2013</v>
      </c>
      <c r="N2213" s="1">
        <v>41619</v>
      </c>
      <c r="O2213" t="s">
        <v>10628</v>
      </c>
      <c r="P2213">
        <v>1</v>
      </c>
      <c r="Q2213" t="s">
        <v>8537</v>
      </c>
      <c r="S2213">
        <v>217.95</v>
      </c>
      <c r="T2213">
        <v>250</v>
      </c>
      <c r="U2213">
        <v>190</v>
      </c>
      <c r="V2213" t="s">
        <v>42</v>
      </c>
      <c r="W2213" t="s">
        <v>116</v>
      </c>
      <c r="X2213" t="s">
        <v>116</v>
      </c>
      <c r="Y2213" t="s">
        <v>117</v>
      </c>
      <c r="AF2213" t="s">
        <v>13</v>
      </c>
      <c r="AG2213" t="str">
        <f>HYPERLINK("https://doi.org/10.1515/9780748668403")</f>
        <v>https://doi.org/10.1515/9780748668403</v>
      </c>
      <c r="AH2213" t="str">
        <f>HYPERLINK("http://www.degruyter.com/isbn/9780748668403")</f>
        <v>http://www.degruyter.com/isbn/9780748668403</v>
      </c>
      <c r="AI2213" t="s">
        <v>68</v>
      </c>
      <c r="AL2213" t="s">
        <v>47</v>
      </c>
      <c r="AM2213">
        <v>1</v>
      </c>
      <c r="AN2213" s="2">
        <v>9780748668397</v>
      </c>
    </row>
    <row r="2214" spans="1:40" x14ac:dyDescent="0.3">
      <c r="A2214" t="s">
        <v>10629</v>
      </c>
      <c r="B2214" t="s">
        <v>1</v>
      </c>
      <c r="C2214" t="s">
        <v>10630</v>
      </c>
      <c r="D2214" t="s">
        <v>10631</v>
      </c>
      <c r="E2214" t="s">
        <v>10632</v>
      </c>
      <c r="F2214" t="s">
        <v>5</v>
      </c>
      <c r="G2214" t="s">
        <v>6</v>
      </c>
      <c r="L2214" t="s">
        <v>7</v>
      </c>
      <c r="M2214">
        <v>2013</v>
      </c>
      <c r="N2214" s="1">
        <v>41436</v>
      </c>
      <c r="O2214" t="s">
        <v>10633</v>
      </c>
      <c r="P2214">
        <v>1</v>
      </c>
      <c r="Q2214" t="s">
        <v>7052</v>
      </c>
      <c r="S2214">
        <v>217.95</v>
      </c>
      <c r="T2214">
        <v>250</v>
      </c>
      <c r="U2214">
        <v>190</v>
      </c>
      <c r="V2214" t="s">
        <v>42</v>
      </c>
      <c r="W2214" t="s">
        <v>116</v>
      </c>
      <c r="X2214" t="s">
        <v>116</v>
      </c>
      <c r="Y2214" t="s">
        <v>117</v>
      </c>
      <c r="AF2214" t="s">
        <v>13</v>
      </c>
      <c r="AG2214" t="str">
        <f>HYPERLINK("https://doi.org/10.1515/9780748681372?locatt=mode:legacy")</f>
        <v>https://doi.org/10.1515/9780748681372?locatt=mode:legacy</v>
      </c>
      <c r="AH2214" t="str">
        <f>HYPERLINK("http://www.degruyter.com/isbn/9780748681372")</f>
        <v>http://www.degruyter.com/isbn/9780748681372</v>
      </c>
      <c r="AI2214" t="s">
        <v>68</v>
      </c>
      <c r="AL2214" t="s">
        <v>47</v>
      </c>
      <c r="AM2214">
        <v>1</v>
      </c>
      <c r="AN2214" s="2">
        <v>9780748681365</v>
      </c>
    </row>
    <row r="2215" spans="1:40" x14ac:dyDescent="0.3">
      <c r="A2215" t="s">
        <v>10634</v>
      </c>
      <c r="B2215" t="s">
        <v>1</v>
      </c>
      <c r="C2215" t="s">
        <v>10635</v>
      </c>
      <c r="E2215" t="s">
        <v>10636</v>
      </c>
      <c r="F2215" t="s">
        <v>5</v>
      </c>
      <c r="G2215" t="s">
        <v>6</v>
      </c>
      <c r="L2215" t="s">
        <v>7</v>
      </c>
      <c r="M2215">
        <v>2005</v>
      </c>
      <c r="N2215" s="1">
        <v>38559</v>
      </c>
      <c r="O2215" t="s">
        <v>10637</v>
      </c>
      <c r="P2215">
        <v>1</v>
      </c>
      <c r="Q2215" t="s">
        <v>6723</v>
      </c>
      <c r="S2215">
        <v>253.95</v>
      </c>
      <c r="T2215">
        <v>290</v>
      </c>
      <c r="U2215">
        <v>220</v>
      </c>
      <c r="V2215" t="s">
        <v>79</v>
      </c>
      <c r="W2215" t="s">
        <v>762</v>
      </c>
      <c r="X2215" t="s">
        <v>762</v>
      </c>
      <c r="Y2215" t="s">
        <v>763</v>
      </c>
      <c r="AF2215" t="s">
        <v>13</v>
      </c>
      <c r="AG2215" t="str">
        <f>HYPERLINK("https://doi.org/10.1515/9780748680825")</f>
        <v>https://doi.org/10.1515/9780748680825</v>
      </c>
      <c r="AH2215" t="str">
        <f>HYPERLINK("http://www.degruyter.com/isbn/9780748680825")</f>
        <v>http://www.degruyter.com/isbn/9780748680825</v>
      </c>
      <c r="AI2215" t="s">
        <v>68</v>
      </c>
      <c r="AL2215" t="s">
        <v>83</v>
      </c>
      <c r="AM2215">
        <v>1</v>
      </c>
      <c r="AN2215" s="2">
        <v>9780748622139</v>
      </c>
    </row>
    <row r="2216" spans="1:40" x14ac:dyDescent="0.3">
      <c r="A2216" t="s">
        <v>10638</v>
      </c>
      <c r="B2216" t="s">
        <v>1</v>
      </c>
      <c r="C2216" t="s">
        <v>10639</v>
      </c>
      <c r="D2216" t="s">
        <v>10640</v>
      </c>
      <c r="E2216" t="s">
        <v>10641</v>
      </c>
      <c r="F2216" t="s">
        <v>5</v>
      </c>
      <c r="G2216" t="s">
        <v>6</v>
      </c>
      <c r="L2216" t="s">
        <v>7</v>
      </c>
      <c r="M2216">
        <v>2008</v>
      </c>
      <c r="N2216" s="1">
        <v>39800</v>
      </c>
      <c r="O2216" t="s">
        <v>10642</v>
      </c>
      <c r="P2216">
        <v>1</v>
      </c>
      <c r="Q2216" t="s">
        <v>6929</v>
      </c>
      <c r="S2216">
        <v>243.95</v>
      </c>
      <c r="T2216">
        <v>280</v>
      </c>
      <c r="U2216">
        <v>210</v>
      </c>
      <c r="V2216" t="s">
        <v>89</v>
      </c>
      <c r="W2216" t="s">
        <v>90</v>
      </c>
      <c r="X2216" t="s">
        <v>91</v>
      </c>
      <c r="Y2216" t="s">
        <v>717</v>
      </c>
      <c r="AF2216" t="s">
        <v>13</v>
      </c>
      <c r="AG2216" t="str">
        <f>HYPERLINK("https://doi.org/10.1515/9780748636662")</f>
        <v>https://doi.org/10.1515/9780748636662</v>
      </c>
      <c r="AH2216" t="str">
        <f>HYPERLINK("http://www.degruyter.com/isbn/9780748636662")</f>
        <v>http://www.degruyter.com/isbn/9780748636662</v>
      </c>
      <c r="AI2216" t="s">
        <v>68</v>
      </c>
      <c r="AL2216" t="s">
        <v>83</v>
      </c>
      <c r="AM2216">
        <v>1</v>
      </c>
      <c r="AN2216" s="2">
        <v>9780748635153</v>
      </c>
    </row>
    <row r="2217" spans="1:40" x14ac:dyDescent="0.3">
      <c r="A2217" t="s">
        <v>10643</v>
      </c>
      <c r="B2217" t="s">
        <v>1</v>
      </c>
      <c r="C2217" t="s">
        <v>10644</v>
      </c>
      <c r="E2217" t="s">
        <v>10645</v>
      </c>
      <c r="F2217" t="s">
        <v>5</v>
      </c>
      <c r="G2217" t="s">
        <v>6</v>
      </c>
      <c r="L2217" t="s">
        <v>7</v>
      </c>
      <c r="M2217">
        <v>2013</v>
      </c>
      <c r="N2217" s="1">
        <v>41375</v>
      </c>
      <c r="O2217" t="s">
        <v>10646</v>
      </c>
      <c r="P2217">
        <v>1</v>
      </c>
      <c r="Q2217" t="s">
        <v>6418</v>
      </c>
      <c r="S2217">
        <v>253.95</v>
      </c>
      <c r="T2217">
        <v>290</v>
      </c>
      <c r="U2217">
        <v>220</v>
      </c>
      <c r="V2217" t="s">
        <v>58</v>
      </c>
      <c r="W2217" t="s">
        <v>1135</v>
      </c>
      <c r="X2217" t="s">
        <v>1136</v>
      </c>
      <c r="Y2217" t="s">
        <v>1137</v>
      </c>
      <c r="AF2217" t="s">
        <v>13</v>
      </c>
      <c r="AG2217" t="str">
        <f>HYPERLINK("https://doi.org/10.1515/9780748669455")</f>
        <v>https://doi.org/10.1515/9780748669455</v>
      </c>
      <c r="AH2217" t="str">
        <f>HYPERLINK("http://www.degruyter.com/isbn/9780748669455")</f>
        <v>http://www.degruyter.com/isbn/9780748669455</v>
      </c>
      <c r="AI2217" t="s">
        <v>68</v>
      </c>
      <c r="AL2217" t="s">
        <v>62</v>
      </c>
      <c r="AM2217">
        <v>1</v>
      </c>
      <c r="AN2217" s="2">
        <v>9780748643035</v>
      </c>
    </row>
    <row r="2218" spans="1:40" x14ac:dyDescent="0.3">
      <c r="A2218" t="s">
        <v>10647</v>
      </c>
      <c r="B2218" t="s">
        <v>1</v>
      </c>
      <c r="C2218" t="s">
        <v>10648</v>
      </c>
      <c r="E2218" t="s">
        <v>10649</v>
      </c>
      <c r="F2218" t="s">
        <v>5</v>
      </c>
      <c r="G2218" t="s">
        <v>6</v>
      </c>
      <c r="L2218" t="s">
        <v>7</v>
      </c>
      <c r="M2218">
        <v>2021</v>
      </c>
      <c r="N2218" s="1">
        <v>44644</v>
      </c>
      <c r="O2218" t="s">
        <v>10650</v>
      </c>
      <c r="P2218">
        <v>1</v>
      </c>
      <c r="Q2218" t="s">
        <v>6606</v>
      </c>
      <c r="S2218">
        <v>217.95</v>
      </c>
      <c r="T2218">
        <v>250</v>
      </c>
      <c r="U2218">
        <v>190</v>
      </c>
      <c r="V2218" t="s">
        <v>79</v>
      </c>
      <c r="W2218" t="s">
        <v>734</v>
      </c>
      <c r="X2218" t="s">
        <v>734</v>
      </c>
      <c r="Y2218" t="s">
        <v>735</v>
      </c>
      <c r="AF2218" t="s">
        <v>13</v>
      </c>
      <c r="AG2218" t="str">
        <f>HYPERLINK("https://doi.org/10.1515/9781474485579")</f>
        <v>https://doi.org/10.1515/9781474485579</v>
      </c>
      <c r="AH2218" t="str">
        <f>HYPERLINK("http://www.degruyter.com/isbn/9781474485579")</f>
        <v>http://www.degruyter.com/isbn/9781474485579</v>
      </c>
      <c r="AI2218" t="s">
        <v>82</v>
      </c>
      <c r="AL2218" t="s">
        <v>83</v>
      </c>
      <c r="AM2218">
        <v>1</v>
      </c>
      <c r="AN2218" s="2">
        <v>9781474485548</v>
      </c>
    </row>
    <row r="2219" spans="1:40" x14ac:dyDescent="0.3">
      <c r="A2219" t="s">
        <v>10651</v>
      </c>
      <c r="B2219" t="s">
        <v>1</v>
      </c>
      <c r="C2219" t="s">
        <v>10652</v>
      </c>
      <c r="E2219" t="s">
        <v>10653</v>
      </c>
      <c r="F2219" t="s">
        <v>5</v>
      </c>
      <c r="G2219" t="s">
        <v>6</v>
      </c>
      <c r="L2219" t="s">
        <v>7</v>
      </c>
      <c r="M2219">
        <v>2005</v>
      </c>
      <c r="N2219" s="1">
        <v>44622</v>
      </c>
      <c r="O2219" t="s">
        <v>10654</v>
      </c>
      <c r="P2219">
        <v>1</v>
      </c>
      <c r="Q2219" t="s">
        <v>8317</v>
      </c>
      <c r="S2219">
        <v>217.95</v>
      </c>
      <c r="T2219">
        <v>250</v>
      </c>
      <c r="U2219">
        <v>190</v>
      </c>
      <c r="V2219" t="s">
        <v>268</v>
      </c>
      <c r="W2219" t="s">
        <v>269</v>
      </c>
      <c r="X2219" t="s">
        <v>269</v>
      </c>
      <c r="Y2219" t="s">
        <v>3826</v>
      </c>
      <c r="AF2219" t="s">
        <v>13</v>
      </c>
      <c r="AG2219" t="str">
        <f>HYPERLINK("https://doi.org/10.1515/9781474469036?locatt=mode:legacy")</f>
        <v>https://doi.org/10.1515/9781474469036?locatt=mode:legacy</v>
      </c>
      <c r="AH2219" t="str">
        <f>HYPERLINK("http://www.degruyter.com/isbn/9781474469036")</f>
        <v>http://www.degruyter.com/isbn/9781474469036</v>
      </c>
      <c r="AI2219" t="s">
        <v>412</v>
      </c>
      <c r="AL2219" t="s">
        <v>272</v>
      </c>
      <c r="AM2219">
        <v>1</v>
      </c>
      <c r="AN2219" s="2">
        <v>9780748618804</v>
      </c>
    </row>
    <row r="2220" spans="1:40" x14ac:dyDescent="0.3">
      <c r="A2220" t="s">
        <v>10655</v>
      </c>
      <c r="B2220" t="s">
        <v>1</v>
      </c>
      <c r="C2220" t="s">
        <v>10656</v>
      </c>
      <c r="D2220" t="s">
        <v>10657</v>
      </c>
      <c r="E2220" t="s">
        <v>10658</v>
      </c>
      <c r="F2220" t="s">
        <v>5</v>
      </c>
      <c r="G2220" t="s">
        <v>6</v>
      </c>
      <c r="L2220" t="s">
        <v>7</v>
      </c>
      <c r="M2220">
        <v>2013</v>
      </c>
      <c r="N2220" s="1">
        <v>41591</v>
      </c>
      <c r="O2220" t="s">
        <v>10659</v>
      </c>
      <c r="P2220">
        <v>1</v>
      </c>
      <c r="Q2220" t="s">
        <v>8962</v>
      </c>
      <c r="S2220">
        <v>253.95</v>
      </c>
      <c r="T2220">
        <v>290</v>
      </c>
      <c r="U2220">
        <v>220</v>
      </c>
      <c r="V2220" t="s">
        <v>42</v>
      </c>
      <c r="W2220" t="s">
        <v>161</v>
      </c>
      <c r="X2220" t="s">
        <v>162</v>
      </c>
      <c r="Y2220" t="s">
        <v>393</v>
      </c>
      <c r="AF2220" t="s">
        <v>13</v>
      </c>
      <c r="AG2220" t="str">
        <f>HYPERLINK("https://doi.org/10.1515/9780748683338")</f>
        <v>https://doi.org/10.1515/9780748683338</v>
      </c>
      <c r="AH2220" t="str">
        <f>HYPERLINK("http://www.degruyter.com/isbn/9780748683338")</f>
        <v>http://www.degruyter.com/isbn/9780748683338</v>
      </c>
      <c r="AI2220" t="s">
        <v>3007</v>
      </c>
      <c r="AL2220" t="s">
        <v>47</v>
      </c>
      <c r="AM2220">
        <v>1</v>
      </c>
      <c r="AN2220" s="2">
        <v>9780748683321</v>
      </c>
    </row>
    <row r="2221" spans="1:40" x14ac:dyDescent="0.3">
      <c r="A2221" t="s">
        <v>10660</v>
      </c>
      <c r="B2221" t="s">
        <v>1</v>
      </c>
      <c r="C2221" t="s">
        <v>10661</v>
      </c>
      <c r="D2221" t="s">
        <v>10662</v>
      </c>
      <c r="E2221" t="s">
        <v>10663</v>
      </c>
      <c r="F2221" t="s">
        <v>5</v>
      </c>
      <c r="G2221" t="s">
        <v>6</v>
      </c>
      <c r="L2221" t="s">
        <v>7</v>
      </c>
      <c r="M2221">
        <v>2014</v>
      </c>
      <c r="N2221" s="1">
        <v>41687</v>
      </c>
      <c r="O2221" t="s">
        <v>10664</v>
      </c>
      <c r="P2221">
        <v>1</v>
      </c>
      <c r="Q2221" t="s">
        <v>9122</v>
      </c>
      <c r="S2221">
        <v>261.95</v>
      </c>
      <c r="T2221">
        <v>300</v>
      </c>
      <c r="U2221">
        <v>230</v>
      </c>
      <c r="V2221" t="s">
        <v>847</v>
      </c>
      <c r="W2221" t="s">
        <v>848</v>
      </c>
      <c r="X2221" t="s">
        <v>1771</v>
      </c>
      <c r="Y2221" t="s">
        <v>1772</v>
      </c>
      <c r="AF2221" t="s">
        <v>13</v>
      </c>
      <c r="AG2221" t="str">
        <f>HYPERLINK("https://doi.org/10.1515/9781474471169")</f>
        <v>https://doi.org/10.1515/9781474471169</v>
      </c>
      <c r="AH2221" t="str">
        <f>HYPERLINK("http://www.degruyter.com/isbn/9781474471169")</f>
        <v>http://www.degruyter.com/isbn/9781474471169</v>
      </c>
      <c r="AI2221" t="s">
        <v>10665</v>
      </c>
      <c r="AL2221" t="s">
        <v>1070</v>
      </c>
      <c r="AM2221">
        <v>1</v>
      </c>
      <c r="AN2221" s="2">
        <v>9780748645794</v>
      </c>
    </row>
    <row r="2222" spans="1:40" x14ac:dyDescent="0.3">
      <c r="A2222" t="s">
        <v>10666</v>
      </c>
      <c r="B2222" t="s">
        <v>1</v>
      </c>
      <c r="C2222" t="s">
        <v>10667</v>
      </c>
      <c r="D2222" t="s">
        <v>10668</v>
      </c>
      <c r="E2222" t="s">
        <v>10669</v>
      </c>
      <c r="F2222" t="s">
        <v>5</v>
      </c>
      <c r="G2222" t="s">
        <v>6</v>
      </c>
      <c r="L2222" t="s">
        <v>7</v>
      </c>
      <c r="M2222">
        <v>2017</v>
      </c>
      <c r="N2222" s="1">
        <v>42981</v>
      </c>
      <c r="O2222" t="s">
        <v>10670</v>
      </c>
      <c r="P2222">
        <v>1</v>
      </c>
      <c r="Q2222" t="s">
        <v>8702</v>
      </c>
      <c r="S2222">
        <v>253.95</v>
      </c>
      <c r="T2222">
        <v>290</v>
      </c>
      <c r="U2222">
        <v>220</v>
      </c>
      <c r="V2222" t="s">
        <v>79</v>
      </c>
      <c r="W2222" t="s">
        <v>734</v>
      </c>
      <c r="X2222" t="s">
        <v>734</v>
      </c>
      <c r="Y2222" t="s">
        <v>735</v>
      </c>
      <c r="AF2222" t="s">
        <v>13</v>
      </c>
      <c r="AG2222" t="str">
        <f>HYPERLINK("https://doi.org/10.1515/9781474423069")</f>
        <v>https://doi.org/10.1515/9781474423069</v>
      </c>
      <c r="AH2222" t="str">
        <f>HYPERLINK("http://www.degruyter.com/isbn/9781474423069")</f>
        <v>http://www.degruyter.com/isbn/9781474423069</v>
      </c>
      <c r="AI2222" t="s">
        <v>222</v>
      </c>
      <c r="AL2222" t="s">
        <v>83</v>
      </c>
      <c r="AM2222">
        <v>1</v>
      </c>
      <c r="AN2222" s="2">
        <v>9781474423045</v>
      </c>
    </row>
    <row r="2223" spans="1:40" x14ac:dyDescent="0.3">
      <c r="A2223" t="s">
        <v>10671</v>
      </c>
      <c r="B2223" t="s">
        <v>1</v>
      </c>
      <c r="C2223" t="s">
        <v>10672</v>
      </c>
      <c r="E2223" t="s">
        <v>10673</v>
      </c>
      <c r="F2223" t="s">
        <v>5</v>
      </c>
      <c r="G2223" t="s">
        <v>6</v>
      </c>
      <c r="L2223" t="s">
        <v>7</v>
      </c>
      <c r="M2223">
        <v>2015</v>
      </c>
      <c r="N2223" s="1">
        <v>42285</v>
      </c>
      <c r="O2223" t="s">
        <v>10674</v>
      </c>
      <c r="P2223">
        <v>1</v>
      </c>
      <c r="Q2223" t="s">
        <v>6993</v>
      </c>
      <c r="S2223">
        <v>227.95</v>
      </c>
      <c r="T2223">
        <v>260</v>
      </c>
      <c r="U2223">
        <v>200</v>
      </c>
      <c r="V2223" t="s">
        <v>98</v>
      </c>
      <c r="W2223" t="s">
        <v>99</v>
      </c>
      <c r="X2223" t="s">
        <v>386</v>
      </c>
      <c r="Y2223" t="s">
        <v>387</v>
      </c>
      <c r="AF2223" t="s">
        <v>13</v>
      </c>
      <c r="AG2223" t="str">
        <f>HYPERLINK("https://doi.org/10.1515/9780748645541")</f>
        <v>https://doi.org/10.1515/9780748645541</v>
      </c>
      <c r="AH2223" t="str">
        <f>HYPERLINK("http://www.degruyter.com/isbn/9780748645541")</f>
        <v>http://www.degruyter.com/isbn/9780748645541</v>
      </c>
      <c r="AI2223" t="s">
        <v>34</v>
      </c>
      <c r="AL2223" t="s">
        <v>102</v>
      </c>
      <c r="AM2223">
        <v>1</v>
      </c>
      <c r="AN2223" s="2">
        <v>9780748645534</v>
      </c>
    </row>
    <row r="2224" spans="1:40" x14ac:dyDescent="0.3">
      <c r="A2224" t="s">
        <v>10675</v>
      </c>
      <c r="B2224" t="s">
        <v>1</v>
      </c>
      <c r="C2224" t="s">
        <v>6840</v>
      </c>
      <c r="D2224" t="s">
        <v>10676</v>
      </c>
      <c r="E2224" t="s">
        <v>6842</v>
      </c>
      <c r="F2224" t="s">
        <v>5</v>
      </c>
      <c r="G2224" t="s">
        <v>6</v>
      </c>
      <c r="L2224" t="s">
        <v>7</v>
      </c>
      <c r="M2224">
        <v>2020</v>
      </c>
      <c r="N2224" s="1">
        <v>44644</v>
      </c>
      <c r="O2224" t="s">
        <v>6843</v>
      </c>
      <c r="P2224">
        <v>1</v>
      </c>
      <c r="Q2224" t="s">
        <v>6840</v>
      </c>
      <c r="S2224">
        <v>253.95</v>
      </c>
      <c r="T2224">
        <v>290</v>
      </c>
      <c r="U2224">
        <v>220</v>
      </c>
      <c r="V2224" t="s">
        <v>42</v>
      </c>
      <c r="W2224" t="s">
        <v>116</v>
      </c>
      <c r="X2224" t="s">
        <v>116</v>
      </c>
      <c r="Y2224" t="s">
        <v>117</v>
      </c>
      <c r="AF2224" t="s">
        <v>13</v>
      </c>
      <c r="AG2224" t="str">
        <f>HYPERLINK("https://doi.org/10.1515/9781474461924")</f>
        <v>https://doi.org/10.1515/9781474461924</v>
      </c>
      <c r="AH2224" t="str">
        <f>HYPERLINK("http://www.degruyter.com/isbn/9781474461924")</f>
        <v>http://www.degruyter.com/isbn/9781474461924</v>
      </c>
      <c r="AI2224" t="s">
        <v>14</v>
      </c>
      <c r="AL2224" t="s">
        <v>47</v>
      </c>
      <c r="AM2224">
        <v>1</v>
      </c>
      <c r="AN2224" s="2">
        <v>9781474461917</v>
      </c>
    </row>
    <row r="2225" spans="1:40" x14ac:dyDescent="0.3">
      <c r="A2225" t="s">
        <v>10677</v>
      </c>
      <c r="B2225" t="s">
        <v>1</v>
      </c>
      <c r="C2225" t="s">
        <v>10678</v>
      </c>
      <c r="E2225" t="s">
        <v>10679</v>
      </c>
      <c r="F2225" t="s">
        <v>5</v>
      </c>
      <c r="G2225" t="s">
        <v>6</v>
      </c>
      <c r="L2225" t="s">
        <v>7</v>
      </c>
      <c r="M2225">
        <v>1997</v>
      </c>
      <c r="N2225" s="1">
        <v>44693</v>
      </c>
      <c r="O2225" t="s">
        <v>10680</v>
      </c>
      <c r="P2225">
        <v>1</v>
      </c>
      <c r="Q2225" t="s">
        <v>9893</v>
      </c>
      <c r="S2225">
        <v>217.95</v>
      </c>
      <c r="T2225">
        <v>250</v>
      </c>
      <c r="U2225">
        <v>190</v>
      </c>
      <c r="V2225" t="s">
        <v>89</v>
      </c>
      <c r="W2225" t="s">
        <v>90</v>
      </c>
      <c r="X2225" t="s">
        <v>9894</v>
      </c>
      <c r="Y2225" t="s">
        <v>9895</v>
      </c>
      <c r="AF2225" t="s">
        <v>13</v>
      </c>
      <c r="AG2225" t="str">
        <f>HYPERLINK("https://doi.org/10.1515/9780585159089")</f>
        <v>https://doi.org/10.1515/9780585159089</v>
      </c>
      <c r="AH2225" t="str">
        <f>HYPERLINK("http://www.degruyter.com/isbn/9780585159089")</f>
        <v>http://www.degruyter.com/isbn/9780585159089</v>
      </c>
      <c r="AI2225" t="s">
        <v>24</v>
      </c>
      <c r="AL2225" t="s">
        <v>83</v>
      </c>
      <c r="AM2225">
        <v>1</v>
      </c>
      <c r="AN2225" s="2">
        <v>9780748607990</v>
      </c>
    </row>
    <row r="2226" spans="1:40" x14ac:dyDescent="0.3">
      <c r="A2226" t="s">
        <v>10681</v>
      </c>
      <c r="B2226" t="s">
        <v>1</v>
      </c>
      <c r="C2226" t="s">
        <v>10682</v>
      </c>
      <c r="D2226" t="s">
        <v>10683</v>
      </c>
      <c r="E2226" t="s">
        <v>10684</v>
      </c>
      <c r="F2226" t="s">
        <v>5</v>
      </c>
      <c r="G2226" t="s">
        <v>6</v>
      </c>
      <c r="L2226" t="s">
        <v>7</v>
      </c>
      <c r="M2226">
        <v>2013</v>
      </c>
      <c r="N2226" s="1">
        <v>41591</v>
      </c>
      <c r="O2226" t="s">
        <v>10685</v>
      </c>
      <c r="P2226">
        <v>1</v>
      </c>
      <c r="Q2226" t="s">
        <v>10034</v>
      </c>
      <c r="S2226">
        <v>217.95</v>
      </c>
      <c r="T2226">
        <v>250</v>
      </c>
      <c r="U2226">
        <v>190</v>
      </c>
      <c r="V2226" t="s">
        <v>20</v>
      </c>
      <c r="W2226" t="s">
        <v>21</v>
      </c>
      <c r="X2226" t="s">
        <v>22</v>
      </c>
      <c r="Y2226" t="s">
        <v>23</v>
      </c>
      <c r="AF2226" t="s">
        <v>13</v>
      </c>
      <c r="AG2226" t="str">
        <f>HYPERLINK("https://doi.org/10.1515/9780748693979?locatt=mode:legacy")</f>
        <v>https://doi.org/10.1515/9780748693979?locatt=mode:legacy</v>
      </c>
      <c r="AH2226" t="str">
        <f>HYPERLINK("http://www.degruyter.com/isbn/9780748693979")</f>
        <v>http://www.degruyter.com/isbn/9780748693979</v>
      </c>
      <c r="AI2226" t="s">
        <v>68</v>
      </c>
      <c r="AL2226" t="s">
        <v>15</v>
      </c>
      <c r="AM2226">
        <v>1</v>
      </c>
      <c r="AN2226" s="2">
        <v>9780748685226</v>
      </c>
    </row>
    <row r="2227" spans="1:40" x14ac:dyDescent="0.3">
      <c r="A2227" t="s">
        <v>10686</v>
      </c>
      <c r="B2227" t="s">
        <v>1</v>
      </c>
      <c r="C2227" t="s">
        <v>10687</v>
      </c>
      <c r="D2227" t="s">
        <v>10688</v>
      </c>
      <c r="E2227" t="s">
        <v>10689</v>
      </c>
      <c r="F2227" t="s">
        <v>5</v>
      </c>
      <c r="G2227" t="s">
        <v>6</v>
      </c>
      <c r="L2227" t="s">
        <v>7</v>
      </c>
      <c r="M2227">
        <v>2014</v>
      </c>
      <c r="N2227" s="1">
        <v>41954</v>
      </c>
      <c r="O2227" t="s">
        <v>9226</v>
      </c>
      <c r="P2227">
        <v>1</v>
      </c>
      <c r="Q2227" t="s">
        <v>5764</v>
      </c>
      <c r="S2227">
        <v>217.95</v>
      </c>
      <c r="T2227">
        <v>250</v>
      </c>
      <c r="U2227">
        <v>190</v>
      </c>
      <c r="V2227" t="s">
        <v>42</v>
      </c>
      <c r="W2227" t="s">
        <v>43</v>
      </c>
      <c r="X2227" t="s">
        <v>44</v>
      </c>
      <c r="Y2227" t="s">
        <v>45</v>
      </c>
      <c r="AF2227" t="s">
        <v>13</v>
      </c>
      <c r="AG2227" t="str">
        <f>HYPERLINK("https://doi.org/10.1515/9780748693108?locatt=mode:legacy")</f>
        <v>https://doi.org/10.1515/9780748693108?locatt=mode:legacy</v>
      </c>
      <c r="AH2227" t="str">
        <f>HYPERLINK("http://www.degruyter.com/isbn/9780748693108")</f>
        <v>http://www.degruyter.com/isbn/9780748693108</v>
      </c>
      <c r="AI2227" t="s">
        <v>34</v>
      </c>
      <c r="AL2227" t="s">
        <v>47</v>
      </c>
      <c r="AM2227">
        <v>1</v>
      </c>
      <c r="AN2227" s="2">
        <v>9780748693092</v>
      </c>
    </row>
    <row r="2228" spans="1:40" x14ac:dyDescent="0.3">
      <c r="A2228" t="s">
        <v>10690</v>
      </c>
      <c r="B2228" t="s">
        <v>1</v>
      </c>
      <c r="C2228" t="s">
        <v>10691</v>
      </c>
      <c r="D2228" t="s">
        <v>7731</v>
      </c>
      <c r="E2228" t="s">
        <v>10692</v>
      </c>
      <c r="F2228" t="s">
        <v>5</v>
      </c>
      <c r="G2228" t="s">
        <v>6</v>
      </c>
      <c r="L2228" t="s">
        <v>7</v>
      </c>
      <c r="M2228">
        <v>2016</v>
      </c>
      <c r="N2228" s="1">
        <v>42374</v>
      </c>
      <c r="O2228" t="s">
        <v>10693</v>
      </c>
      <c r="P2228">
        <v>1</v>
      </c>
      <c r="Q2228" t="s">
        <v>7733</v>
      </c>
      <c r="S2228">
        <v>253.95</v>
      </c>
      <c r="T2228">
        <v>290</v>
      </c>
      <c r="U2228">
        <v>220</v>
      </c>
      <c r="V2228" t="s">
        <v>79</v>
      </c>
      <c r="W2228" t="s">
        <v>209</v>
      </c>
      <c r="X2228" t="s">
        <v>209</v>
      </c>
      <c r="Y2228" t="s">
        <v>510</v>
      </c>
      <c r="AF2228" t="s">
        <v>13</v>
      </c>
      <c r="AG2228" t="str">
        <f>HYPERLINK("https://doi.org/10.1515/9780748692545")</f>
        <v>https://doi.org/10.1515/9780748692545</v>
      </c>
      <c r="AH2228" t="str">
        <f>HYPERLINK("http://www.degruyter.com/isbn/9780748692545")</f>
        <v>http://www.degruyter.com/isbn/9780748692545</v>
      </c>
      <c r="AI2228" t="s">
        <v>180</v>
      </c>
      <c r="AL2228" t="s">
        <v>83</v>
      </c>
      <c r="AM2228">
        <v>1</v>
      </c>
      <c r="AN2228" s="2">
        <v>9780748692521</v>
      </c>
    </row>
    <row r="2229" spans="1:40" x14ac:dyDescent="0.3">
      <c r="A2229" t="s">
        <v>10694</v>
      </c>
      <c r="B2229" t="s">
        <v>1</v>
      </c>
      <c r="C2229" t="s">
        <v>10695</v>
      </c>
      <c r="D2229" t="s">
        <v>10696</v>
      </c>
      <c r="E2229" t="s">
        <v>10697</v>
      </c>
      <c r="F2229" t="s">
        <v>5</v>
      </c>
      <c r="G2229" t="s">
        <v>6</v>
      </c>
      <c r="L2229" t="s">
        <v>7</v>
      </c>
      <c r="M2229">
        <v>2013</v>
      </c>
      <c r="N2229" s="1">
        <v>41509</v>
      </c>
      <c r="O2229" t="s">
        <v>10698</v>
      </c>
      <c r="P2229">
        <v>1</v>
      </c>
      <c r="Q2229" t="s">
        <v>6539</v>
      </c>
      <c r="S2229">
        <v>217.95</v>
      </c>
      <c r="T2229">
        <v>250</v>
      </c>
      <c r="U2229">
        <v>190</v>
      </c>
      <c r="V2229" t="s">
        <v>42</v>
      </c>
      <c r="W2229" t="s">
        <v>116</v>
      </c>
      <c r="X2229" t="s">
        <v>116</v>
      </c>
      <c r="Y2229" t="s">
        <v>117</v>
      </c>
      <c r="AF2229" t="s">
        <v>13</v>
      </c>
      <c r="AG2229" t="str">
        <f>HYPERLINK("https://doi.org/10.1515/9780748669493")</f>
        <v>https://doi.org/10.1515/9780748669493</v>
      </c>
      <c r="AH2229" t="str">
        <f>HYPERLINK("http://www.degruyter.com/isbn/9780748669493")</f>
        <v>http://www.degruyter.com/isbn/9780748669493</v>
      </c>
      <c r="AI2229" t="s">
        <v>68</v>
      </c>
      <c r="AL2229" t="s">
        <v>47</v>
      </c>
      <c r="AM2229">
        <v>1</v>
      </c>
      <c r="AN2229" s="2">
        <v>9780748669486</v>
      </c>
    </row>
    <row r="2230" spans="1:40" x14ac:dyDescent="0.3">
      <c r="A2230" t="s">
        <v>10699</v>
      </c>
      <c r="B2230" t="s">
        <v>1</v>
      </c>
      <c r="C2230" t="s">
        <v>10700</v>
      </c>
      <c r="E2230" t="s">
        <v>10701</v>
      </c>
      <c r="F2230" t="s">
        <v>5</v>
      </c>
      <c r="G2230" t="s">
        <v>6</v>
      </c>
      <c r="L2230" t="s">
        <v>7</v>
      </c>
      <c r="M2230">
        <v>2004</v>
      </c>
      <c r="N2230" s="1">
        <v>38061</v>
      </c>
      <c r="O2230" t="s">
        <v>10702</v>
      </c>
      <c r="P2230">
        <v>1</v>
      </c>
      <c r="Q2230" t="s">
        <v>7298</v>
      </c>
      <c r="S2230">
        <v>287.95</v>
      </c>
      <c r="T2230">
        <v>330</v>
      </c>
      <c r="U2230">
        <v>250</v>
      </c>
      <c r="V2230" t="s">
        <v>329</v>
      </c>
      <c r="W2230" t="s">
        <v>330</v>
      </c>
      <c r="X2230" t="s">
        <v>331</v>
      </c>
      <c r="Y2230" t="s">
        <v>332</v>
      </c>
      <c r="AF2230" t="s">
        <v>13</v>
      </c>
      <c r="AG2230" t="str">
        <f>HYPERLINK("https://doi.org/10.1515/9781474471985")</f>
        <v>https://doi.org/10.1515/9781474471985</v>
      </c>
      <c r="AH2230" t="str">
        <f>HYPERLINK("http://www.degruyter.com/isbn/9781474471985")</f>
        <v>http://www.degruyter.com/isbn/9781474471985</v>
      </c>
      <c r="AI2230" t="s">
        <v>1661</v>
      </c>
      <c r="AL2230" t="s">
        <v>333</v>
      </c>
      <c r="AM2230">
        <v>1</v>
      </c>
      <c r="AN2230" s="2">
        <v>9780748616862</v>
      </c>
    </row>
    <row r="2231" spans="1:40" x14ac:dyDescent="0.3">
      <c r="A2231" t="s">
        <v>10703</v>
      </c>
      <c r="B2231" t="s">
        <v>1</v>
      </c>
      <c r="C2231" t="s">
        <v>10704</v>
      </c>
      <c r="D2231" t="s">
        <v>10705</v>
      </c>
      <c r="E2231" t="s">
        <v>10706</v>
      </c>
      <c r="F2231" t="s">
        <v>5</v>
      </c>
      <c r="G2231" t="s">
        <v>6</v>
      </c>
      <c r="L2231" t="s">
        <v>7</v>
      </c>
      <c r="M2231">
        <v>2016</v>
      </c>
      <c r="N2231" s="1">
        <v>42690</v>
      </c>
      <c r="O2231" t="s">
        <v>10707</v>
      </c>
      <c r="P2231">
        <v>1</v>
      </c>
      <c r="Q2231" t="s">
        <v>5911</v>
      </c>
      <c r="S2231">
        <v>217.95</v>
      </c>
      <c r="T2231">
        <v>250</v>
      </c>
      <c r="U2231">
        <v>190</v>
      </c>
      <c r="V2231" t="s">
        <v>329</v>
      </c>
      <c r="W2231" t="s">
        <v>330</v>
      </c>
      <c r="X2231" t="s">
        <v>331</v>
      </c>
      <c r="Y2231" t="s">
        <v>1035</v>
      </c>
      <c r="AF2231" t="s">
        <v>13</v>
      </c>
      <c r="AG2231" t="str">
        <f>HYPERLINK("https://doi.org/10.1515/9781474407854?locatt=mode:legacy")</f>
        <v>https://doi.org/10.1515/9781474407854?locatt=mode:legacy</v>
      </c>
      <c r="AH2231" t="str">
        <f>HYPERLINK("http://www.degruyter.com/isbn/9781474407854")</f>
        <v>http://www.degruyter.com/isbn/9781474407854</v>
      </c>
      <c r="AI2231" t="s">
        <v>180</v>
      </c>
      <c r="AL2231" t="s">
        <v>333</v>
      </c>
      <c r="AM2231">
        <v>1</v>
      </c>
      <c r="AN2231" s="2">
        <v>9781474407847</v>
      </c>
    </row>
    <row r="2232" spans="1:40" x14ac:dyDescent="0.3">
      <c r="A2232" t="s">
        <v>10708</v>
      </c>
      <c r="B2232" t="s">
        <v>1</v>
      </c>
      <c r="C2232" t="s">
        <v>6983</v>
      </c>
      <c r="D2232" t="s">
        <v>10709</v>
      </c>
      <c r="E2232" t="s">
        <v>6985</v>
      </c>
      <c r="F2232" t="s">
        <v>5</v>
      </c>
      <c r="G2232" t="s">
        <v>6</v>
      </c>
      <c r="L2232" t="s">
        <v>7</v>
      </c>
      <c r="M2232">
        <v>2020</v>
      </c>
      <c r="N2232" s="1">
        <v>44656</v>
      </c>
      <c r="O2232" t="s">
        <v>10710</v>
      </c>
      <c r="P2232">
        <v>1</v>
      </c>
      <c r="Q2232" t="s">
        <v>6987</v>
      </c>
      <c r="S2232">
        <v>227.95</v>
      </c>
      <c r="T2232">
        <v>260</v>
      </c>
      <c r="U2232">
        <v>200</v>
      </c>
      <c r="V2232" t="s">
        <v>9</v>
      </c>
      <c r="W2232" t="s">
        <v>10</v>
      </c>
      <c r="X2232" t="s">
        <v>11</v>
      </c>
      <c r="Y2232" t="s">
        <v>52</v>
      </c>
      <c r="AF2232" t="s">
        <v>13</v>
      </c>
      <c r="AG2232" t="str">
        <f>HYPERLINK("https://www.degruyter.com/isbn/9781474442169")</f>
        <v>https://www.degruyter.com/isbn/9781474442169</v>
      </c>
      <c r="AH2232" t="str">
        <f>HYPERLINK("http://www.degruyter.com/isbn/9781474442169")</f>
        <v>http://www.degruyter.com/isbn/9781474442169</v>
      </c>
      <c r="AI2232" t="s">
        <v>14</v>
      </c>
      <c r="AL2232" t="s">
        <v>15</v>
      </c>
      <c r="AM2232">
        <v>1</v>
      </c>
      <c r="AN2232" s="2">
        <v>9781474442152</v>
      </c>
    </row>
    <row r="2233" spans="1:40" x14ac:dyDescent="0.3">
      <c r="A2233" t="s">
        <v>10711</v>
      </c>
      <c r="B2233" t="s">
        <v>1</v>
      </c>
      <c r="C2233" t="s">
        <v>10712</v>
      </c>
      <c r="D2233" t="s">
        <v>10713</v>
      </c>
      <c r="E2233" t="s">
        <v>10714</v>
      </c>
      <c r="F2233" t="s">
        <v>5</v>
      </c>
      <c r="G2233" t="s">
        <v>6</v>
      </c>
      <c r="L2233" t="s">
        <v>7</v>
      </c>
      <c r="M2233">
        <v>2018</v>
      </c>
      <c r="N2233" s="1">
        <v>44644</v>
      </c>
      <c r="O2233" t="s">
        <v>10715</v>
      </c>
      <c r="P2233">
        <v>1</v>
      </c>
      <c r="Q2233" t="s">
        <v>8883</v>
      </c>
      <c r="S2233">
        <v>253.95</v>
      </c>
      <c r="T2233">
        <v>290</v>
      </c>
      <c r="U2233">
        <v>220</v>
      </c>
      <c r="V2233" t="s">
        <v>79</v>
      </c>
      <c r="W2233" t="s">
        <v>734</v>
      </c>
      <c r="X2233" t="s">
        <v>734</v>
      </c>
      <c r="Y2233" t="s">
        <v>6064</v>
      </c>
      <c r="AF2233" t="s">
        <v>13</v>
      </c>
      <c r="AG2233" t="str">
        <f>HYPERLINK("https://doi.org/10.1515/9781474433204?locatt=mode:legacy")</f>
        <v>https://doi.org/10.1515/9781474433204?locatt=mode:legacy</v>
      </c>
      <c r="AH2233" t="str">
        <f>HYPERLINK("http://www.degruyter.com/isbn/9781474433204")</f>
        <v>http://www.degruyter.com/isbn/9781474433204</v>
      </c>
      <c r="AI2233" t="s">
        <v>46</v>
      </c>
      <c r="AL2233" t="s">
        <v>83</v>
      </c>
      <c r="AM2233">
        <v>1</v>
      </c>
      <c r="AN2233" s="2">
        <v>9781474433181</v>
      </c>
    </row>
    <row r="2234" spans="1:40" x14ac:dyDescent="0.3">
      <c r="A2234" t="s">
        <v>10716</v>
      </c>
      <c r="B2234" t="s">
        <v>1</v>
      </c>
      <c r="C2234" t="s">
        <v>10717</v>
      </c>
      <c r="E2234" t="s">
        <v>10718</v>
      </c>
      <c r="F2234" t="s">
        <v>5</v>
      </c>
      <c r="G2234" t="s">
        <v>6</v>
      </c>
      <c r="L2234" t="s">
        <v>7</v>
      </c>
      <c r="M2234">
        <v>2013</v>
      </c>
      <c r="N2234" s="1">
        <v>41347</v>
      </c>
      <c r="O2234" t="s">
        <v>10719</v>
      </c>
      <c r="P2234">
        <v>1</v>
      </c>
      <c r="Q2234" t="s">
        <v>7047</v>
      </c>
      <c r="S2234">
        <v>191.95</v>
      </c>
      <c r="T2234">
        <v>220</v>
      </c>
      <c r="U2234">
        <v>170</v>
      </c>
      <c r="V2234" t="s">
        <v>42</v>
      </c>
      <c r="W2234" t="s">
        <v>740</v>
      </c>
      <c r="X2234" t="s">
        <v>741</v>
      </c>
      <c r="Y2234" t="s">
        <v>1263</v>
      </c>
      <c r="AF2234" t="s">
        <v>13</v>
      </c>
      <c r="AG2234" t="str">
        <f>HYPERLINK("https://doi.org/10.1515/9780748654734")</f>
        <v>https://doi.org/10.1515/9780748654734</v>
      </c>
      <c r="AH2234" t="str">
        <f>HYPERLINK("http://www.degruyter.com/isbn/9780748654734")</f>
        <v>http://www.degruyter.com/isbn/9780748654734</v>
      </c>
      <c r="AI2234" t="s">
        <v>68</v>
      </c>
      <c r="AL2234" t="s">
        <v>47</v>
      </c>
      <c r="AM2234">
        <v>1</v>
      </c>
      <c r="AN2234" s="2">
        <v>9780748654727</v>
      </c>
    </row>
    <row r="2235" spans="1:40" x14ac:dyDescent="0.3">
      <c r="A2235" t="s">
        <v>10720</v>
      </c>
      <c r="B2235" t="s">
        <v>1</v>
      </c>
      <c r="C2235" t="s">
        <v>10721</v>
      </c>
      <c r="E2235" t="s">
        <v>10722</v>
      </c>
      <c r="F2235" t="s">
        <v>5</v>
      </c>
      <c r="G2235" t="s">
        <v>6</v>
      </c>
      <c r="L2235" t="s">
        <v>7</v>
      </c>
      <c r="M2235">
        <v>2007</v>
      </c>
      <c r="N2235" s="1">
        <v>39381</v>
      </c>
      <c r="O2235" t="s">
        <v>10723</v>
      </c>
      <c r="P2235">
        <v>1</v>
      </c>
      <c r="Q2235" t="s">
        <v>7217</v>
      </c>
      <c r="S2235">
        <v>243.95</v>
      </c>
      <c r="T2235">
        <v>280</v>
      </c>
      <c r="U2235">
        <v>210</v>
      </c>
      <c r="V2235" t="s">
        <v>20</v>
      </c>
      <c r="W2235" t="s">
        <v>21</v>
      </c>
      <c r="X2235" t="s">
        <v>575</v>
      </c>
      <c r="Y2235" t="s">
        <v>576</v>
      </c>
      <c r="AF2235" t="s">
        <v>13</v>
      </c>
      <c r="AG2235" t="str">
        <f>HYPERLINK("https://doi.org/10.1515/9780748628445")</f>
        <v>https://doi.org/10.1515/9780748628445</v>
      </c>
      <c r="AH2235" t="str">
        <f>HYPERLINK("http://www.degruyter.com/isbn/9780748628445")</f>
        <v>http://www.degruyter.com/isbn/9780748628445</v>
      </c>
      <c r="AI2235" t="s">
        <v>68</v>
      </c>
      <c r="AL2235" t="s">
        <v>15</v>
      </c>
      <c r="AM2235">
        <v>1</v>
      </c>
      <c r="AN2235" s="2">
        <v>9780748614547</v>
      </c>
    </row>
    <row r="2236" spans="1:40" x14ac:dyDescent="0.3">
      <c r="A2236" t="s">
        <v>10724</v>
      </c>
      <c r="B2236" t="s">
        <v>1</v>
      </c>
      <c r="C2236" t="s">
        <v>10725</v>
      </c>
      <c r="E2236" t="s">
        <v>10726</v>
      </c>
      <c r="F2236" t="s">
        <v>5</v>
      </c>
      <c r="G2236" t="s">
        <v>6</v>
      </c>
      <c r="L2236" t="s">
        <v>7</v>
      </c>
      <c r="M2236">
        <v>2014</v>
      </c>
      <c r="N2236" s="1">
        <v>41806</v>
      </c>
      <c r="O2236" t="s">
        <v>1374</v>
      </c>
      <c r="P2236">
        <v>1</v>
      </c>
      <c r="Q2236" t="s">
        <v>7033</v>
      </c>
      <c r="S2236">
        <v>253.95</v>
      </c>
      <c r="T2236">
        <v>290</v>
      </c>
      <c r="U2236">
        <v>220</v>
      </c>
      <c r="V2236" t="s">
        <v>42</v>
      </c>
      <c r="W2236" t="s">
        <v>1379</v>
      </c>
      <c r="X2236" t="s">
        <v>1380</v>
      </c>
      <c r="Y2236" t="s">
        <v>1381</v>
      </c>
      <c r="AF2236" t="s">
        <v>13</v>
      </c>
      <c r="AG2236" t="str">
        <f>HYPERLINK("https://doi.org/10.1515/9780748644223")</f>
        <v>https://doi.org/10.1515/9780748644223</v>
      </c>
      <c r="AH2236" t="str">
        <f>HYPERLINK("http://www.degruyter.com/isbn/9780748644223")</f>
        <v>http://www.degruyter.com/isbn/9780748644223</v>
      </c>
      <c r="AI2236" t="s">
        <v>34</v>
      </c>
      <c r="AL2236" t="s">
        <v>47</v>
      </c>
      <c r="AM2236">
        <v>1</v>
      </c>
      <c r="AN2236" s="2">
        <v>9780748644216</v>
      </c>
    </row>
    <row r="2237" spans="1:40" x14ac:dyDescent="0.3">
      <c r="A2237" t="s">
        <v>10727</v>
      </c>
      <c r="B2237" t="s">
        <v>1</v>
      </c>
      <c r="C2237" t="s">
        <v>10728</v>
      </c>
      <c r="D2237" t="s">
        <v>10729</v>
      </c>
      <c r="E2237" t="s">
        <v>10730</v>
      </c>
      <c r="F2237" t="s">
        <v>5</v>
      </c>
      <c r="G2237" t="s">
        <v>6</v>
      </c>
      <c r="L2237" t="s">
        <v>7</v>
      </c>
      <c r="M2237">
        <v>2002</v>
      </c>
      <c r="N2237" s="1">
        <v>44719</v>
      </c>
      <c r="O2237" t="s">
        <v>10731</v>
      </c>
      <c r="P2237">
        <v>1</v>
      </c>
      <c r="Q2237" t="s">
        <v>6815</v>
      </c>
      <c r="S2237">
        <v>217.95</v>
      </c>
      <c r="T2237">
        <v>250</v>
      </c>
      <c r="U2237">
        <v>190</v>
      </c>
      <c r="V2237" t="s">
        <v>20</v>
      </c>
      <c r="W2237" t="s">
        <v>21</v>
      </c>
      <c r="X2237" t="s">
        <v>3445</v>
      </c>
      <c r="Y2237" t="s">
        <v>3446</v>
      </c>
      <c r="AF2237" t="s">
        <v>13</v>
      </c>
      <c r="AG2237" t="str">
        <f>HYPERLINK("https://doi.org/10.1515/9781474468237")</f>
        <v>https://doi.org/10.1515/9781474468237</v>
      </c>
      <c r="AH2237" t="str">
        <f>HYPERLINK("http://www.degruyter.com/isbn/9781474468237")</f>
        <v>http://www.degruyter.com/isbn/9781474468237</v>
      </c>
      <c r="AI2237" t="s">
        <v>68</v>
      </c>
      <c r="AL2237" t="s">
        <v>15</v>
      </c>
      <c r="AM2237">
        <v>1</v>
      </c>
      <c r="AN2237" s="2">
        <v>9780748615261</v>
      </c>
    </row>
    <row r="2238" spans="1:40" x14ac:dyDescent="0.3">
      <c r="A2238" t="s">
        <v>10732</v>
      </c>
      <c r="B2238" t="s">
        <v>1</v>
      </c>
      <c r="C2238" t="s">
        <v>10733</v>
      </c>
      <c r="E2238" t="s">
        <v>10734</v>
      </c>
      <c r="F2238" t="s">
        <v>5</v>
      </c>
      <c r="G2238" t="s">
        <v>6</v>
      </c>
      <c r="L2238" t="s">
        <v>7</v>
      </c>
      <c r="M2238">
        <v>1995</v>
      </c>
      <c r="N2238" s="1">
        <v>44607</v>
      </c>
      <c r="O2238" t="s">
        <v>10735</v>
      </c>
      <c r="P2238">
        <v>1</v>
      </c>
      <c r="Q2238" t="s">
        <v>6923</v>
      </c>
      <c r="S2238">
        <v>217.95</v>
      </c>
      <c r="T2238">
        <v>250</v>
      </c>
      <c r="U2238">
        <v>190</v>
      </c>
      <c r="V2238" t="s">
        <v>297</v>
      </c>
      <c r="W2238" t="s">
        <v>10736</v>
      </c>
      <c r="X2238" t="s">
        <v>10736</v>
      </c>
      <c r="Y2238" t="s">
        <v>10737</v>
      </c>
      <c r="AF2238" t="s">
        <v>13</v>
      </c>
      <c r="AG2238" t="str">
        <f>HYPERLINK("https://doi.org/10.1515/9781474497008")</f>
        <v>https://doi.org/10.1515/9781474497008</v>
      </c>
      <c r="AH2238" t="str">
        <f>HYPERLINK("http://www.degruyter.com/isbn/9781474497008")</f>
        <v>http://www.degruyter.com/isbn/9781474497008</v>
      </c>
      <c r="AI2238" t="s">
        <v>24</v>
      </c>
      <c r="AJ2238" t="s">
        <v>35</v>
      </c>
      <c r="AL2238" t="s">
        <v>718</v>
      </c>
      <c r="AM2238">
        <v>1</v>
      </c>
      <c r="AN2238" s="2">
        <v>9780748605972</v>
      </c>
    </row>
    <row r="2239" spans="1:40" x14ac:dyDescent="0.3">
      <c r="A2239" t="s">
        <v>10738</v>
      </c>
      <c r="B2239" t="s">
        <v>1</v>
      </c>
      <c r="C2239" t="s">
        <v>10739</v>
      </c>
      <c r="E2239" t="s">
        <v>10740</v>
      </c>
      <c r="F2239" t="s">
        <v>5</v>
      </c>
      <c r="G2239" t="s">
        <v>6</v>
      </c>
      <c r="L2239" t="s">
        <v>7</v>
      </c>
      <c r="M2239">
        <v>2012</v>
      </c>
      <c r="N2239" s="1">
        <v>41183</v>
      </c>
      <c r="O2239" t="s">
        <v>10741</v>
      </c>
      <c r="P2239">
        <v>1</v>
      </c>
      <c r="Q2239" t="s">
        <v>6539</v>
      </c>
      <c r="S2239">
        <v>217.95</v>
      </c>
      <c r="T2239">
        <v>250</v>
      </c>
      <c r="U2239">
        <v>190</v>
      </c>
      <c r="V2239" t="s">
        <v>42</v>
      </c>
      <c r="W2239" t="s">
        <v>116</v>
      </c>
      <c r="X2239" t="s">
        <v>116</v>
      </c>
      <c r="Y2239" t="s">
        <v>117</v>
      </c>
      <c r="AF2239" t="s">
        <v>13</v>
      </c>
      <c r="AG2239" t="str">
        <f>HYPERLINK("https://doi.org/10.1515/9780748647163")</f>
        <v>https://doi.org/10.1515/9780748647163</v>
      </c>
      <c r="AH2239" t="str">
        <f>HYPERLINK("http://www.degruyter.com/isbn/9780748647163")</f>
        <v>http://www.degruyter.com/isbn/9780748647163</v>
      </c>
      <c r="AI2239" t="s">
        <v>68</v>
      </c>
      <c r="AL2239" t="s">
        <v>47</v>
      </c>
      <c r="AM2239">
        <v>1</v>
      </c>
      <c r="AN2239" s="2">
        <v>9780748647156</v>
      </c>
    </row>
    <row r="2240" spans="1:40" x14ac:dyDescent="0.3">
      <c r="A2240" t="s">
        <v>10742</v>
      </c>
      <c r="B2240" t="s">
        <v>1</v>
      </c>
      <c r="C2240" t="s">
        <v>10743</v>
      </c>
      <c r="D2240" t="s">
        <v>10744</v>
      </c>
      <c r="E2240" t="s">
        <v>10745</v>
      </c>
      <c r="F2240" t="s">
        <v>5</v>
      </c>
      <c r="G2240" t="s">
        <v>6</v>
      </c>
      <c r="L2240" t="s">
        <v>7</v>
      </c>
      <c r="M2240">
        <v>2021</v>
      </c>
      <c r="N2240" s="1">
        <v>44644</v>
      </c>
      <c r="O2240" t="s">
        <v>10746</v>
      </c>
      <c r="P2240">
        <v>1</v>
      </c>
      <c r="Q2240" t="s">
        <v>7019</v>
      </c>
      <c r="S2240">
        <v>217.95</v>
      </c>
      <c r="T2240">
        <v>250</v>
      </c>
      <c r="U2240">
        <v>190</v>
      </c>
      <c r="V2240" t="s">
        <v>42</v>
      </c>
      <c r="W2240" t="s">
        <v>116</v>
      </c>
      <c r="X2240" t="s">
        <v>116</v>
      </c>
      <c r="Y2240" t="s">
        <v>117</v>
      </c>
      <c r="AF2240" t="s">
        <v>13</v>
      </c>
      <c r="AG2240" t="str">
        <f>HYPERLINK("https://doi.org/10.1515/9781474475785")</f>
        <v>https://doi.org/10.1515/9781474475785</v>
      </c>
      <c r="AH2240" t="str">
        <f>HYPERLINK("http://www.degruyter.com/isbn/9781474475785")</f>
        <v>http://www.degruyter.com/isbn/9781474475785</v>
      </c>
      <c r="AI2240" t="s">
        <v>1561</v>
      </c>
      <c r="AL2240" t="s">
        <v>47</v>
      </c>
      <c r="AM2240">
        <v>1</v>
      </c>
      <c r="AN2240" s="2">
        <v>9781474475761</v>
      </c>
    </row>
    <row r="2241" spans="1:40" x14ac:dyDescent="0.3">
      <c r="A2241" t="s">
        <v>10747</v>
      </c>
      <c r="B2241" t="s">
        <v>1</v>
      </c>
      <c r="C2241" t="s">
        <v>10748</v>
      </c>
      <c r="D2241" t="s">
        <v>7731</v>
      </c>
      <c r="E2241" t="s">
        <v>10749</v>
      </c>
      <c r="F2241" t="s">
        <v>5</v>
      </c>
      <c r="G2241" t="s">
        <v>6</v>
      </c>
      <c r="L2241" t="s">
        <v>7</v>
      </c>
      <c r="M2241">
        <v>2015</v>
      </c>
      <c r="N2241" s="1">
        <v>42341</v>
      </c>
      <c r="O2241" t="s">
        <v>10750</v>
      </c>
      <c r="P2241">
        <v>1</v>
      </c>
      <c r="Q2241" t="s">
        <v>7733</v>
      </c>
      <c r="S2241">
        <v>253.95</v>
      </c>
      <c r="T2241">
        <v>290</v>
      </c>
      <c r="U2241">
        <v>220</v>
      </c>
      <c r="V2241" t="s">
        <v>79</v>
      </c>
      <c r="W2241" t="s">
        <v>123</v>
      </c>
      <c r="X2241" t="s">
        <v>123</v>
      </c>
      <c r="Y2241" t="s">
        <v>124</v>
      </c>
      <c r="AF2241" t="s">
        <v>13</v>
      </c>
      <c r="AG2241" t="str">
        <f>HYPERLINK("https://doi.org/10.1515/9780748685288")</f>
        <v>https://doi.org/10.1515/9780748685288</v>
      </c>
      <c r="AH2241" t="str">
        <f>HYPERLINK("http://www.degruyter.com/isbn/9780748685288")</f>
        <v>http://www.degruyter.com/isbn/9780748685288</v>
      </c>
      <c r="AI2241" t="s">
        <v>34</v>
      </c>
      <c r="AL2241" t="s">
        <v>83</v>
      </c>
      <c r="AM2241">
        <v>1</v>
      </c>
      <c r="AN2241" s="2">
        <v>9780748685264</v>
      </c>
    </row>
    <row r="2242" spans="1:40" x14ac:dyDescent="0.3">
      <c r="A2242" t="s">
        <v>10751</v>
      </c>
      <c r="B2242" t="s">
        <v>1</v>
      </c>
      <c r="C2242" t="s">
        <v>10752</v>
      </c>
      <c r="E2242" t="s">
        <v>10753</v>
      </c>
      <c r="F2242" t="s">
        <v>5</v>
      </c>
      <c r="G2242" t="s">
        <v>6</v>
      </c>
      <c r="L2242" t="s">
        <v>7</v>
      </c>
      <c r="M2242">
        <v>2012</v>
      </c>
      <c r="N2242" s="1">
        <v>41190</v>
      </c>
      <c r="O2242" t="s">
        <v>10754</v>
      </c>
      <c r="P2242">
        <v>1</v>
      </c>
      <c r="Q2242" t="s">
        <v>6665</v>
      </c>
      <c r="S2242">
        <v>217.95</v>
      </c>
      <c r="T2242">
        <v>250</v>
      </c>
      <c r="U2242">
        <v>190</v>
      </c>
      <c r="V2242" t="s">
        <v>42</v>
      </c>
      <c r="W2242" t="s">
        <v>43</v>
      </c>
      <c r="X2242" t="s">
        <v>44</v>
      </c>
      <c r="Y2242" t="s">
        <v>45</v>
      </c>
      <c r="AF2242" t="s">
        <v>13</v>
      </c>
      <c r="AG2242" t="str">
        <f>HYPERLINK("https://doi.org/10.1515/9780748669349")</f>
        <v>https://doi.org/10.1515/9780748669349</v>
      </c>
      <c r="AH2242" t="str">
        <f>HYPERLINK("http://www.degruyter.com/isbn/9780748669349")</f>
        <v>http://www.degruyter.com/isbn/9780748669349</v>
      </c>
      <c r="AI2242" t="s">
        <v>68</v>
      </c>
      <c r="AL2242" t="s">
        <v>47</v>
      </c>
      <c r="AM2242">
        <v>1</v>
      </c>
      <c r="AN2242" s="2">
        <v>9780748639168</v>
      </c>
    </row>
    <row r="2243" spans="1:40" x14ac:dyDescent="0.3">
      <c r="A2243" t="s">
        <v>10755</v>
      </c>
      <c r="B2243" t="s">
        <v>1</v>
      </c>
      <c r="C2243" t="s">
        <v>10756</v>
      </c>
      <c r="D2243" t="s">
        <v>10757</v>
      </c>
      <c r="E2243" t="s">
        <v>10758</v>
      </c>
      <c r="F2243" t="s">
        <v>5</v>
      </c>
      <c r="G2243" t="s">
        <v>6</v>
      </c>
      <c r="L2243" t="s">
        <v>7</v>
      </c>
      <c r="M2243">
        <v>2021</v>
      </c>
      <c r="N2243" s="1">
        <v>44656</v>
      </c>
      <c r="O2243" t="s">
        <v>10759</v>
      </c>
      <c r="P2243">
        <v>1</v>
      </c>
      <c r="Q2243" t="s">
        <v>8601</v>
      </c>
      <c r="S2243">
        <v>217.95</v>
      </c>
      <c r="T2243">
        <v>250</v>
      </c>
      <c r="U2243">
        <v>190</v>
      </c>
      <c r="V2243" t="s">
        <v>305</v>
      </c>
      <c r="W2243" t="s">
        <v>2566</v>
      </c>
      <c r="X2243" t="s">
        <v>2567</v>
      </c>
      <c r="Y2243" t="s">
        <v>4151</v>
      </c>
      <c r="AF2243" t="s">
        <v>13</v>
      </c>
      <c r="AG2243" t="str">
        <f>HYPERLINK("https://doi.org/10.1515/9781474452960")</f>
        <v>https://doi.org/10.1515/9781474452960</v>
      </c>
      <c r="AH2243" t="str">
        <f>HYPERLINK("http://www.degruyter.com/isbn/9781474452960")</f>
        <v>http://www.degruyter.com/isbn/9781474452960</v>
      </c>
      <c r="AI2243" t="s">
        <v>908</v>
      </c>
      <c r="AL2243" t="s">
        <v>308</v>
      </c>
      <c r="AM2243">
        <v>1</v>
      </c>
      <c r="AN2243" s="2">
        <v>9781474452946</v>
      </c>
    </row>
    <row r="2244" spans="1:40" x14ac:dyDescent="0.3">
      <c r="A2244" t="s">
        <v>10760</v>
      </c>
      <c r="B2244" t="s">
        <v>1</v>
      </c>
      <c r="C2244" t="s">
        <v>10761</v>
      </c>
      <c r="D2244" t="s">
        <v>10762</v>
      </c>
      <c r="E2244" t="s">
        <v>10763</v>
      </c>
      <c r="F2244" t="s">
        <v>5</v>
      </c>
      <c r="G2244" t="s">
        <v>6</v>
      </c>
      <c r="L2244" t="s">
        <v>7</v>
      </c>
      <c r="M2244">
        <v>2007</v>
      </c>
      <c r="N2244" s="1">
        <v>39157</v>
      </c>
      <c r="O2244" t="s">
        <v>10764</v>
      </c>
      <c r="P2244">
        <v>1</v>
      </c>
      <c r="Q2244" t="s">
        <v>9050</v>
      </c>
      <c r="S2244">
        <v>243.95</v>
      </c>
      <c r="T2244">
        <v>280</v>
      </c>
      <c r="U2244">
        <v>210</v>
      </c>
      <c r="V2244" t="s">
        <v>20</v>
      </c>
      <c r="W2244" t="s">
        <v>21</v>
      </c>
      <c r="X2244" t="s">
        <v>22</v>
      </c>
      <c r="Y2244" t="s">
        <v>23</v>
      </c>
      <c r="AF2244" t="s">
        <v>13</v>
      </c>
      <c r="AG2244" t="str">
        <f>HYPERLINK("https://doi.org/10.1515/9780748630837")</f>
        <v>https://doi.org/10.1515/9780748630837</v>
      </c>
      <c r="AH2244" t="str">
        <f>HYPERLINK("http://www.degruyter.com/isbn/9780748630837")</f>
        <v>http://www.degruyter.com/isbn/9780748630837</v>
      </c>
      <c r="AI2244" t="s">
        <v>68</v>
      </c>
      <c r="AL2244" t="s">
        <v>15</v>
      </c>
      <c r="AM2244">
        <v>1</v>
      </c>
      <c r="AN2244" s="2">
        <v>9780748625192</v>
      </c>
    </row>
    <row r="2245" spans="1:40" x14ac:dyDescent="0.3">
      <c r="A2245" t="s">
        <v>10765</v>
      </c>
      <c r="B2245" t="s">
        <v>1</v>
      </c>
      <c r="C2245" t="s">
        <v>10766</v>
      </c>
      <c r="E2245" t="s">
        <v>10767</v>
      </c>
      <c r="F2245" t="s">
        <v>5</v>
      </c>
      <c r="G2245" t="s">
        <v>6</v>
      </c>
      <c r="L2245" t="s">
        <v>7</v>
      </c>
      <c r="M2245">
        <v>2007</v>
      </c>
      <c r="N2245" s="1">
        <v>44592</v>
      </c>
      <c r="O2245" t="s">
        <v>10768</v>
      </c>
      <c r="P2245">
        <v>1</v>
      </c>
      <c r="Q2245" t="s">
        <v>6815</v>
      </c>
      <c r="S2245">
        <v>217.95</v>
      </c>
      <c r="T2245">
        <v>250</v>
      </c>
      <c r="U2245">
        <v>190</v>
      </c>
      <c r="V2245" t="s">
        <v>42</v>
      </c>
      <c r="W2245" t="s">
        <v>161</v>
      </c>
      <c r="X2245" t="s">
        <v>162</v>
      </c>
      <c r="Y2245" t="s">
        <v>10769</v>
      </c>
      <c r="AF2245" t="s">
        <v>13</v>
      </c>
      <c r="AG2245" t="str">
        <f>HYPERLINK("https://doi.org/10.1515/9781474473262")</f>
        <v>https://doi.org/10.1515/9781474473262</v>
      </c>
      <c r="AH2245" t="str">
        <f>HYPERLINK("http://www.degruyter.com/isbn/9781474473262")</f>
        <v>http://www.degruyter.com/isbn/9781474473262</v>
      </c>
      <c r="AI2245" t="s">
        <v>68</v>
      </c>
      <c r="AL2245" t="s">
        <v>47</v>
      </c>
      <c r="AM2245">
        <v>1</v>
      </c>
      <c r="AN2245" s="2">
        <v>9780748621491</v>
      </c>
    </row>
    <row r="2246" spans="1:40" x14ac:dyDescent="0.3">
      <c r="A2246" t="s">
        <v>10770</v>
      </c>
      <c r="B2246" t="s">
        <v>1</v>
      </c>
      <c r="C2246" t="s">
        <v>10771</v>
      </c>
      <c r="E2246" t="s">
        <v>10772</v>
      </c>
      <c r="F2246" t="s">
        <v>5</v>
      </c>
      <c r="G2246" t="s">
        <v>6</v>
      </c>
      <c r="L2246" t="s">
        <v>7</v>
      </c>
      <c r="M2246">
        <v>2018</v>
      </c>
      <c r="N2246" s="1">
        <v>44607</v>
      </c>
      <c r="O2246" t="s">
        <v>5837</v>
      </c>
      <c r="P2246">
        <v>1</v>
      </c>
      <c r="Q2246" t="s">
        <v>10773</v>
      </c>
      <c r="S2246">
        <v>209.95</v>
      </c>
      <c r="T2246">
        <v>240</v>
      </c>
      <c r="U2246">
        <v>180</v>
      </c>
      <c r="V2246" t="s">
        <v>329</v>
      </c>
      <c r="W2246" t="s">
        <v>330</v>
      </c>
      <c r="X2246" t="s">
        <v>331</v>
      </c>
      <c r="Y2246" t="s">
        <v>1035</v>
      </c>
      <c r="AF2246" t="s">
        <v>13</v>
      </c>
      <c r="AG2246" t="str">
        <f>HYPERLINK("https://doi.org/10.1515/9781474425094")</f>
        <v>https://doi.org/10.1515/9781474425094</v>
      </c>
      <c r="AH2246" t="str">
        <f>HYPERLINK("http://www.degruyter.com/isbn/9781474425094")</f>
        <v>http://www.degruyter.com/isbn/9781474425094</v>
      </c>
      <c r="AI2246" t="s">
        <v>46</v>
      </c>
      <c r="AL2246" t="s">
        <v>333</v>
      </c>
      <c r="AM2246">
        <v>1</v>
      </c>
      <c r="AN2246" s="2">
        <v>9781474425070</v>
      </c>
    </row>
    <row r="2247" spans="1:40" x14ac:dyDescent="0.3">
      <c r="A2247" t="s">
        <v>10774</v>
      </c>
      <c r="B2247" t="s">
        <v>1</v>
      </c>
      <c r="C2247" t="s">
        <v>10775</v>
      </c>
      <c r="E2247" t="s">
        <v>10776</v>
      </c>
      <c r="F2247" t="s">
        <v>5</v>
      </c>
      <c r="G2247" t="s">
        <v>6</v>
      </c>
      <c r="L2247" t="s">
        <v>7</v>
      </c>
      <c r="M2247">
        <v>2007</v>
      </c>
      <c r="N2247" s="1">
        <v>39164</v>
      </c>
      <c r="O2247" t="s">
        <v>10777</v>
      </c>
      <c r="P2247">
        <v>1</v>
      </c>
      <c r="Q2247" t="s">
        <v>6723</v>
      </c>
      <c r="S2247">
        <v>253.95</v>
      </c>
      <c r="T2247">
        <v>290</v>
      </c>
      <c r="U2247">
        <v>220</v>
      </c>
      <c r="V2247" t="s">
        <v>79</v>
      </c>
      <c r="W2247" t="s">
        <v>209</v>
      </c>
      <c r="X2247" t="s">
        <v>209</v>
      </c>
      <c r="Y2247" t="s">
        <v>510</v>
      </c>
      <c r="AF2247" t="s">
        <v>13</v>
      </c>
      <c r="AG2247" t="str">
        <f>HYPERLINK("https://doi.org/10.1515/9780748629145")</f>
        <v>https://doi.org/10.1515/9780748629145</v>
      </c>
      <c r="AH2247" t="str">
        <f>HYPERLINK("http://www.degruyter.com/isbn/9780748629145")</f>
        <v>http://www.degruyter.com/isbn/9780748629145</v>
      </c>
      <c r="AI2247" t="s">
        <v>68</v>
      </c>
      <c r="AL2247" t="s">
        <v>83</v>
      </c>
      <c r="AM2247">
        <v>1</v>
      </c>
      <c r="AN2247" s="2">
        <v>9780748622146</v>
      </c>
    </row>
    <row r="2248" spans="1:40" x14ac:dyDescent="0.3">
      <c r="A2248" t="s">
        <v>10778</v>
      </c>
      <c r="B2248" t="s">
        <v>1</v>
      </c>
      <c r="C2248" t="s">
        <v>10779</v>
      </c>
      <c r="D2248" t="s">
        <v>10780</v>
      </c>
      <c r="E2248" t="s">
        <v>10781</v>
      </c>
      <c r="F2248" t="s">
        <v>5</v>
      </c>
      <c r="G2248" t="s">
        <v>6</v>
      </c>
      <c r="L2248" t="s">
        <v>7</v>
      </c>
      <c r="M2248">
        <v>2006</v>
      </c>
      <c r="N2248" s="1">
        <v>38831</v>
      </c>
      <c r="O2248" t="s">
        <v>10782</v>
      </c>
      <c r="P2248">
        <v>1</v>
      </c>
      <c r="Q2248" t="s">
        <v>6815</v>
      </c>
      <c r="S2248">
        <v>217.95</v>
      </c>
      <c r="T2248">
        <v>250</v>
      </c>
      <c r="U2248">
        <v>190</v>
      </c>
      <c r="V2248" t="s">
        <v>20</v>
      </c>
      <c r="W2248" t="s">
        <v>21</v>
      </c>
      <c r="X2248" t="s">
        <v>3445</v>
      </c>
      <c r="Y2248" t="s">
        <v>3446</v>
      </c>
      <c r="AF2248" t="s">
        <v>13</v>
      </c>
      <c r="AG2248" t="str">
        <f>HYPERLINK("https://doi.org/10.1515/9780748626717")</f>
        <v>https://doi.org/10.1515/9780748626717</v>
      </c>
      <c r="AH2248" t="str">
        <f>HYPERLINK("http://www.degruyter.com/isbn/9780748626717")</f>
        <v>http://www.degruyter.com/isbn/9780748626717</v>
      </c>
      <c r="AI2248" t="s">
        <v>68</v>
      </c>
      <c r="AL2248" t="s">
        <v>15</v>
      </c>
      <c r="AM2248">
        <v>1</v>
      </c>
      <c r="AN2248" s="2">
        <v>9780748620371</v>
      </c>
    </row>
    <row r="2249" spans="1:40" x14ac:dyDescent="0.3">
      <c r="A2249" t="s">
        <v>10783</v>
      </c>
      <c r="B2249" t="s">
        <v>1</v>
      </c>
      <c r="C2249" t="s">
        <v>10784</v>
      </c>
      <c r="E2249" t="s">
        <v>10785</v>
      </c>
      <c r="F2249" t="s">
        <v>5</v>
      </c>
      <c r="G2249" t="s">
        <v>6</v>
      </c>
      <c r="L2249" t="s">
        <v>7</v>
      </c>
      <c r="M2249">
        <v>2009</v>
      </c>
      <c r="N2249" s="1">
        <v>44634</v>
      </c>
      <c r="O2249" t="s">
        <v>6377</v>
      </c>
      <c r="P2249">
        <v>1</v>
      </c>
      <c r="Q2249" t="s">
        <v>6437</v>
      </c>
      <c r="S2249">
        <v>217.95</v>
      </c>
      <c r="T2249">
        <v>250</v>
      </c>
      <c r="U2249">
        <v>190</v>
      </c>
      <c r="V2249" t="s">
        <v>58</v>
      </c>
      <c r="W2249" t="s">
        <v>59</v>
      </c>
      <c r="X2249" t="s">
        <v>60</v>
      </c>
      <c r="Y2249" t="s">
        <v>145</v>
      </c>
      <c r="AF2249" t="s">
        <v>13</v>
      </c>
      <c r="AG2249" t="str">
        <f>HYPERLINK("https://doi.org/10.1515/9781474473507")</f>
        <v>https://doi.org/10.1515/9781474473507</v>
      </c>
      <c r="AH2249" t="str">
        <f>HYPERLINK("http://www.degruyter.com/isbn/9781474473507")</f>
        <v>http://www.degruyter.com/isbn/9781474473507</v>
      </c>
      <c r="AI2249" t="s">
        <v>68</v>
      </c>
      <c r="AL2249" t="s">
        <v>62</v>
      </c>
      <c r="AM2249">
        <v>1</v>
      </c>
      <c r="AN2249" s="2">
        <v>9780748635351</v>
      </c>
    </row>
    <row r="2250" spans="1:40" x14ac:dyDescent="0.3">
      <c r="A2250" t="s">
        <v>10786</v>
      </c>
      <c r="B2250" t="s">
        <v>1</v>
      </c>
      <c r="C2250" t="s">
        <v>10787</v>
      </c>
      <c r="D2250" t="s">
        <v>10788</v>
      </c>
      <c r="E2250" t="s">
        <v>10789</v>
      </c>
      <c r="F2250" t="s">
        <v>5</v>
      </c>
      <c r="G2250" t="s">
        <v>6</v>
      </c>
      <c r="L2250" t="s">
        <v>7</v>
      </c>
      <c r="M2250">
        <v>2018</v>
      </c>
      <c r="N2250" s="1">
        <v>44656</v>
      </c>
      <c r="O2250" t="s">
        <v>10790</v>
      </c>
      <c r="P2250">
        <v>1</v>
      </c>
      <c r="Q2250" t="s">
        <v>5911</v>
      </c>
      <c r="S2250">
        <v>279.95</v>
      </c>
      <c r="T2250">
        <v>320</v>
      </c>
      <c r="U2250">
        <v>240</v>
      </c>
      <c r="V2250" t="s">
        <v>329</v>
      </c>
      <c r="W2250" t="s">
        <v>330</v>
      </c>
      <c r="X2250" t="s">
        <v>331</v>
      </c>
      <c r="Y2250" t="s">
        <v>4770</v>
      </c>
      <c r="AF2250" t="s">
        <v>13</v>
      </c>
      <c r="AG2250" t="str">
        <f>HYPERLINK("https://doi.org/10.1515/9780748675654")</f>
        <v>https://doi.org/10.1515/9780748675654</v>
      </c>
      <c r="AH2250" t="str">
        <f>HYPERLINK("http://www.degruyter.com/isbn/9780748675654")</f>
        <v>http://www.degruyter.com/isbn/9780748675654</v>
      </c>
      <c r="AI2250" t="s">
        <v>46</v>
      </c>
      <c r="AL2250" t="s">
        <v>333</v>
      </c>
      <c r="AM2250">
        <v>1</v>
      </c>
      <c r="AN2250" s="2">
        <v>9780748675630</v>
      </c>
    </row>
    <row r="2251" spans="1:40" x14ac:dyDescent="0.3">
      <c r="A2251" t="s">
        <v>10791</v>
      </c>
      <c r="B2251" t="s">
        <v>1</v>
      </c>
      <c r="C2251" t="s">
        <v>10792</v>
      </c>
      <c r="E2251" t="s">
        <v>10793</v>
      </c>
      <c r="F2251" t="s">
        <v>5</v>
      </c>
      <c r="G2251" t="s">
        <v>6</v>
      </c>
      <c r="L2251" t="s">
        <v>7</v>
      </c>
      <c r="M2251">
        <v>2017</v>
      </c>
      <c r="N2251" s="1">
        <v>43048</v>
      </c>
      <c r="O2251" t="s">
        <v>10794</v>
      </c>
      <c r="P2251">
        <v>1</v>
      </c>
      <c r="Q2251" t="s">
        <v>8702</v>
      </c>
      <c r="S2251">
        <v>253.95</v>
      </c>
      <c r="T2251">
        <v>290</v>
      </c>
      <c r="U2251">
        <v>220</v>
      </c>
      <c r="V2251" t="s">
        <v>42</v>
      </c>
      <c r="W2251" t="s">
        <v>43</v>
      </c>
      <c r="X2251" t="s">
        <v>178</v>
      </c>
      <c r="Y2251" t="s">
        <v>10795</v>
      </c>
      <c r="AF2251" t="s">
        <v>13</v>
      </c>
      <c r="AG2251" t="str">
        <f>HYPERLINK("https://doi.org/10.1515/9781474422710")</f>
        <v>https://doi.org/10.1515/9781474422710</v>
      </c>
      <c r="AH2251" t="str">
        <f>HYPERLINK("http://www.degruyter.com/isbn/9781474422710")</f>
        <v>http://www.degruyter.com/isbn/9781474422710</v>
      </c>
      <c r="AI2251" t="s">
        <v>222</v>
      </c>
      <c r="AL2251" t="s">
        <v>47</v>
      </c>
      <c r="AM2251">
        <v>1</v>
      </c>
      <c r="AN2251" s="2">
        <v>9781474422697</v>
      </c>
    </row>
    <row r="2252" spans="1:40" x14ac:dyDescent="0.3">
      <c r="A2252" t="s">
        <v>10796</v>
      </c>
      <c r="B2252" t="s">
        <v>1</v>
      </c>
      <c r="C2252" t="s">
        <v>10797</v>
      </c>
      <c r="E2252" t="s">
        <v>10798</v>
      </c>
      <c r="F2252" t="s">
        <v>5</v>
      </c>
      <c r="G2252" t="s">
        <v>6</v>
      </c>
      <c r="L2252" t="s">
        <v>7</v>
      </c>
      <c r="M2252">
        <v>2008</v>
      </c>
      <c r="N2252" s="1">
        <v>39569</v>
      </c>
      <c r="O2252" t="s">
        <v>10799</v>
      </c>
      <c r="P2252">
        <v>1</v>
      </c>
      <c r="S2252">
        <v>217.95</v>
      </c>
      <c r="T2252">
        <v>250</v>
      </c>
      <c r="U2252">
        <v>190</v>
      </c>
      <c r="V2252" t="s">
        <v>42</v>
      </c>
      <c r="W2252" t="s">
        <v>107</v>
      </c>
      <c r="X2252" t="s">
        <v>108</v>
      </c>
      <c r="Y2252" t="s">
        <v>109</v>
      </c>
      <c r="AF2252" t="s">
        <v>13</v>
      </c>
      <c r="AG2252" t="str">
        <f>HYPERLINK("https://doi.org/10.1515/9780748631988?locatt=mode:legacy")</f>
        <v>https://doi.org/10.1515/9780748631988?locatt=mode:legacy</v>
      </c>
      <c r="AH2252" t="str">
        <f>HYPERLINK("http://www.degruyter.com/isbn/9780748631988")</f>
        <v>http://www.degruyter.com/isbn/9780748631988</v>
      </c>
      <c r="AI2252" t="s">
        <v>68</v>
      </c>
      <c r="AL2252" t="s">
        <v>47</v>
      </c>
      <c r="AM2252">
        <v>1</v>
      </c>
      <c r="AN2252" s="2">
        <v>9780748633111</v>
      </c>
    </row>
    <row r="2253" spans="1:40" x14ac:dyDescent="0.3">
      <c r="A2253" t="s">
        <v>10800</v>
      </c>
      <c r="B2253" t="s">
        <v>1</v>
      </c>
      <c r="C2253" t="s">
        <v>10801</v>
      </c>
      <c r="E2253" t="s">
        <v>10802</v>
      </c>
      <c r="F2253" t="s">
        <v>5</v>
      </c>
      <c r="G2253" t="s">
        <v>6</v>
      </c>
      <c r="L2253" t="s">
        <v>7</v>
      </c>
      <c r="M2253">
        <v>2011</v>
      </c>
      <c r="N2253" s="1">
        <v>40731</v>
      </c>
      <c r="O2253" t="s">
        <v>10803</v>
      </c>
      <c r="P2253">
        <v>1</v>
      </c>
      <c r="Q2253" t="s">
        <v>8650</v>
      </c>
      <c r="S2253">
        <v>217.95</v>
      </c>
      <c r="T2253">
        <v>250</v>
      </c>
      <c r="U2253">
        <v>190</v>
      </c>
      <c r="V2253" t="s">
        <v>20</v>
      </c>
      <c r="W2253" t="s">
        <v>21</v>
      </c>
      <c r="X2253" t="s">
        <v>575</v>
      </c>
      <c r="Y2253" t="s">
        <v>576</v>
      </c>
      <c r="AF2253" t="s">
        <v>13</v>
      </c>
      <c r="AG2253" t="str">
        <f>HYPERLINK("https://doi.org/10.1515/9780748646364?locatt=mode:legacy")</f>
        <v>https://doi.org/10.1515/9780748646364?locatt=mode:legacy</v>
      </c>
      <c r="AH2253" t="str">
        <f>HYPERLINK("http://www.degruyter.com/isbn/9780748646364")</f>
        <v>http://www.degruyter.com/isbn/9780748646364</v>
      </c>
      <c r="AI2253" t="s">
        <v>68</v>
      </c>
      <c r="AL2253" t="s">
        <v>15</v>
      </c>
      <c r="AM2253">
        <v>1</v>
      </c>
      <c r="AN2253" s="2">
        <v>9780748641550</v>
      </c>
    </row>
    <row r="2254" spans="1:40" x14ac:dyDescent="0.3">
      <c r="A2254" t="s">
        <v>10804</v>
      </c>
      <c r="B2254" t="s">
        <v>1</v>
      </c>
      <c r="C2254" t="s">
        <v>10805</v>
      </c>
      <c r="D2254" t="s">
        <v>10806</v>
      </c>
      <c r="E2254" t="s">
        <v>10807</v>
      </c>
      <c r="F2254" t="s">
        <v>5</v>
      </c>
      <c r="G2254" t="s">
        <v>6</v>
      </c>
      <c r="L2254" t="s">
        <v>7</v>
      </c>
      <c r="M2254">
        <v>1994</v>
      </c>
      <c r="N2254" s="1">
        <v>44592</v>
      </c>
      <c r="O2254" t="s">
        <v>10808</v>
      </c>
      <c r="P2254">
        <v>1</v>
      </c>
      <c r="Q2254" t="s">
        <v>6929</v>
      </c>
      <c r="S2254">
        <v>217.95</v>
      </c>
      <c r="T2254">
        <v>250</v>
      </c>
      <c r="U2254">
        <v>190</v>
      </c>
      <c r="V2254" t="s">
        <v>30</v>
      </c>
      <c r="W2254" t="s">
        <v>31</v>
      </c>
      <c r="X2254" t="s">
        <v>32</v>
      </c>
      <c r="Y2254" t="s">
        <v>33</v>
      </c>
      <c r="AF2254" t="s">
        <v>13</v>
      </c>
      <c r="AG2254" t="str">
        <f>HYPERLINK("https://doi.org/10.1515/9781474496889")</f>
        <v>https://doi.org/10.1515/9781474496889</v>
      </c>
      <c r="AH2254" t="str">
        <f>HYPERLINK("http://www.degruyter.com/isbn/9781474496889")</f>
        <v>http://www.degruyter.com/isbn/9781474496889</v>
      </c>
      <c r="AI2254" t="s">
        <v>24</v>
      </c>
      <c r="AL2254" t="s">
        <v>272</v>
      </c>
      <c r="AM2254">
        <v>1</v>
      </c>
      <c r="AN2254" s="2">
        <v>9780748604920</v>
      </c>
    </row>
    <row r="2255" spans="1:40" x14ac:dyDescent="0.3">
      <c r="A2255" t="s">
        <v>10809</v>
      </c>
      <c r="B2255" t="s">
        <v>1</v>
      </c>
      <c r="C2255" t="s">
        <v>10810</v>
      </c>
      <c r="D2255" t="s">
        <v>10811</v>
      </c>
      <c r="E2255" t="s">
        <v>10812</v>
      </c>
      <c r="F2255" t="s">
        <v>5</v>
      </c>
      <c r="G2255" t="s">
        <v>6</v>
      </c>
      <c r="L2255" t="s">
        <v>7</v>
      </c>
      <c r="M2255">
        <v>2017</v>
      </c>
      <c r="N2255" s="1">
        <v>42843</v>
      </c>
      <c r="O2255" t="s">
        <v>10813</v>
      </c>
      <c r="P2255">
        <v>1</v>
      </c>
      <c r="Q2255" t="s">
        <v>7728</v>
      </c>
      <c r="S2255">
        <v>217.95</v>
      </c>
      <c r="T2255">
        <v>250</v>
      </c>
      <c r="U2255">
        <v>190</v>
      </c>
      <c r="V2255" t="s">
        <v>42</v>
      </c>
      <c r="W2255" t="s">
        <v>107</v>
      </c>
      <c r="X2255" t="s">
        <v>108</v>
      </c>
      <c r="Y2255" t="s">
        <v>109</v>
      </c>
      <c r="AF2255" t="s">
        <v>13</v>
      </c>
      <c r="AG2255" t="str">
        <f>HYPERLINK("https://doi.org/10.1515/9781474421027")</f>
        <v>https://doi.org/10.1515/9781474421027</v>
      </c>
      <c r="AH2255" t="str">
        <f>HYPERLINK("http://www.degruyter.com/isbn/9781474421027")</f>
        <v>http://www.degruyter.com/isbn/9781474421027</v>
      </c>
      <c r="AI2255" t="s">
        <v>222</v>
      </c>
      <c r="AL2255" t="s">
        <v>47</v>
      </c>
      <c r="AM2255">
        <v>1</v>
      </c>
      <c r="AN2255" s="2">
        <v>9781474421010</v>
      </c>
    </row>
    <row r="2256" spans="1:40" x14ac:dyDescent="0.3">
      <c r="A2256" t="s">
        <v>10814</v>
      </c>
      <c r="B2256" t="s">
        <v>1</v>
      </c>
      <c r="C2256" t="s">
        <v>10815</v>
      </c>
      <c r="E2256" t="s">
        <v>10816</v>
      </c>
      <c r="F2256" t="s">
        <v>5</v>
      </c>
      <c r="G2256" t="s">
        <v>6</v>
      </c>
      <c r="L2256" t="s">
        <v>7</v>
      </c>
      <c r="M2256">
        <v>2011</v>
      </c>
      <c r="N2256" s="1">
        <v>40731</v>
      </c>
      <c r="O2256" t="s">
        <v>10817</v>
      </c>
      <c r="P2256">
        <v>1</v>
      </c>
      <c r="Q2256" t="s">
        <v>7521</v>
      </c>
      <c r="S2256">
        <v>217.95</v>
      </c>
      <c r="T2256">
        <v>250</v>
      </c>
      <c r="U2256">
        <v>190</v>
      </c>
      <c r="V2256" t="s">
        <v>449</v>
      </c>
      <c r="W2256" t="s">
        <v>450</v>
      </c>
      <c r="X2256" t="s">
        <v>450</v>
      </c>
      <c r="Y2256" t="s">
        <v>2478</v>
      </c>
      <c r="AF2256" t="s">
        <v>13</v>
      </c>
      <c r="AG2256" t="str">
        <f>HYPERLINK("https://doi.org/10.1515/9780748633241?locatt=mode:legacy")</f>
        <v>https://doi.org/10.1515/9780748633241?locatt=mode:legacy</v>
      </c>
      <c r="AH2256" t="str">
        <f>HYPERLINK("http://www.degruyter.com/isbn/9780748633241")</f>
        <v>http://www.degruyter.com/isbn/9780748633241</v>
      </c>
      <c r="AI2256" t="s">
        <v>452</v>
      </c>
      <c r="AL2256" t="s">
        <v>308</v>
      </c>
      <c r="AM2256">
        <v>1</v>
      </c>
      <c r="AN2256" s="2">
        <v>9780748633227</v>
      </c>
    </row>
    <row r="2257" spans="1:40" x14ac:dyDescent="0.3">
      <c r="A2257" t="s">
        <v>10818</v>
      </c>
      <c r="B2257" t="s">
        <v>1</v>
      </c>
      <c r="C2257" t="s">
        <v>10819</v>
      </c>
      <c r="E2257" t="s">
        <v>10820</v>
      </c>
      <c r="F2257" t="s">
        <v>5</v>
      </c>
      <c r="G2257" t="s">
        <v>6</v>
      </c>
      <c r="L2257" t="s">
        <v>7</v>
      </c>
      <c r="M2257">
        <v>2010</v>
      </c>
      <c r="N2257" s="1">
        <v>40301</v>
      </c>
      <c r="O2257" t="s">
        <v>10821</v>
      </c>
      <c r="P2257">
        <v>1</v>
      </c>
      <c r="Q2257" t="s">
        <v>6437</v>
      </c>
      <c r="S2257">
        <v>217.95</v>
      </c>
      <c r="T2257">
        <v>250</v>
      </c>
      <c r="U2257">
        <v>190</v>
      </c>
      <c r="V2257" t="s">
        <v>58</v>
      </c>
      <c r="W2257" t="s">
        <v>59</v>
      </c>
      <c r="X2257" t="s">
        <v>60</v>
      </c>
      <c r="Y2257" t="s">
        <v>145</v>
      </c>
      <c r="AF2257" t="s">
        <v>13</v>
      </c>
      <c r="AG2257" t="str">
        <f>HYPERLINK("https://doi.org/10.1515/9780748630264")</f>
        <v>https://doi.org/10.1515/9780748630264</v>
      </c>
      <c r="AH2257" t="str">
        <f>HYPERLINK("http://www.degruyter.com/isbn/9780748630264")</f>
        <v>http://www.degruyter.com/isbn/9780748630264</v>
      </c>
      <c r="AI2257" t="s">
        <v>68</v>
      </c>
      <c r="AL2257" t="s">
        <v>62</v>
      </c>
      <c r="AM2257">
        <v>1</v>
      </c>
      <c r="AN2257" s="2">
        <v>9780748638802</v>
      </c>
    </row>
    <row r="2258" spans="1:40" x14ac:dyDescent="0.3">
      <c r="A2258" t="s">
        <v>10822</v>
      </c>
      <c r="B2258" t="s">
        <v>1</v>
      </c>
      <c r="C2258" t="s">
        <v>10823</v>
      </c>
      <c r="E2258" t="s">
        <v>10824</v>
      </c>
      <c r="F2258" t="s">
        <v>5</v>
      </c>
      <c r="G2258" t="s">
        <v>6</v>
      </c>
      <c r="L2258" t="s">
        <v>7</v>
      </c>
      <c r="M2258">
        <v>2016</v>
      </c>
      <c r="N2258" s="1">
        <v>42541</v>
      </c>
      <c r="O2258" t="s">
        <v>10825</v>
      </c>
      <c r="P2258">
        <v>1</v>
      </c>
      <c r="Q2258" t="s">
        <v>7728</v>
      </c>
      <c r="S2258">
        <v>217.95</v>
      </c>
      <c r="T2258">
        <v>250</v>
      </c>
      <c r="U2258">
        <v>190</v>
      </c>
      <c r="V2258" t="s">
        <v>42</v>
      </c>
      <c r="W2258" t="s">
        <v>116</v>
      </c>
      <c r="X2258" t="s">
        <v>116</v>
      </c>
      <c r="Y2258" t="s">
        <v>117</v>
      </c>
      <c r="AF2258" t="s">
        <v>13</v>
      </c>
      <c r="AG2258" t="str">
        <f>HYPERLINK("https://doi.org/10.1515/9781474411271")</f>
        <v>https://doi.org/10.1515/9781474411271</v>
      </c>
      <c r="AH2258" t="str">
        <f>HYPERLINK("http://www.degruyter.com/isbn/9781474411271")</f>
        <v>http://www.degruyter.com/isbn/9781474411271</v>
      </c>
      <c r="AI2258" t="s">
        <v>180</v>
      </c>
      <c r="AL2258" t="s">
        <v>47</v>
      </c>
      <c r="AM2258">
        <v>1</v>
      </c>
      <c r="AN2258" s="2">
        <v>9781474411264</v>
      </c>
    </row>
    <row r="2259" spans="1:40" x14ac:dyDescent="0.3">
      <c r="A2259" t="s">
        <v>10826</v>
      </c>
      <c r="B2259" t="s">
        <v>1</v>
      </c>
      <c r="C2259" t="s">
        <v>10827</v>
      </c>
      <c r="D2259" t="s">
        <v>10828</v>
      </c>
      <c r="E2259" t="s">
        <v>10829</v>
      </c>
      <c r="F2259" t="s">
        <v>5</v>
      </c>
      <c r="G2259" t="s">
        <v>6</v>
      </c>
      <c r="L2259" t="s">
        <v>7</v>
      </c>
      <c r="M2259">
        <v>2013</v>
      </c>
      <c r="N2259" s="1">
        <v>41311</v>
      </c>
      <c r="O2259" t="s">
        <v>10830</v>
      </c>
      <c r="P2259">
        <v>1</v>
      </c>
      <c r="S2259">
        <v>95.95</v>
      </c>
      <c r="T2259">
        <v>110</v>
      </c>
      <c r="U2259">
        <v>80</v>
      </c>
      <c r="V2259" t="s">
        <v>30</v>
      </c>
      <c r="W2259" t="s">
        <v>31</v>
      </c>
      <c r="X2259" t="s">
        <v>32</v>
      </c>
      <c r="Y2259" t="s">
        <v>7820</v>
      </c>
      <c r="AF2259" t="s">
        <v>13</v>
      </c>
      <c r="AG2259" t="str">
        <f>HYPERLINK("https://doi.org/10.1515/9781474471183?locatt=mode:legacy")</f>
        <v>https://doi.org/10.1515/9781474471183?locatt=mode:legacy</v>
      </c>
      <c r="AH2259" t="str">
        <f>HYPERLINK("http://www.degruyter.com/isbn/9781474471183")</f>
        <v>http://www.degruyter.com/isbn/9781474471183</v>
      </c>
      <c r="AI2259" t="s">
        <v>68</v>
      </c>
      <c r="AL2259" t="s">
        <v>272</v>
      </c>
      <c r="AM2259">
        <v>1</v>
      </c>
      <c r="AN2259" s="2">
        <v>9781845861438</v>
      </c>
    </row>
    <row r="2260" spans="1:40" x14ac:dyDescent="0.3">
      <c r="A2260" t="s">
        <v>10831</v>
      </c>
      <c r="B2260" t="s">
        <v>1</v>
      </c>
      <c r="C2260" t="s">
        <v>10832</v>
      </c>
      <c r="D2260" t="s">
        <v>10833</v>
      </c>
      <c r="E2260" t="s">
        <v>10834</v>
      </c>
      <c r="F2260" t="s">
        <v>5</v>
      </c>
      <c r="G2260" t="s">
        <v>6</v>
      </c>
      <c r="L2260" t="s">
        <v>7</v>
      </c>
      <c r="M2260">
        <v>2002</v>
      </c>
      <c r="N2260" s="1">
        <v>37454</v>
      </c>
      <c r="O2260" t="s">
        <v>10835</v>
      </c>
      <c r="P2260">
        <v>1</v>
      </c>
      <c r="Q2260" t="s">
        <v>6797</v>
      </c>
      <c r="S2260">
        <v>487.95</v>
      </c>
      <c r="T2260">
        <v>560</v>
      </c>
      <c r="U2260">
        <v>430</v>
      </c>
      <c r="V2260" t="s">
        <v>79</v>
      </c>
      <c r="W2260" t="s">
        <v>209</v>
      </c>
      <c r="X2260" t="s">
        <v>209</v>
      </c>
      <c r="Y2260" t="s">
        <v>510</v>
      </c>
      <c r="AF2260" t="s">
        <v>13</v>
      </c>
      <c r="AG2260" t="str">
        <f>HYPERLINK("https://doi.org/10.1515/9781474428125")</f>
        <v>https://doi.org/10.1515/9781474428125</v>
      </c>
      <c r="AH2260" t="str">
        <f>HYPERLINK("http://www.degruyter.com/isbn/9781474428125")</f>
        <v>http://www.degruyter.com/isbn/9781474428125</v>
      </c>
      <c r="AI2260" t="s">
        <v>68</v>
      </c>
      <c r="AL2260" t="s">
        <v>83</v>
      </c>
      <c r="AM2260">
        <v>1</v>
      </c>
      <c r="AN2260" s="2">
        <v>9780748611898</v>
      </c>
    </row>
    <row r="2261" spans="1:40" x14ac:dyDescent="0.3">
      <c r="A2261" t="s">
        <v>10836</v>
      </c>
      <c r="B2261" t="s">
        <v>1</v>
      </c>
      <c r="C2261" t="s">
        <v>10837</v>
      </c>
      <c r="D2261" t="s">
        <v>10838</v>
      </c>
      <c r="E2261" t="s">
        <v>10839</v>
      </c>
      <c r="F2261" t="s">
        <v>5</v>
      </c>
      <c r="G2261" t="s">
        <v>6</v>
      </c>
      <c r="L2261" t="s">
        <v>7</v>
      </c>
      <c r="M2261">
        <v>2021</v>
      </c>
      <c r="N2261" s="1">
        <v>44656</v>
      </c>
      <c r="O2261" t="s">
        <v>10840</v>
      </c>
      <c r="P2261">
        <v>1</v>
      </c>
      <c r="Q2261" t="s">
        <v>6665</v>
      </c>
      <c r="S2261">
        <v>227.95</v>
      </c>
      <c r="T2261">
        <v>260</v>
      </c>
      <c r="U2261">
        <v>200</v>
      </c>
      <c r="V2261" t="s">
        <v>449</v>
      </c>
      <c r="W2261" t="s">
        <v>450</v>
      </c>
      <c r="X2261" t="s">
        <v>450</v>
      </c>
      <c r="Y2261" t="s">
        <v>10841</v>
      </c>
      <c r="AF2261" t="s">
        <v>13</v>
      </c>
      <c r="AG2261" t="str">
        <f>HYPERLINK("https://doi.org/10.1515/9781474478045")</f>
        <v>https://doi.org/10.1515/9781474478045</v>
      </c>
      <c r="AH2261" t="str">
        <f>HYPERLINK("http://www.degruyter.com/isbn/9781474478045")</f>
        <v>http://www.degruyter.com/isbn/9781474478045</v>
      </c>
      <c r="AI2261" t="s">
        <v>7523</v>
      </c>
      <c r="AL2261" t="s">
        <v>308</v>
      </c>
      <c r="AM2261">
        <v>1</v>
      </c>
      <c r="AN2261" s="2">
        <v>9781474478021</v>
      </c>
    </row>
    <row r="2262" spans="1:40" x14ac:dyDescent="0.3">
      <c r="A2262" t="s">
        <v>10842</v>
      </c>
      <c r="B2262" t="s">
        <v>1</v>
      </c>
      <c r="C2262" t="s">
        <v>10843</v>
      </c>
      <c r="D2262" t="s">
        <v>10844</v>
      </c>
      <c r="E2262" t="s">
        <v>10845</v>
      </c>
      <c r="F2262" t="s">
        <v>5</v>
      </c>
      <c r="G2262" t="s">
        <v>6</v>
      </c>
      <c r="L2262" t="s">
        <v>7</v>
      </c>
      <c r="M2262">
        <v>2013</v>
      </c>
      <c r="N2262" s="1">
        <v>41415</v>
      </c>
      <c r="O2262" t="s">
        <v>10846</v>
      </c>
      <c r="P2262">
        <v>1</v>
      </c>
      <c r="Q2262" t="s">
        <v>6606</v>
      </c>
      <c r="S2262">
        <v>227.95</v>
      </c>
      <c r="T2262">
        <v>260</v>
      </c>
      <c r="U2262">
        <v>200</v>
      </c>
      <c r="V2262" t="s">
        <v>79</v>
      </c>
      <c r="W2262" t="s">
        <v>783</v>
      </c>
      <c r="X2262" t="s">
        <v>783</v>
      </c>
      <c r="Y2262" t="s">
        <v>784</v>
      </c>
      <c r="AF2262" t="s">
        <v>13</v>
      </c>
      <c r="AG2262" t="str">
        <f>HYPERLINK("https://doi.org/10.1515/9780748669707?locatt=mode:legacy")</f>
        <v>https://doi.org/10.1515/9780748669707?locatt=mode:legacy</v>
      </c>
      <c r="AH2262" t="str">
        <f>HYPERLINK("http://www.degruyter.com/isbn/9780748669707")</f>
        <v>http://www.degruyter.com/isbn/9780748669707</v>
      </c>
      <c r="AI2262" t="s">
        <v>68</v>
      </c>
      <c r="AL2262" t="s">
        <v>83</v>
      </c>
      <c r="AM2262">
        <v>1</v>
      </c>
      <c r="AN2262" s="2">
        <v>9780748646449</v>
      </c>
    </row>
    <row r="2263" spans="1:40" x14ac:dyDescent="0.3">
      <c r="A2263" t="s">
        <v>10847</v>
      </c>
      <c r="B2263" t="s">
        <v>1</v>
      </c>
      <c r="C2263" t="s">
        <v>10848</v>
      </c>
      <c r="D2263" t="s">
        <v>10849</v>
      </c>
      <c r="E2263" t="s">
        <v>10850</v>
      </c>
      <c r="F2263" t="s">
        <v>5</v>
      </c>
      <c r="G2263" t="s">
        <v>6</v>
      </c>
      <c r="L2263" t="s">
        <v>7</v>
      </c>
      <c r="M2263">
        <v>2021</v>
      </c>
      <c r="N2263" s="1">
        <v>44656</v>
      </c>
      <c r="O2263" t="s">
        <v>10851</v>
      </c>
      <c r="P2263">
        <v>1</v>
      </c>
      <c r="Q2263" t="s">
        <v>6779</v>
      </c>
      <c r="S2263">
        <v>227.95</v>
      </c>
      <c r="T2263">
        <v>260</v>
      </c>
      <c r="U2263">
        <v>200</v>
      </c>
      <c r="V2263" t="s">
        <v>9</v>
      </c>
      <c r="W2263" t="s">
        <v>10</v>
      </c>
      <c r="X2263" t="s">
        <v>11</v>
      </c>
      <c r="Y2263" t="s">
        <v>52</v>
      </c>
      <c r="AF2263" t="s">
        <v>13</v>
      </c>
      <c r="AG2263" t="str">
        <f>HYPERLINK("https://doi.org/10.1515/9781474460866")</f>
        <v>https://doi.org/10.1515/9781474460866</v>
      </c>
      <c r="AH2263" t="str">
        <f>HYPERLINK("http://www.degruyter.com/isbn/9781474460866")</f>
        <v>http://www.degruyter.com/isbn/9781474460866</v>
      </c>
      <c r="AI2263" t="s">
        <v>908</v>
      </c>
      <c r="AJ2263" t="s">
        <v>35</v>
      </c>
      <c r="AL2263" t="s">
        <v>53</v>
      </c>
      <c r="AM2263">
        <v>1</v>
      </c>
      <c r="AN2263" s="2">
        <v>9781474460842</v>
      </c>
    </row>
    <row r="2264" spans="1:40" x14ac:dyDescent="0.3">
      <c r="A2264" t="s">
        <v>10852</v>
      </c>
      <c r="B2264" t="s">
        <v>1</v>
      </c>
      <c r="C2264" t="s">
        <v>10853</v>
      </c>
      <c r="D2264" t="s">
        <v>10854</v>
      </c>
      <c r="E2264" t="s">
        <v>10855</v>
      </c>
      <c r="F2264" t="s">
        <v>5</v>
      </c>
      <c r="G2264" t="s">
        <v>6</v>
      </c>
      <c r="L2264" t="s">
        <v>7</v>
      </c>
      <c r="M2264">
        <v>2016</v>
      </c>
      <c r="N2264" s="1">
        <v>42624</v>
      </c>
      <c r="O2264" t="s">
        <v>10856</v>
      </c>
      <c r="P2264">
        <v>1</v>
      </c>
      <c r="Q2264" t="s">
        <v>8702</v>
      </c>
      <c r="S2264">
        <v>253.95</v>
      </c>
      <c r="T2264">
        <v>290</v>
      </c>
      <c r="U2264">
        <v>220</v>
      </c>
      <c r="V2264" t="s">
        <v>42</v>
      </c>
      <c r="W2264" t="s">
        <v>740</v>
      </c>
      <c r="X2264" t="s">
        <v>741</v>
      </c>
      <c r="Y2264" t="s">
        <v>742</v>
      </c>
      <c r="AF2264" t="s">
        <v>13</v>
      </c>
      <c r="AG2264" t="str">
        <f>HYPERLINK("https://doi.org/10.1515/9780748691425")</f>
        <v>https://doi.org/10.1515/9780748691425</v>
      </c>
      <c r="AH2264" t="str">
        <f>HYPERLINK("http://www.degruyter.com/isbn/9780748691425")</f>
        <v>http://www.degruyter.com/isbn/9780748691425</v>
      </c>
      <c r="AI2264" t="s">
        <v>180</v>
      </c>
      <c r="AL2264" t="s">
        <v>47</v>
      </c>
      <c r="AM2264">
        <v>1</v>
      </c>
      <c r="AN2264" s="2">
        <v>9780748691401</v>
      </c>
    </row>
    <row r="2265" spans="1:40" x14ac:dyDescent="0.3">
      <c r="A2265" t="s">
        <v>10857</v>
      </c>
      <c r="B2265" t="s">
        <v>1</v>
      </c>
      <c r="C2265" t="s">
        <v>10858</v>
      </c>
      <c r="E2265" t="s">
        <v>10859</v>
      </c>
      <c r="F2265" t="s">
        <v>5</v>
      </c>
      <c r="G2265" t="s">
        <v>6</v>
      </c>
      <c r="L2265" t="s">
        <v>7</v>
      </c>
      <c r="M2265">
        <v>2013</v>
      </c>
      <c r="N2265" s="1">
        <v>41477</v>
      </c>
      <c r="O2265" t="s">
        <v>10860</v>
      </c>
      <c r="P2265">
        <v>1</v>
      </c>
      <c r="Q2265" t="s">
        <v>7283</v>
      </c>
      <c r="S2265">
        <v>217.95</v>
      </c>
      <c r="T2265">
        <v>250</v>
      </c>
      <c r="U2265">
        <v>190</v>
      </c>
      <c r="V2265" t="s">
        <v>42</v>
      </c>
      <c r="W2265" t="s">
        <v>43</v>
      </c>
      <c r="X2265" t="s">
        <v>44</v>
      </c>
      <c r="Y2265" t="s">
        <v>45</v>
      </c>
      <c r="AF2265" t="s">
        <v>13</v>
      </c>
      <c r="AG2265" t="str">
        <f>HYPERLINK("https://doi.org/10.1515/9780748678396")</f>
        <v>https://doi.org/10.1515/9780748678396</v>
      </c>
      <c r="AH2265" t="str">
        <f>HYPERLINK("http://www.degruyter.com/isbn/9780748678396")</f>
        <v>http://www.degruyter.com/isbn/9780748678396</v>
      </c>
      <c r="AI2265" t="s">
        <v>68</v>
      </c>
      <c r="AL2265" t="s">
        <v>47</v>
      </c>
      <c r="AM2265">
        <v>1</v>
      </c>
      <c r="AN2265" s="2">
        <v>9780748640720</v>
      </c>
    </row>
    <row r="2266" spans="1:40" x14ac:dyDescent="0.3">
      <c r="A2266" t="s">
        <v>10861</v>
      </c>
      <c r="B2266" t="s">
        <v>1</v>
      </c>
      <c r="C2266" t="s">
        <v>10862</v>
      </c>
      <c r="D2266" t="s">
        <v>9283</v>
      </c>
      <c r="E2266" t="s">
        <v>10863</v>
      </c>
      <c r="F2266" t="s">
        <v>5</v>
      </c>
      <c r="G2266" t="s">
        <v>6</v>
      </c>
      <c r="L2266" t="s">
        <v>7</v>
      </c>
      <c r="M2266">
        <v>2011</v>
      </c>
      <c r="N2266" s="1">
        <v>40731</v>
      </c>
      <c r="O2266" t="s">
        <v>10864</v>
      </c>
      <c r="P2266">
        <v>1</v>
      </c>
      <c r="Q2266" t="s">
        <v>9286</v>
      </c>
      <c r="S2266">
        <v>173.95</v>
      </c>
      <c r="T2266">
        <v>200</v>
      </c>
      <c r="U2266">
        <v>150</v>
      </c>
      <c r="V2266" t="s">
        <v>42</v>
      </c>
      <c r="W2266" t="s">
        <v>740</v>
      </c>
      <c r="X2266" t="s">
        <v>741</v>
      </c>
      <c r="Y2266" t="s">
        <v>742</v>
      </c>
      <c r="AF2266" t="s">
        <v>13</v>
      </c>
      <c r="AG2266" t="str">
        <f>HYPERLINK("https://doi.org/10.1515/9781474471749")</f>
        <v>https://doi.org/10.1515/9781474471749</v>
      </c>
      <c r="AH2266" t="str">
        <f>HYPERLINK("http://www.degruyter.com/isbn/9781474471749")</f>
        <v>http://www.degruyter.com/isbn/9781474471749</v>
      </c>
      <c r="AI2266" t="s">
        <v>3793</v>
      </c>
      <c r="AL2266" t="s">
        <v>47</v>
      </c>
      <c r="AM2266">
        <v>1</v>
      </c>
      <c r="AN2266" s="2">
        <v>9780748641109</v>
      </c>
    </row>
    <row r="2267" spans="1:40" x14ac:dyDescent="0.3">
      <c r="A2267" t="s">
        <v>10865</v>
      </c>
      <c r="B2267" t="s">
        <v>1</v>
      </c>
      <c r="C2267" t="s">
        <v>10866</v>
      </c>
      <c r="E2267" t="s">
        <v>10867</v>
      </c>
      <c r="F2267" t="s">
        <v>5</v>
      </c>
      <c r="G2267" t="s">
        <v>6</v>
      </c>
      <c r="L2267" t="s">
        <v>7</v>
      </c>
      <c r="M2267">
        <v>2000</v>
      </c>
      <c r="N2267" s="1">
        <v>44599</v>
      </c>
      <c r="O2267" t="s">
        <v>10868</v>
      </c>
      <c r="P2267">
        <v>1</v>
      </c>
      <c r="Q2267" t="s">
        <v>6418</v>
      </c>
      <c r="S2267">
        <v>217.95</v>
      </c>
      <c r="T2267">
        <v>250</v>
      </c>
      <c r="U2267">
        <v>190</v>
      </c>
      <c r="V2267" t="s">
        <v>42</v>
      </c>
      <c r="W2267" t="s">
        <v>116</v>
      </c>
      <c r="X2267" t="s">
        <v>116</v>
      </c>
      <c r="Y2267" t="s">
        <v>117</v>
      </c>
      <c r="AF2267" t="s">
        <v>13</v>
      </c>
      <c r="AG2267" t="str">
        <f>HYPERLINK("https://doi.org/10.1515/9781474465472")</f>
        <v>https://doi.org/10.1515/9781474465472</v>
      </c>
      <c r="AH2267" t="str">
        <f>HYPERLINK("http://www.degruyter.com/isbn/9781474465472")</f>
        <v>http://www.degruyter.com/isbn/9781474465472</v>
      </c>
      <c r="AI2267" t="s">
        <v>68</v>
      </c>
      <c r="AL2267" t="s">
        <v>47</v>
      </c>
      <c r="AM2267">
        <v>1</v>
      </c>
      <c r="AN2267" s="2">
        <v>9780748612079</v>
      </c>
    </row>
    <row r="2268" spans="1:40" x14ac:dyDescent="0.3">
      <c r="A2268" t="s">
        <v>10869</v>
      </c>
      <c r="B2268" t="s">
        <v>1</v>
      </c>
      <c r="C2268" t="s">
        <v>10870</v>
      </c>
      <c r="D2268" t="s">
        <v>10871</v>
      </c>
      <c r="E2268" t="s">
        <v>10872</v>
      </c>
      <c r="F2268" t="s">
        <v>5</v>
      </c>
      <c r="G2268" t="s">
        <v>6</v>
      </c>
      <c r="L2268" t="s">
        <v>7</v>
      </c>
      <c r="M2268">
        <v>2019</v>
      </c>
      <c r="N2268" s="1">
        <v>44656</v>
      </c>
      <c r="O2268" t="s">
        <v>10873</v>
      </c>
      <c r="P2268">
        <v>1</v>
      </c>
      <c r="Q2268" t="s">
        <v>7515</v>
      </c>
      <c r="S2268">
        <v>253.95</v>
      </c>
      <c r="T2268">
        <v>290</v>
      </c>
      <c r="U2268">
        <v>220</v>
      </c>
      <c r="V2268" t="s">
        <v>58</v>
      </c>
      <c r="W2268" t="s">
        <v>59</v>
      </c>
      <c r="X2268" t="s">
        <v>60</v>
      </c>
      <c r="Y2268" t="s">
        <v>5536</v>
      </c>
      <c r="AF2268" t="s">
        <v>13</v>
      </c>
      <c r="AG2268" t="str">
        <f>HYPERLINK("https://doi.org/10.1515/9781474455916")</f>
        <v>https://doi.org/10.1515/9781474455916</v>
      </c>
      <c r="AH2268" t="str">
        <f>HYPERLINK("http://www.degruyter.com/isbn/9781474455916")</f>
        <v>http://www.degruyter.com/isbn/9781474455916</v>
      </c>
      <c r="AI2268" t="s">
        <v>280</v>
      </c>
      <c r="AL2268" t="s">
        <v>62</v>
      </c>
      <c r="AM2268">
        <v>1</v>
      </c>
      <c r="AN2268" s="2">
        <v>9781474455893</v>
      </c>
    </row>
    <row r="2269" spans="1:40" x14ac:dyDescent="0.3">
      <c r="A2269" t="s">
        <v>10874</v>
      </c>
      <c r="B2269" t="s">
        <v>1</v>
      </c>
      <c r="C2269" t="s">
        <v>10875</v>
      </c>
      <c r="E2269" t="s">
        <v>10876</v>
      </c>
      <c r="F2269" t="s">
        <v>5</v>
      </c>
      <c r="G2269" t="s">
        <v>6</v>
      </c>
      <c r="L2269" t="s">
        <v>7</v>
      </c>
      <c r="M2269">
        <v>2009</v>
      </c>
      <c r="N2269" s="1">
        <v>40003</v>
      </c>
      <c r="O2269" t="s">
        <v>10877</v>
      </c>
      <c r="P2269">
        <v>1</v>
      </c>
      <c r="Q2269" t="s">
        <v>6723</v>
      </c>
      <c r="S2269">
        <v>253.95</v>
      </c>
      <c r="T2269">
        <v>290</v>
      </c>
      <c r="U2269">
        <v>220</v>
      </c>
      <c r="V2269" t="s">
        <v>79</v>
      </c>
      <c r="W2269" t="s">
        <v>209</v>
      </c>
      <c r="X2269" t="s">
        <v>209</v>
      </c>
      <c r="Y2269" t="s">
        <v>210</v>
      </c>
      <c r="AF2269" t="s">
        <v>13</v>
      </c>
      <c r="AG2269" t="str">
        <f>HYPERLINK("https://doi.org/10.1515/9780748629701")</f>
        <v>https://doi.org/10.1515/9780748629701</v>
      </c>
      <c r="AH2269" t="str">
        <f>HYPERLINK("http://www.degruyter.com/isbn/9780748629701")</f>
        <v>http://www.degruyter.com/isbn/9780748629701</v>
      </c>
      <c r="AI2269" t="s">
        <v>68</v>
      </c>
      <c r="AL2269" t="s">
        <v>83</v>
      </c>
      <c r="AM2269">
        <v>1</v>
      </c>
      <c r="AN2269" s="2">
        <v>9780748637126</v>
      </c>
    </row>
    <row r="2270" spans="1:40" x14ac:dyDescent="0.3">
      <c r="A2270" t="s">
        <v>10878</v>
      </c>
      <c r="B2270" t="s">
        <v>1</v>
      </c>
      <c r="C2270" t="s">
        <v>10879</v>
      </c>
      <c r="D2270" t="s">
        <v>10880</v>
      </c>
      <c r="E2270" t="s">
        <v>10881</v>
      </c>
      <c r="F2270" t="s">
        <v>5</v>
      </c>
      <c r="G2270" t="s">
        <v>6</v>
      </c>
      <c r="L2270" t="s">
        <v>7</v>
      </c>
      <c r="M2270">
        <v>2018</v>
      </c>
      <c r="N2270" s="1">
        <v>44656</v>
      </c>
      <c r="O2270" t="s">
        <v>10882</v>
      </c>
      <c r="P2270">
        <v>1</v>
      </c>
      <c r="S2270">
        <v>217.95</v>
      </c>
      <c r="T2270">
        <v>250</v>
      </c>
      <c r="U2270">
        <v>190</v>
      </c>
      <c r="V2270" t="s">
        <v>20</v>
      </c>
      <c r="W2270" t="s">
        <v>21</v>
      </c>
      <c r="X2270" t="s">
        <v>22</v>
      </c>
      <c r="Y2270" t="s">
        <v>23</v>
      </c>
      <c r="AF2270" t="s">
        <v>13</v>
      </c>
      <c r="AG2270" t="str">
        <f>HYPERLINK("https://doi.org/10.1515/9781474442404")</f>
        <v>https://doi.org/10.1515/9781474442404</v>
      </c>
      <c r="AH2270" t="str">
        <f>HYPERLINK("http://www.degruyter.com/isbn/9781474442404")</f>
        <v>http://www.degruyter.com/isbn/9781474442404</v>
      </c>
      <c r="AI2270" t="s">
        <v>46</v>
      </c>
      <c r="AL2270" t="s">
        <v>15</v>
      </c>
      <c r="AM2270">
        <v>1</v>
      </c>
      <c r="AN2270" s="2">
        <v>9781474442381</v>
      </c>
    </row>
    <row r="2271" spans="1:40" x14ac:dyDescent="0.3">
      <c r="A2271" t="s">
        <v>10883</v>
      </c>
      <c r="B2271" t="s">
        <v>1</v>
      </c>
      <c r="C2271" t="s">
        <v>10884</v>
      </c>
      <c r="E2271" t="s">
        <v>10885</v>
      </c>
      <c r="F2271" t="s">
        <v>5</v>
      </c>
      <c r="G2271" t="s">
        <v>6</v>
      </c>
      <c r="L2271" t="s">
        <v>7</v>
      </c>
      <c r="M2271">
        <v>2007</v>
      </c>
      <c r="N2271" s="1">
        <v>39381</v>
      </c>
      <c r="O2271" t="s">
        <v>10886</v>
      </c>
      <c r="P2271">
        <v>1</v>
      </c>
      <c r="Q2271" t="s">
        <v>7217</v>
      </c>
      <c r="S2271">
        <v>295.95</v>
      </c>
      <c r="T2271">
        <v>340</v>
      </c>
      <c r="U2271">
        <v>260</v>
      </c>
      <c r="V2271" t="s">
        <v>20</v>
      </c>
      <c r="W2271" t="s">
        <v>21</v>
      </c>
      <c r="X2271" t="s">
        <v>575</v>
      </c>
      <c r="Y2271" t="s">
        <v>576</v>
      </c>
      <c r="AF2271" t="s">
        <v>13</v>
      </c>
      <c r="AG2271" t="str">
        <f>HYPERLINK("https://doi.org/10.1515/9780748628216?locatt=mode:legacy")</f>
        <v>https://doi.org/10.1515/9780748628216?locatt=mode:legacy</v>
      </c>
      <c r="AH2271" t="str">
        <f>HYPERLINK("http://www.degruyter.com/isbn/9780748628216")</f>
        <v>http://www.degruyter.com/isbn/9780748628216</v>
      </c>
      <c r="AI2271" t="s">
        <v>68</v>
      </c>
      <c r="AL2271" t="s">
        <v>15</v>
      </c>
      <c r="AM2271">
        <v>1</v>
      </c>
      <c r="AN2271" s="2">
        <v>9780748612338</v>
      </c>
    </row>
    <row r="2272" spans="1:40" x14ac:dyDescent="0.3">
      <c r="A2272" t="s">
        <v>10887</v>
      </c>
      <c r="B2272" t="s">
        <v>1</v>
      </c>
      <c r="C2272" t="s">
        <v>10888</v>
      </c>
      <c r="E2272" t="s">
        <v>10889</v>
      </c>
      <c r="F2272" t="s">
        <v>5</v>
      </c>
      <c r="G2272" t="s">
        <v>6</v>
      </c>
      <c r="L2272" t="s">
        <v>7</v>
      </c>
      <c r="M2272">
        <v>2014</v>
      </c>
      <c r="N2272" s="1">
        <v>41722</v>
      </c>
      <c r="O2272" t="s">
        <v>10890</v>
      </c>
      <c r="P2272">
        <v>1</v>
      </c>
      <c r="Q2272" t="s">
        <v>7973</v>
      </c>
      <c r="S2272">
        <v>261.95</v>
      </c>
      <c r="T2272">
        <v>300</v>
      </c>
      <c r="U2272">
        <v>230</v>
      </c>
      <c r="V2272" t="s">
        <v>329</v>
      </c>
      <c r="W2272" t="s">
        <v>330</v>
      </c>
      <c r="X2272" t="s">
        <v>331</v>
      </c>
      <c r="Y2272" t="s">
        <v>4770</v>
      </c>
      <c r="AF2272" t="s">
        <v>13</v>
      </c>
      <c r="AG2272" t="str">
        <f>HYPERLINK("https://doi.org/10.1515/9780748680115")</f>
        <v>https://doi.org/10.1515/9780748680115</v>
      </c>
      <c r="AH2272" t="str">
        <f>HYPERLINK("http://www.degruyter.com/isbn/9780748680115")</f>
        <v>http://www.degruyter.com/isbn/9780748680115</v>
      </c>
      <c r="AI2272" t="s">
        <v>34</v>
      </c>
      <c r="AL2272" t="s">
        <v>333</v>
      </c>
      <c r="AM2272">
        <v>1</v>
      </c>
      <c r="AN2272" s="2">
        <v>9780748680108</v>
      </c>
    </row>
    <row r="2273" spans="1:40" x14ac:dyDescent="0.3">
      <c r="A2273" t="s">
        <v>10891</v>
      </c>
      <c r="B2273" t="s">
        <v>1</v>
      </c>
      <c r="C2273" t="s">
        <v>10892</v>
      </c>
      <c r="D2273" t="s">
        <v>10893</v>
      </c>
      <c r="E2273" t="s">
        <v>10894</v>
      </c>
      <c r="F2273" t="s">
        <v>5</v>
      </c>
      <c r="G2273" t="s">
        <v>6</v>
      </c>
      <c r="L2273" t="s">
        <v>7</v>
      </c>
      <c r="M2273">
        <v>2006</v>
      </c>
      <c r="N2273" s="1">
        <v>38799</v>
      </c>
      <c r="O2273" t="s">
        <v>1601</v>
      </c>
      <c r="P2273">
        <v>1</v>
      </c>
      <c r="S2273">
        <v>261.95</v>
      </c>
      <c r="T2273">
        <v>300</v>
      </c>
      <c r="U2273">
        <v>230</v>
      </c>
      <c r="V2273" t="s">
        <v>9</v>
      </c>
      <c r="W2273" t="s">
        <v>10</v>
      </c>
      <c r="X2273" t="s">
        <v>11</v>
      </c>
      <c r="Y2273" t="s">
        <v>12</v>
      </c>
      <c r="AF2273" t="s">
        <v>13</v>
      </c>
      <c r="AG2273" t="str">
        <f>HYPERLINK("https://doi.org/10.1515/9780748626618")</f>
        <v>https://doi.org/10.1515/9780748626618</v>
      </c>
      <c r="AH2273" t="str">
        <f>HYPERLINK("http://www.degruyter.com/isbn/9780748626618")</f>
        <v>http://www.degruyter.com/isbn/9780748626618</v>
      </c>
      <c r="AI2273" t="s">
        <v>68</v>
      </c>
      <c r="AL2273" t="s">
        <v>15</v>
      </c>
      <c r="AM2273">
        <v>1</v>
      </c>
      <c r="AN2273" s="2">
        <v>9780748621071</v>
      </c>
    </row>
    <row r="2274" spans="1:40" x14ac:dyDescent="0.3">
      <c r="A2274" t="s">
        <v>10895</v>
      </c>
      <c r="B2274" t="s">
        <v>1</v>
      </c>
      <c r="C2274" t="s">
        <v>10896</v>
      </c>
      <c r="D2274" t="s">
        <v>10897</v>
      </c>
      <c r="E2274" t="s">
        <v>10898</v>
      </c>
      <c r="F2274" t="s">
        <v>5</v>
      </c>
      <c r="G2274" t="s">
        <v>6</v>
      </c>
      <c r="L2274" t="s">
        <v>7</v>
      </c>
      <c r="M2274">
        <v>2019</v>
      </c>
      <c r="N2274" s="1">
        <v>44644</v>
      </c>
      <c r="O2274" t="s">
        <v>3770</v>
      </c>
      <c r="P2274">
        <v>1</v>
      </c>
      <c r="S2274">
        <v>243.95</v>
      </c>
      <c r="T2274">
        <v>280</v>
      </c>
      <c r="U2274">
        <v>210</v>
      </c>
      <c r="V2274" t="s">
        <v>20</v>
      </c>
      <c r="W2274" t="s">
        <v>21</v>
      </c>
      <c r="X2274" t="s">
        <v>22</v>
      </c>
      <c r="Y2274" t="s">
        <v>23</v>
      </c>
      <c r="AF2274" t="s">
        <v>13</v>
      </c>
      <c r="AG2274" t="str">
        <f>HYPERLINK("https://doi.org/10.1515/9781474454919")</f>
        <v>https://doi.org/10.1515/9781474454919</v>
      </c>
      <c r="AH2274" t="str">
        <f>HYPERLINK("http://www.degruyter.com/isbn/9781474454919")</f>
        <v>http://www.degruyter.com/isbn/9781474454919</v>
      </c>
      <c r="AI2274" t="s">
        <v>280</v>
      </c>
      <c r="AL2274" t="s">
        <v>15</v>
      </c>
      <c r="AM2274">
        <v>1</v>
      </c>
      <c r="AN2274" s="2">
        <v>9781474454896</v>
      </c>
    </row>
    <row r="2275" spans="1:40" x14ac:dyDescent="0.3">
      <c r="A2275" t="s">
        <v>10899</v>
      </c>
      <c r="B2275" t="s">
        <v>1</v>
      </c>
      <c r="C2275" t="s">
        <v>10900</v>
      </c>
      <c r="E2275" t="s">
        <v>10901</v>
      </c>
      <c r="F2275" t="s">
        <v>5</v>
      </c>
      <c r="G2275" t="s">
        <v>6</v>
      </c>
      <c r="L2275" t="s">
        <v>7</v>
      </c>
      <c r="M2275">
        <v>2008</v>
      </c>
      <c r="N2275" s="1">
        <v>39500</v>
      </c>
      <c r="O2275" t="s">
        <v>10902</v>
      </c>
      <c r="P2275">
        <v>1</v>
      </c>
      <c r="Q2275" t="s">
        <v>7481</v>
      </c>
      <c r="S2275">
        <v>227.95</v>
      </c>
      <c r="T2275">
        <v>260</v>
      </c>
      <c r="U2275">
        <v>200</v>
      </c>
      <c r="V2275" t="s">
        <v>187</v>
      </c>
      <c r="W2275" t="s">
        <v>187</v>
      </c>
      <c r="X2275" t="s">
        <v>187</v>
      </c>
      <c r="Y2275" t="s">
        <v>9727</v>
      </c>
      <c r="AF2275" t="s">
        <v>13</v>
      </c>
      <c r="AG2275" t="str">
        <f>HYPERLINK("https://doi.org/10.1515/9780748631193")</f>
        <v>https://doi.org/10.1515/9780748631193</v>
      </c>
      <c r="AH2275" t="str">
        <f>HYPERLINK("http://www.degruyter.com/isbn/9780748631193")</f>
        <v>http://www.degruyter.com/isbn/9780748631193</v>
      </c>
      <c r="AI2275" t="s">
        <v>68</v>
      </c>
      <c r="AL2275" t="s">
        <v>190</v>
      </c>
      <c r="AM2275">
        <v>1</v>
      </c>
      <c r="AN2275" s="2">
        <v>9780748625772</v>
      </c>
    </row>
    <row r="2276" spans="1:40" x14ac:dyDescent="0.3">
      <c r="A2276" t="s">
        <v>10903</v>
      </c>
      <c r="B2276" t="s">
        <v>1</v>
      </c>
      <c r="C2276" t="s">
        <v>10904</v>
      </c>
      <c r="D2276" t="s">
        <v>10905</v>
      </c>
      <c r="E2276" t="s">
        <v>10906</v>
      </c>
      <c r="F2276" t="s">
        <v>5</v>
      </c>
      <c r="G2276" t="s">
        <v>6</v>
      </c>
      <c r="L2276" t="s">
        <v>7</v>
      </c>
      <c r="M2276">
        <v>2013</v>
      </c>
      <c r="N2276" s="1">
        <v>41338</v>
      </c>
      <c r="O2276" t="s">
        <v>10907</v>
      </c>
      <c r="P2276">
        <v>1</v>
      </c>
      <c r="Q2276" t="s">
        <v>7529</v>
      </c>
      <c r="S2276">
        <v>253.95</v>
      </c>
      <c r="T2276">
        <v>290</v>
      </c>
      <c r="U2276">
        <v>220</v>
      </c>
      <c r="V2276" t="s">
        <v>329</v>
      </c>
      <c r="W2276" t="s">
        <v>330</v>
      </c>
      <c r="X2276" t="s">
        <v>331</v>
      </c>
      <c r="Y2276" t="s">
        <v>1035</v>
      </c>
      <c r="AF2276" t="s">
        <v>13</v>
      </c>
      <c r="AG2276" t="str">
        <f>HYPERLINK("https://doi.org/10.1515/9780748629022")</f>
        <v>https://doi.org/10.1515/9780748629022</v>
      </c>
      <c r="AH2276" t="str">
        <f>HYPERLINK("http://www.degruyter.com/isbn/9780748629022")</f>
        <v>http://www.degruyter.com/isbn/9780748629022</v>
      </c>
      <c r="AI2276" t="s">
        <v>68</v>
      </c>
      <c r="AL2276" t="s">
        <v>333</v>
      </c>
      <c r="AM2276">
        <v>1</v>
      </c>
      <c r="AN2276" s="2">
        <v>9780748619443</v>
      </c>
    </row>
    <row r="2277" spans="1:40" x14ac:dyDescent="0.3">
      <c r="A2277" t="s">
        <v>10908</v>
      </c>
      <c r="B2277" t="s">
        <v>1</v>
      </c>
      <c r="C2277" t="s">
        <v>10909</v>
      </c>
      <c r="E2277" t="s">
        <v>10910</v>
      </c>
      <c r="F2277" t="s">
        <v>5</v>
      </c>
      <c r="G2277" t="s">
        <v>6</v>
      </c>
      <c r="L2277" t="s">
        <v>7</v>
      </c>
      <c r="M2277">
        <v>2010</v>
      </c>
      <c r="N2277" s="1">
        <v>40365</v>
      </c>
      <c r="O2277" t="s">
        <v>10911</v>
      </c>
      <c r="P2277">
        <v>1</v>
      </c>
      <c r="Q2277" t="s">
        <v>7047</v>
      </c>
      <c r="S2277">
        <v>209.95</v>
      </c>
      <c r="T2277">
        <v>240</v>
      </c>
      <c r="U2277">
        <v>180</v>
      </c>
      <c r="V2277" t="s">
        <v>42</v>
      </c>
      <c r="W2277" t="s">
        <v>107</v>
      </c>
      <c r="X2277" t="s">
        <v>108</v>
      </c>
      <c r="Y2277" t="s">
        <v>109</v>
      </c>
      <c r="AF2277" t="s">
        <v>13</v>
      </c>
      <c r="AG2277" t="str">
        <f>HYPERLINK("https://doi.org/10.1515/9780748637706")</f>
        <v>https://doi.org/10.1515/9780748637706</v>
      </c>
      <c r="AH2277" t="str">
        <f>HYPERLINK("http://www.degruyter.com/isbn/9780748637706")</f>
        <v>http://www.degruyter.com/isbn/9780748637706</v>
      </c>
      <c r="AI2277" t="s">
        <v>68</v>
      </c>
      <c r="AL2277" t="s">
        <v>47</v>
      </c>
      <c r="AM2277">
        <v>1</v>
      </c>
      <c r="AN2277" s="2">
        <v>9780748637683</v>
      </c>
    </row>
    <row r="2278" spans="1:40" x14ac:dyDescent="0.3">
      <c r="A2278" t="s">
        <v>10912</v>
      </c>
      <c r="B2278" t="s">
        <v>1</v>
      </c>
      <c r="C2278" t="s">
        <v>10913</v>
      </c>
      <c r="D2278" t="s">
        <v>10914</v>
      </c>
      <c r="E2278" t="s">
        <v>10915</v>
      </c>
      <c r="F2278" t="s">
        <v>5</v>
      </c>
      <c r="G2278" t="s">
        <v>6</v>
      </c>
      <c r="L2278" t="s">
        <v>7</v>
      </c>
      <c r="M2278">
        <v>2005</v>
      </c>
      <c r="N2278" s="1">
        <v>38447</v>
      </c>
      <c r="O2278" t="s">
        <v>10916</v>
      </c>
      <c r="P2278">
        <v>1</v>
      </c>
      <c r="Q2278" t="s">
        <v>7174</v>
      </c>
      <c r="S2278">
        <v>253.95</v>
      </c>
      <c r="T2278">
        <v>290</v>
      </c>
      <c r="U2278">
        <v>220</v>
      </c>
      <c r="V2278" t="s">
        <v>42</v>
      </c>
      <c r="W2278" t="s">
        <v>116</v>
      </c>
      <c r="X2278" t="s">
        <v>116</v>
      </c>
      <c r="Y2278" t="s">
        <v>117</v>
      </c>
      <c r="AF2278" t="s">
        <v>13</v>
      </c>
      <c r="AG2278" t="str">
        <f>HYPERLINK("https://doi.org/10.1515/9781474465786")</f>
        <v>https://doi.org/10.1515/9781474465786</v>
      </c>
      <c r="AH2278" t="str">
        <f>HYPERLINK("http://www.degruyter.com/isbn/9781474465786")</f>
        <v>http://www.degruyter.com/isbn/9781474465786</v>
      </c>
      <c r="AI2278" t="s">
        <v>68</v>
      </c>
      <c r="AL2278" t="s">
        <v>47</v>
      </c>
      <c r="AM2278">
        <v>1</v>
      </c>
      <c r="AN2278" s="2">
        <v>9780748619290</v>
      </c>
    </row>
    <row r="2279" spans="1:40" x14ac:dyDescent="0.3">
      <c r="A2279" t="s">
        <v>10917</v>
      </c>
      <c r="B2279" t="s">
        <v>1</v>
      </c>
      <c r="C2279" t="s">
        <v>6983</v>
      </c>
      <c r="D2279" t="s">
        <v>10918</v>
      </c>
      <c r="E2279" t="s">
        <v>6985</v>
      </c>
      <c r="F2279" t="s">
        <v>5</v>
      </c>
      <c r="G2279" t="s">
        <v>6</v>
      </c>
      <c r="L2279" t="s">
        <v>7</v>
      </c>
      <c r="M2279">
        <v>2016</v>
      </c>
      <c r="N2279" s="1">
        <v>42419</v>
      </c>
      <c r="O2279" t="s">
        <v>10919</v>
      </c>
      <c r="P2279">
        <v>1</v>
      </c>
      <c r="Q2279" t="s">
        <v>7655</v>
      </c>
      <c r="S2279">
        <v>227.95</v>
      </c>
      <c r="T2279">
        <v>260</v>
      </c>
      <c r="U2279">
        <v>200</v>
      </c>
      <c r="V2279" t="s">
        <v>9</v>
      </c>
      <c r="W2279" t="s">
        <v>10</v>
      </c>
      <c r="X2279" t="s">
        <v>11</v>
      </c>
      <c r="Y2279" t="s">
        <v>52</v>
      </c>
      <c r="AF2279" t="s">
        <v>13</v>
      </c>
      <c r="AG2279" t="str">
        <f>HYPERLINK("https://www.degruyter.com/isbn/9781474404624")</f>
        <v>https://www.degruyter.com/isbn/9781474404624</v>
      </c>
      <c r="AH2279" t="str">
        <f>HYPERLINK("http://www.degruyter.com/isbn/9781474404624")</f>
        <v>http://www.degruyter.com/isbn/9781474404624</v>
      </c>
      <c r="AI2279" t="s">
        <v>180</v>
      </c>
      <c r="AL2279" t="s">
        <v>15</v>
      </c>
      <c r="AM2279">
        <v>1</v>
      </c>
      <c r="AN2279" s="2">
        <v>9781474404617</v>
      </c>
    </row>
    <row r="2280" spans="1:40" x14ac:dyDescent="0.3">
      <c r="A2280" t="s">
        <v>10920</v>
      </c>
      <c r="B2280" t="s">
        <v>1</v>
      </c>
      <c r="C2280" t="s">
        <v>10921</v>
      </c>
      <c r="D2280" t="s">
        <v>10922</v>
      </c>
      <c r="E2280" t="s">
        <v>10923</v>
      </c>
      <c r="F2280" t="s">
        <v>5</v>
      </c>
      <c r="G2280" t="s">
        <v>6</v>
      </c>
      <c r="L2280" t="s">
        <v>7</v>
      </c>
      <c r="M2280">
        <v>1999</v>
      </c>
      <c r="N2280" s="1">
        <v>44607</v>
      </c>
      <c r="O2280" t="s">
        <v>10924</v>
      </c>
      <c r="P2280">
        <v>1</v>
      </c>
      <c r="Q2280" t="s">
        <v>6929</v>
      </c>
      <c r="S2280">
        <v>217.95</v>
      </c>
      <c r="T2280">
        <v>250</v>
      </c>
      <c r="U2280">
        <v>190</v>
      </c>
      <c r="V2280" t="s">
        <v>89</v>
      </c>
      <c r="W2280" t="s">
        <v>90</v>
      </c>
      <c r="X2280" t="s">
        <v>10925</v>
      </c>
      <c r="Y2280" t="s">
        <v>10926</v>
      </c>
      <c r="AF2280" t="s">
        <v>13</v>
      </c>
      <c r="AG2280" t="str">
        <f>HYPERLINK("https://doi.org/10.1515/9781474470803")</f>
        <v>https://doi.org/10.1515/9781474470803</v>
      </c>
      <c r="AH2280" t="str">
        <f>HYPERLINK("http://www.degruyter.com/isbn/9781474470803")</f>
        <v>http://www.degruyter.com/isbn/9781474470803</v>
      </c>
      <c r="AI2280" t="s">
        <v>24</v>
      </c>
      <c r="AL2280" t="s">
        <v>83</v>
      </c>
      <c r="AM2280">
        <v>1</v>
      </c>
      <c r="AN2280" s="2">
        <v>9780748611300</v>
      </c>
    </row>
    <row r="2281" spans="1:40" x14ac:dyDescent="0.3">
      <c r="A2281" t="s">
        <v>10927</v>
      </c>
      <c r="B2281" t="s">
        <v>1</v>
      </c>
      <c r="C2281" t="s">
        <v>10928</v>
      </c>
      <c r="E2281" t="s">
        <v>10929</v>
      </c>
      <c r="F2281" t="s">
        <v>5</v>
      </c>
      <c r="G2281" t="s">
        <v>6</v>
      </c>
      <c r="L2281" t="s">
        <v>7</v>
      </c>
      <c r="M2281">
        <v>2004</v>
      </c>
      <c r="N2281" s="1">
        <v>44634</v>
      </c>
      <c r="O2281" t="s">
        <v>10064</v>
      </c>
      <c r="P2281">
        <v>1</v>
      </c>
      <c r="Q2281" t="s">
        <v>6815</v>
      </c>
      <c r="S2281">
        <v>217.95</v>
      </c>
      <c r="T2281">
        <v>250</v>
      </c>
      <c r="U2281">
        <v>190</v>
      </c>
      <c r="V2281" t="s">
        <v>20</v>
      </c>
      <c r="W2281" t="s">
        <v>21</v>
      </c>
      <c r="X2281" t="s">
        <v>3445</v>
      </c>
      <c r="Y2281" t="s">
        <v>3446</v>
      </c>
      <c r="AF2281" t="s">
        <v>13</v>
      </c>
      <c r="AG2281" t="str">
        <f>HYPERLINK("https://doi.org/10.1515/9781474471305")</f>
        <v>https://doi.org/10.1515/9781474471305</v>
      </c>
      <c r="AH2281" t="str">
        <f>HYPERLINK("http://www.degruyter.com/isbn/9781474471305")</f>
        <v>http://www.degruyter.com/isbn/9781474471305</v>
      </c>
      <c r="AI2281" t="s">
        <v>68</v>
      </c>
      <c r="AJ2281" t="s">
        <v>35</v>
      </c>
      <c r="AL2281" t="s">
        <v>1346</v>
      </c>
      <c r="AM2281">
        <v>1</v>
      </c>
      <c r="AN2281" s="2">
        <v>9780748615933</v>
      </c>
    </row>
    <row r="2282" spans="1:40" x14ac:dyDescent="0.3">
      <c r="A2282" t="s">
        <v>10930</v>
      </c>
      <c r="B2282" t="s">
        <v>1</v>
      </c>
      <c r="C2282" t="s">
        <v>10931</v>
      </c>
      <c r="D2282" t="s">
        <v>27</v>
      </c>
      <c r="E2282" t="s">
        <v>10932</v>
      </c>
      <c r="F2282" t="s">
        <v>5</v>
      </c>
      <c r="G2282" t="s">
        <v>6</v>
      </c>
      <c r="L2282" t="s">
        <v>7</v>
      </c>
      <c r="M2282">
        <v>2002</v>
      </c>
      <c r="N2282" s="1">
        <v>44719</v>
      </c>
      <c r="O2282" t="s">
        <v>10933</v>
      </c>
      <c r="P2282">
        <v>1</v>
      </c>
      <c r="S2282">
        <v>217.95</v>
      </c>
      <c r="T2282">
        <v>250</v>
      </c>
      <c r="U2282">
        <v>190</v>
      </c>
      <c r="V2282" t="s">
        <v>58</v>
      </c>
      <c r="W2282" t="s">
        <v>59</v>
      </c>
      <c r="X2282" t="s">
        <v>60</v>
      </c>
      <c r="Y2282" t="s">
        <v>169</v>
      </c>
      <c r="AF2282" t="s">
        <v>13</v>
      </c>
      <c r="AG2282" t="str">
        <f>HYPERLINK("https://doi.org/10.1515/9781474468213")</f>
        <v>https://doi.org/10.1515/9781474468213</v>
      </c>
      <c r="AH2282" t="str">
        <f>HYPERLINK("http://www.degruyter.com/isbn/9781474468213")</f>
        <v>http://www.degruyter.com/isbn/9781474468213</v>
      </c>
      <c r="AI2282" t="s">
        <v>68</v>
      </c>
      <c r="AL2282" t="s">
        <v>62</v>
      </c>
      <c r="AM2282">
        <v>1</v>
      </c>
      <c r="AN2282" s="2">
        <v>9780748612963</v>
      </c>
    </row>
    <row r="2283" spans="1:40" x14ac:dyDescent="0.3">
      <c r="A2283" t="s">
        <v>10934</v>
      </c>
      <c r="B2283" t="s">
        <v>1</v>
      </c>
      <c r="C2283" t="s">
        <v>10935</v>
      </c>
      <c r="D2283" t="s">
        <v>10936</v>
      </c>
      <c r="E2283" t="s">
        <v>10937</v>
      </c>
      <c r="F2283" t="s">
        <v>5</v>
      </c>
      <c r="G2283" t="s">
        <v>6</v>
      </c>
      <c r="L2283" t="s">
        <v>7</v>
      </c>
      <c r="M2283">
        <v>1995</v>
      </c>
      <c r="N2283" s="1">
        <v>44607</v>
      </c>
      <c r="O2283" t="s">
        <v>7565</v>
      </c>
      <c r="P2283">
        <v>1</v>
      </c>
      <c r="Q2283" t="s">
        <v>6528</v>
      </c>
      <c r="S2283">
        <v>217.95</v>
      </c>
      <c r="T2283">
        <v>250</v>
      </c>
      <c r="U2283">
        <v>190</v>
      </c>
      <c r="V2283" t="s">
        <v>20</v>
      </c>
      <c r="W2283" t="s">
        <v>21</v>
      </c>
      <c r="X2283" t="s">
        <v>22</v>
      </c>
      <c r="Y2283" t="s">
        <v>23</v>
      </c>
      <c r="AF2283" t="s">
        <v>13</v>
      </c>
      <c r="AG2283" t="str">
        <f>HYPERLINK("https://doi.org/10.1515/9781474470612")</f>
        <v>https://doi.org/10.1515/9781474470612</v>
      </c>
      <c r="AH2283" t="str">
        <f>HYPERLINK("http://www.degruyter.com/isbn/9781474470612")</f>
        <v>http://www.degruyter.com/isbn/9781474470612</v>
      </c>
      <c r="AI2283" t="s">
        <v>24</v>
      </c>
      <c r="AL2283" t="s">
        <v>15</v>
      </c>
      <c r="AM2283">
        <v>1</v>
      </c>
      <c r="AN2283" s="2">
        <v>9780748605101</v>
      </c>
    </row>
    <row r="2284" spans="1:40" x14ac:dyDescent="0.3">
      <c r="A2284" t="s">
        <v>10938</v>
      </c>
      <c r="B2284" t="s">
        <v>1</v>
      </c>
      <c r="C2284" t="s">
        <v>8039</v>
      </c>
      <c r="D2284" t="s">
        <v>10939</v>
      </c>
      <c r="E2284" t="s">
        <v>8041</v>
      </c>
      <c r="F2284" t="s">
        <v>5</v>
      </c>
      <c r="G2284" t="s">
        <v>6</v>
      </c>
      <c r="L2284" t="s">
        <v>7</v>
      </c>
      <c r="M2284">
        <v>2017</v>
      </c>
      <c r="N2284" s="1">
        <v>43682</v>
      </c>
      <c r="O2284" t="s">
        <v>10940</v>
      </c>
      <c r="P2284">
        <v>1</v>
      </c>
      <c r="Q2284" t="s">
        <v>8043</v>
      </c>
      <c r="S2284">
        <v>217.95</v>
      </c>
      <c r="T2284">
        <v>250</v>
      </c>
      <c r="U2284">
        <v>190</v>
      </c>
      <c r="V2284" t="s">
        <v>20</v>
      </c>
      <c r="W2284" t="s">
        <v>21</v>
      </c>
      <c r="X2284" t="s">
        <v>22</v>
      </c>
      <c r="Y2284" t="s">
        <v>23</v>
      </c>
      <c r="AF2284" t="s">
        <v>13</v>
      </c>
      <c r="AG2284" t="str">
        <f>HYPERLINK("https://doi.org/10.1515/9781474470438")</f>
        <v>https://doi.org/10.1515/9781474470438</v>
      </c>
      <c r="AH2284" t="str">
        <f>HYPERLINK("http://www.degruyter.com/isbn/9781474470438")</f>
        <v>http://www.degruyter.com/isbn/9781474470438</v>
      </c>
      <c r="AI2284" t="s">
        <v>222</v>
      </c>
      <c r="AL2284" t="s">
        <v>15</v>
      </c>
      <c r="AM2284">
        <v>1</v>
      </c>
      <c r="AN2284" s="2">
        <v>9781474424370</v>
      </c>
    </row>
    <row r="2285" spans="1:40" x14ac:dyDescent="0.3">
      <c r="A2285" t="s">
        <v>10941</v>
      </c>
      <c r="B2285" t="s">
        <v>1</v>
      </c>
      <c r="C2285" t="s">
        <v>10942</v>
      </c>
      <c r="E2285" t="s">
        <v>10943</v>
      </c>
      <c r="F2285" t="s">
        <v>5</v>
      </c>
      <c r="G2285" t="s">
        <v>6</v>
      </c>
      <c r="L2285" t="s">
        <v>7</v>
      </c>
      <c r="M2285">
        <v>2006</v>
      </c>
      <c r="N2285" s="1">
        <v>38852</v>
      </c>
      <c r="O2285" t="s">
        <v>5098</v>
      </c>
      <c r="P2285">
        <v>1</v>
      </c>
      <c r="S2285">
        <v>487.95</v>
      </c>
      <c r="T2285">
        <v>560</v>
      </c>
      <c r="U2285">
        <v>430</v>
      </c>
      <c r="V2285" t="s">
        <v>305</v>
      </c>
      <c r="W2285" t="s">
        <v>2566</v>
      </c>
      <c r="X2285" t="s">
        <v>10944</v>
      </c>
      <c r="Y2285" t="s">
        <v>10945</v>
      </c>
      <c r="AF2285" t="s">
        <v>13</v>
      </c>
      <c r="AG2285" t="str">
        <f>HYPERLINK("https://doi.org/10.1515/9781474464475")</f>
        <v>https://doi.org/10.1515/9781474464475</v>
      </c>
      <c r="AH2285" t="str">
        <f>HYPERLINK("http://www.degruyter.com/isbn/9781474464475")</f>
        <v>http://www.degruyter.com/isbn/9781474464475</v>
      </c>
      <c r="AI2285" t="s">
        <v>68</v>
      </c>
      <c r="AL2285" t="s">
        <v>308</v>
      </c>
      <c r="AM2285">
        <v>1</v>
      </c>
      <c r="AN2285" s="2">
        <v>9780748612123</v>
      </c>
    </row>
    <row r="2286" spans="1:40" x14ac:dyDescent="0.3">
      <c r="A2286" t="s">
        <v>10946</v>
      </c>
      <c r="B2286" t="s">
        <v>1</v>
      </c>
      <c r="C2286" t="s">
        <v>10947</v>
      </c>
      <c r="E2286" t="s">
        <v>10948</v>
      </c>
      <c r="F2286" t="s">
        <v>5</v>
      </c>
      <c r="G2286" t="s">
        <v>6</v>
      </c>
      <c r="L2286" t="s">
        <v>7</v>
      </c>
      <c r="M2286">
        <v>2013</v>
      </c>
      <c r="N2286" s="1">
        <v>41325</v>
      </c>
      <c r="O2286" t="s">
        <v>10949</v>
      </c>
      <c r="P2286">
        <v>1</v>
      </c>
      <c r="Q2286" t="s">
        <v>7362</v>
      </c>
      <c r="S2286">
        <v>243.95</v>
      </c>
      <c r="T2286">
        <v>280</v>
      </c>
      <c r="U2286">
        <v>210</v>
      </c>
      <c r="V2286" t="s">
        <v>58</v>
      </c>
      <c r="W2286" t="s">
        <v>59</v>
      </c>
      <c r="X2286" t="s">
        <v>60</v>
      </c>
      <c r="Y2286" t="s">
        <v>145</v>
      </c>
      <c r="AF2286" t="s">
        <v>13</v>
      </c>
      <c r="AG2286" t="str">
        <f>HYPERLINK("https://doi.org/10.1515/9780748644728?locatt=mode:legacy")</f>
        <v>https://doi.org/10.1515/9780748644728?locatt=mode:legacy</v>
      </c>
      <c r="AH2286" t="str">
        <f>HYPERLINK("http://www.degruyter.com/isbn/9780748644728")</f>
        <v>http://www.degruyter.com/isbn/9780748644728</v>
      </c>
      <c r="AI2286" t="s">
        <v>68</v>
      </c>
      <c r="AL2286" t="s">
        <v>62</v>
      </c>
      <c r="AM2286">
        <v>1</v>
      </c>
      <c r="AN2286" s="2">
        <v>9780748644711</v>
      </c>
    </row>
    <row r="2287" spans="1:40" x14ac:dyDescent="0.3">
      <c r="A2287" t="s">
        <v>10950</v>
      </c>
      <c r="B2287" t="s">
        <v>1</v>
      </c>
      <c r="C2287" t="s">
        <v>10951</v>
      </c>
      <c r="D2287" t="s">
        <v>10952</v>
      </c>
      <c r="E2287" t="s">
        <v>10953</v>
      </c>
      <c r="F2287" t="s">
        <v>5</v>
      </c>
      <c r="G2287" t="s">
        <v>6</v>
      </c>
      <c r="L2287" t="s">
        <v>7</v>
      </c>
      <c r="M2287">
        <v>2003</v>
      </c>
      <c r="N2287" s="1">
        <v>44719</v>
      </c>
      <c r="O2287" t="s">
        <v>1002</v>
      </c>
      <c r="P2287">
        <v>1</v>
      </c>
      <c r="S2287">
        <v>217.95</v>
      </c>
      <c r="T2287">
        <v>250</v>
      </c>
      <c r="U2287">
        <v>190</v>
      </c>
      <c r="V2287" t="s">
        <v>58</v>
      </c>
      <c r="W2287" t="s">
        <v>59</v>
      </c>
      <c r="X2287" t="s">
        <v>60</v>
      </c>
      <c r="Y2287" t="s">
        <v>772</v>
      </c>
      <c r="AF2287" t="s">
        <v>13</v>
      </c>
      <c r="AG2287" t="str">
        <f>HYPERLINK("https://doi.org/10.1515/9781474467902")</f>
        <v>https://doi.org/10.1515/9781474467902</v>
      </c>
      <c r="AH2287" t="str">
        <f>HYPERLINK("http://www.degruyter.com/isbn/9781474467902")</f>
        <v>http://www.degruyter.com/isbn/9781474467902</v>
      </c>
      <c r="AI2287" t="s">
        <v>68</v>
      </c>
      <c r="AL2287" t="s">
        <v>62</v>
      </c>
      <c r="AM2287">
        <v>1</v>
      </c>
      <c r="AN2287" s="2">
        <v>9780748617814</v>
      </c>
    </row>
    <row r="2288" spans="1:40" x14ac:dyDescent="0.3">
      <c r="A2288" t="s">
        <v>10954</v>
      </c>
      <c r="B2288" t="s">
        <v>1</v>
      </c>
      <c r="C2288" t="s">
        <v>10955</v>
      </c>
      <c r="D2288" t="s">
        <v>10956</v>
      </c>
      <c r="E2288" t="s">
        <v>10957</v>
      </c>
      <c r="F2288" t="s">
        <v>5</v>
      </c>
      <c r="G2288" t="s">
        <v>6</v>
      </c>
      <c r="L2288" t="s">
        <v>7</v>
      </c>
      <c r="M2288">
        <v>2002</v>
      </c>
      <c r="N2288" s="1">
        <v>44607</v>
      </c>
      <c r="O2288" t="s">
        <v>1839</v>
      </c>
      <c r="P2288">
        <v>1</v>
      </c>
      <c r="S2288">
        <v>217.95</v>
      </c>
      <c r="T2288">
        <v>250</v>
      </c>
      <c r="U2288">
        <v>190</v>
      </c>
      <c r="V2288" t="s">
        <v>20</v>
      </c>
      <c r="W2288" t="s">
        <v>556</v>
      </c>
      <c r="X2288" t="s">
        <v>1731</v>
      </c>
      <c r="Y2288" t="s">
        <v>1732</v>
      </c>
      <c r="AF2288" t="s">
        <v>13</v>
      </c>
      <c r="AG2288" t="str">
        <f>HYPERLINK("https://doi.org/10.1515/9781474472081")</f>
        <v>https://doi.org/10.1515/9781474472081</v>
      </c>
      <c r="AH2288" t="str">
        <f>HYPERLINK("http://www.degruyter.com/isbn/9781474472081")</f>
        <v>http://www.degruyter.com/isbn/9781474472081</v>
      </c>
      <c r="AI2288" t="s">
        <v>68</v>
      </c>
      <c r="AL2288" t="s">
        <v>15</v>
      </c>
      <c r="AM2288">
        <v>1</v>
      </c>
      <c r="AN2288" s="2">
        <v>9781902930299</v>
      </c>
    </row>
    <row r="2289" spans="1:40" x14ac:dyDescent="0.3">
      <c r="A2289" t="s">
        <v>10958</v>
      </c>
      <c r="B2289" t="s">
        <v>1</v>
      </c>
      <c r="C2289" t="s">
        <v>10959</v>
      </c>
      <c r="D2289" t="s">
        <v>10960</v>
      </c>
      <c r="E2289" t="s">
        <v>10961</v>
      </c>
      <c r="F2289" t="s">
        <v>5</v>
      </c>
      <c r="G2289" t="s">
        <v>6</v>
      </c>
      <c r="L2289" t="s">
        <v>7</v>
      </c>
      <c r="M2289">
        <v>2017</v>
      </c>
      <c r="N2289" s="1">
        <v>42911</v>
      </c>
      <c r="O2289" t="s">
        <v>10962</v>
      </c>
      <c r="P2289">
        <v>1</v>
      </c>
      <c r="Q2289" t="s">
        <v>7973</v>
      </c>
      <c r="S2289">
        <v>261.95</v>
      </c>
      <c r="T2289">
        <v>300</v>
      </c>
      <c r="U2289">
        <v>230</v>
      </c>
      <c r="V2289" t="s">
        <v>329</v>
      </c>
      <c r="W2289" t="s">
        <v>330</v>
      </c>
      <c r="X2289" t="s">
        <v>331</v>
      </c>
      <c r="Y2289" t="s">
        <v>4770</v>
      </c>
      <c r="AF2289" t="s">
        <v>13</v>
      </c>
      <c r="AG2289" t="str">
        <f>HYPERLINK("https://doi.org/10.1515/9781474403801?locatt=mode:legacy")</f>
        <v>https://doi.org/10.1515/9781474403801?locatt=mode:legacy</v>
      </c>
      <c r="AH2289" t="str">
        <f>HYPERLINK("http://www.degruyter.com/isbn/9781474403801")</f>
        <v>http://www.degruyter.com/isbn/9781474403801</v>
      </c>
      <c r="AI2289" t="s">
        <v>222</v>
      </c>
      <c r="AL2289" t="s">
        <v>333</v>
      </c>
      <c r="AM2289">
        <v>1</v>
      </c>
      <c r="AN2289" s="2">
        <v>9781474403795</v>
      </c>
    </row>
    <row r="2290" spans="1:40" x14ac:dyDescent="0.3">
      <c r="A2290" t="s">
        <v>10963</v>
      </c>
      <c r="B2290" t="s">
        <v>1</v>
      </c>
      <c r="C2290" t="s">
        <v>10964</v>
      </c>
      <c r="E2290" t="s">
        <v>10965</v>
      </c>
      <c r="F2290" t="s">
        <v>5</v>
      </c>
      <c r="G2290" t="s">
        <v>6</v>
      </c>
      <c r="L2290" t="s">
        <v>7</v>
      </c>
      <c r="M2290">
        <v>2008</v>
      </c>
      <c r="N2290" s="1">
        <v>39534</v>
      </c>
      <c r="O2290" t="s">
        <v>10966</v>
      </c>
      <c r="P2290">
        <v>1</v>
      </c>
      <c r="Q2290" t="s">
        <v>6644</v>
      </c>
      <c r="S2290">
        <v>227.95</v>
      </c>
      <c r="T2290">
        <v>260</v>
      </c>
      <c r="U2290">
        <v>200</v>
      </c>
      <c r="V2290" t="s">
        <v>20</v>
      </c>
      <c r="W2290" t="s">
        <v>470</v>
      </c>
      <c r="X2290" t="s">
        <v>1269</v>
      </c>
      <c r="Y2290" t="s">
        <v>1705</v>
      </c>
      <c r="AF2290" t="s">
        <v>13</v>
      </c>
      <c r="AG2290" t="str">
        <f>HYPERLINK("https://doi.org/10.1515/9780748630349")</f>
        <v>https://doi.org/10.1515/9780748630349</v>
      </c>
      <c r="AH2290" t="str">
        <f>HYPERLINK("http://www.degruyter.com/isbn/9780748630349")</f>
        <v>http://www.degruyter.com/isbn/9780748630349</v>
      </c>
      <c r="AI2290" t="s">
        <v>68</v>
      </c>
      <c r="AL2290" t="s">
        <v>15</v>
      </c>
      <c r="AM2290">
        <v>1</v>
      </c>
      <c r="AN2290" s="2">
        <v>9780748624126</v>
      </c>
    </row>
    <row r="2291" spans="1:40" x14ac:dyDescent="0.3">
      <c r="A2291" t="s">
        <v>10967</v>
      </c>
      <c r="B2291" t="s">
        <v>1</v>
      </c>
      <c r="C2291" t="s">
        <v>10968</v>
      </c>
      <c r="E2291" t="s">
        <v>10969</v>
      </c>
      <c r="F2291" t="s">
        <v>5</v>
      </c>
      <c r="G2291" t="s">
        <v>6</v>
      </c>
      <c r="L2291" t="s">
        <v>7</v>
      </c>
      <c r="M2291">
        <v>2006</v>
      </c>
      <c r="N2291" s="1">
        <v>38909</v>
      </c>
      <c r="O2291" t="s">
        <v>10970</v>
      </c>
      <c r="P2291">
        <v>1</v>
      </c>
      <c r="Q2291" t="s">
        <v>6723</v>
      </c>
      <c r="S2291">
        <v>253.95</v>
      </c>
      <c r="T2291">
        <v>290</v>
      </c>
      <c r="U2291">
        <v>220</v>
      </c>
      <c r="V2291" t="s">
        <v>79</v>
      </c>
      <c r="W2291" t="s">
        <v>209</v>
      </c>
      <c r="X2291" t="s">
        <v>209</v>
      </c>
      <c r="Y2291" t="s">
        <v>510</v>
      </c>
      <c r="AF2291" t="s">
        <v>13</v>
      </c>
      <c r="AG2291" t="str">
        <f>HYPERLINK("https://doi.org/10.1515/9780748627233")</f>
        <v>https://doi.org/10.1515/9780748627233</v>
      </c>
      <c r="AH2291" t="str">
        <f>HYPERLINK("http://www.degruyter.com/isbn/9780748627233")</f>
        <v>http://www.degruyter.com/isbn/9780748627233</v>
      </c>
      <c r="AI2291" t="s">
        <v>68</v>
      </c>
      <c r="AL2291" t="s">
        <v>83</v>
      </c>
      <c r="AM2291">
        <v>1</v>
      </c>
      <c r="AN2291" s="2">
        <v>9780748622153</v>
      </c>
    </row>
    <row r="2292" spans="1:40" x14ac:dyDescent="0.3">
      <c r="A2292" t="s">
        <v>10971</v>
      </c>
      <c r="B2292" t="s">
        <v>1</v>
      </c>
      <c r="C2292" t="s">
        <v>10972</v>
      </c>
      <c r="E2292" t="s">
        <v>10973</v>
      </c>
      <c r="F2292" t="s">
        <v>5</v>
      </c>
      <c r="G2292" t="s">
        <v>6</v>
      </c>
      <c r="L2292" t="s">
        <v>7</v>
      </c>
      <c r="M2292">
        <v>2016</v>
      </c>
      <c r="N2292" s="1">
        <v>42541</v>
      </c>
      <c r="O2292" t="s">
        <v>10974</v>
      </c>
      <c r="P2292">
        <v>1</v>
      </c>
      <c r="Q2292" t="s">
        <v>7095</v>
      </c>
      <c r="S2292">
        <v>253.95</v>
      </c>
      <c r="T2292">
        <v>290</v>
      </c>
      <c r="U2292">
        <v>220</v>
      </c>
      <c r="V2292" t="s">
        <v>79</v>
      </c>
      <c r="W2292" t="s">
        <v>123</v>
      </c>
      <c r="X2292" t="s">
        <v>123</v>
      </c>
      <c r="Y2292" t="s">
        <v>124</v>
      </c>
      <c r="AF2292" t="s">
        <v>13</v>
      </c>
      <c r="AG2292" t="str">
        <f>HYPERLINK("https://doi.org/10.1515/9781474402651")</f>
        <v>https://doi.org/10.1515/9781474402651</v>
      </c>
      <c r="AH2292" t="str">
        <f>HYPERLINK("http://www.degruyter.com/isbn/9781474402651")</f>
        <v>http://www.degruyter.com/isbn/9781474402651</v>
      </c>
      <c r="AI2292" t="s">
        <v>180</v>
      </c>
      <c r="AJ2292" t="s">
        <v>35</v>
      </c>
      <c r="AL2292" t="s">
        <v>718</v>
      </c>
      <c r="AM2292">
        <v>1</v>
      </c>
      <c r="AN2292" s="2">
        <v>9781474402637</v>
      </c>
    </row>
    <row r="2293" spans="1:40" x14ac:dyDescent="0.3">
      <c r="A2293" t="s">
        <v>10975</v>
      </c>
      <c r="B2293" t="s">
        <v>1</v>
      </c>
      <c r="C2293" t="s">
        <v>10976</v>
      </c>
      <c r="D2293" t="s">
        <v>10977</v>
      </c>
      <c r="E2293" t="s">
        <v>10978</v>
      </c>
      <c r="F2293" t="s">
        <v>5</v>
      </c>
      <c r="G2293" t="s">
        <v>6</v>
      </c>
      <c r="L2293" t="s">
        <v>7</v>
      </c>
      <c r="M2293">
        <v>2021</v>
      </c>
      <c r="N2293" s="1">
        <v>44644</v>
      </c>
      <c r="O2293" t="s">
        <v>10979</v>
      </c>
      <c r="P2293">
        <v>1</v>
      </c>
      <c r="Q2293" t="s">
        <v>7102</v>
      </c>
      <c r="S2293">
        <v>217.95</v>
      </c>
      <c r="T2293">
        <v>250</v>
      </c>
      <c r="U2293">
        <v>190</v>
      </c>
      <c r="V2293" t="s">
        <v>268</v>
      </c>
      <c r="W2293" t="s">
        <v>269</v>
      </c>
      <c r="X2293" t="s">
        <v>269</v>
      </c>
      <c r="Y2293" t="s">
        <v>360</v>
      </c>
      <c r="AF2293" t="s">
        <v>13</v>
      </c>
      <c r="AG2293" t="str">
        <f>HYPERLINK("https://doi.org/10.1515/9781474457590")</f>
        <v>https://doi.org/10.1515/9781474457590</v>
      </c>
      <c r="AH2293" t="str">
        <f>HYPERLINK("http://www.degruyter.com/isbn/9781474457590")</f>
        <v>http://www.degruyter.com/isbn/9781474457590</v>
      </c>
      <c r="AI2293" t="s">
        <v>1971</v>
      </c>
      <c r="AJ2293" t="s">
        <v>35</v>
      </c>
      <c r="AL2293" t="s">
        <v>36</v>
      </c>
      <c r="AM2293">
        <v>1</v>
      </c>
      <c r="AN2293" s="2">
        <v>9781474457576</v>
      </c>
    </row>
    <row r="2294" spans="1:40" x14ac:dyDescent="0.3">
      <c r="A2294" t="s">
        <v>10980</v>
      </c>
      <c r="B2294" t="s">
        <v>1</v>
      </c>
      <c r="C2294" t="s">
        <v>10981</v>
      </c>
      <c r="E2294" t="s">
        <v>10982</v>
      </c>
      <c r="F2294" t="s">
        <v>5</v>
      </c>
      <c r="G2294" t="s">
        <v>6</v>
      </c>
      <c r="L2294" t="s">
        <v>7</v>
      </c>
      <c r="M2294">
        <v>1994</v>
      </c>
      <c r="N2294" s="1">
        <v>44607</v>
      </c>
      <c r="O2294" t="s">
        <v>10983</v>
      </c>
      <c r="P2294">
        <v>1</v>
      </c>
      <c r="Q2294" t="s">
        <v>6923</v>
      </c>
      <c r="S2294">
        <v>217.95</v>
      </c>
      <c r="T2294">
        <v>250</v>
      </c>
      <c r="U2294">
        <v>190</v>
      </c>
      <c r="V2294" t="s">
        <v>89</v>
      </c>
      <c r="W2294" t="s">
        <v>90</v>
      </c>
      <c r="X2294" t="s">
        <v>91</v>
      </c>
      <c r="Y2294" t="s">
        <v>92</v>
      </c>
      <c r="AF2294" t="s">
        <v>13</v>
      </c>
      <c r="AG2294" t="str">
        <f>HYPERLINK("https://doi.org/10.1515/9781474465892")</f>
        <v>https://doi.org/10.1515/9781474465892</v>
      </c>
      <c r="AH2294" t="str">
        <f>HYPERLINK("http://www.degruyter.com/isbn/9781474465892")</f>
        <v>http://www.degruyter.com/isbn/9781474465892</v>
      </c>
      <c r="AI2294" t="s">
        <v>24</v>
      </c>
      <c r="AL2294" t="s">
        <v>83</v>
      </c>
      <c r="AM2294">
        <v>1</v>
      </c>
      <c r="AN2294" s="2">
        <v>9780748605149</v>
      </c>
    </row>
    <row r="2295" spans="1:40" x14ac:dyDescent="0.3">
      <c r="A2295" t="s">
        <v>10984</v>
      </c>
      <c r="B2295" t="s">
        <v>1</v>
      </c>
      <c r="C2295" t="s">
        <v>10985</v>
      </c>
      <c r="E2295" t="s">
        <v>10986</v>
      </c>
      <c r="F2295" t="s">
        <v>5</v>
      </c>
      <c r="G2295" t="s">
        <v>6</v>
      </c>
      <c r="L2295" t="s">
        <v>7</v>
      </c>
      <c r="M2295">
        <v>2003</v>
      </c>
      <c r="N2295" s="1">
        <v>44607</v>
      </c>
      <c r="O2295" t="s">
        <v>798</v>
      </c>
      <c r="P2295">
        <v>1</v>
      </c>
      <c r="Q2295" t="s">
        <v>10987</v>
      </c>
      <c r="S2295">
        <v>217.95</v>
      </c>
      <c r="T2295">
        <v>250</v>
      </c>
      <c r="U2295">
        <v>190</v>
      </c>
      <c r="V2295" t="s">
        <v>58</v>
      </c>
      <c r="W2295" t="s">
        <v>59</v>
      </c>
      <c r="X2295" t="s">
        <v>60</v>
      </c>
      <c r="Y2295" t="s">
        <v>8200</v>
      </c>
      <c r="AF2295" t="s">
        <v>13</v>
      </c>
      <c r="AG2295" t="str">
        <f>HYPERLINK("https://doi.org/10.1515/9781474468466")</f>
        <v>https://doi.org/10.1515/9781474468466</v>
      </c>
      <c r="AH2295" t="str">
        <f>HYPERLINK("http://www.degruyter.com/isbn/9781474468466")</f>
        <v>http://www.degruyter.com/isbn/9781474468466</v>
      </c>
      <c r="AI2295" t="s">
        <v>68</v>
      </c>
      <c r="AL2295" t="s">
        <v>62</v>
      </c>
      <c r="AM2295">
        <v>1</v>
      </c>
      <c r="AN2295" s="2">
        <v>9780748616145</v>
      </c>
    </row>
    <row r="2296" spans="1:40" x14ac:dyDescent="0.3">
      <c r="A2296" t="s">
        <v>10988</v>
      </c>
      <c r="B2296" t="s">
        <v>1</v>
      </c>
      <c r="C2296" t="s">
        <v>10989</v>
      </c>
      <c r="E2296" t="s">
        <v>10990</v>
      </c>
      <c r="F2296" t="s">
        <v>5</v>
      </c>
      <c r="G2296" t="s">
        <v>6</v>
      </c>
      <c r="L2296" t="s">
        <v>7</v>
      </c>
      <c r="M2296">
        <v>2018</v>
      </c>
      <c r="N2296" s="1">
        <v>44644</v>
      </c>
      <c r="O2296" t="s">
        <v>10991</v>
      </c>
      <c r="P2296">
        <v>1</v>
      </c>
      <c r="Q2296" t="s">
        <v>6876</v>
      </c>
      <c r="S2296">
        <v>253.95</v>
      </c>
      <c r="T2296">
        <v>290</v>
      </c>
      <c r="U2296">
        <v>220</v>
      </c>
      <c r="V2296" t="s">
        <v>42</v>
      </c>
      <c r="W2296" t="s">
        <v>116</v>
      </c>
      <c r="X2296" t="s">
        <v>116</v>
      </c>
      <c r="Y2296" t="s">
        <v>117</v>
      </c>
      <c r="AF2296" t="s">
        <v>13</v>
      </c>
      <c r="AG2296" t="str">
        <f>HYPERLINK("https://doi.org/10.1515/9781474415422?locatt=mode:legacy")</f>
        <v>https://doi.org/10.1515/9781474415422?locatt=mode:legacy</v>
      </c>
      <c r="AH2296" t="str">
        <f>HYPERLINK("http://www.degruyter.com/isbn/9781474415422")</f>
        <v>http://www.degruyter.com/isbn/9781474415422</v>
      </c>
      <c r="AI2296" t="s">
        <v>46</v>
      </c>
      <c r="AL2296" t="s">
        <v>47</v>
      </c>
      <c r="AM2296">
        <v>1</v>
      </c>
      <c r="AN2296" s="2">
        <v>9781474415415</v>
      </c>
    </row>
    <row r="2297" spans="1:40" x14ac:dyDescent="0.3">
      <c r="A2297" t="s">
        <v>10992</v>
      </c>
      <c r="B2297" t="s">
        <v>1</v>
      </c>
      <c r="C2297" t="s">
        <v>10993</v>
      </c>
      <c r="D2297" t="s">
        <v>5690</v>
      </c>
      <c r="E2297" t="s">
        <v>10994</v>
      </c>
      <c r="F2297" t="s">
        <v>5</v>
      </c>
      <c r="G2297" t="s">
        <v>6</v>
      </c>
      <c r="L2297" t="s">
        <v>7</v>
      </c>
      <c r="M2297">
        <v>2015</v>
      </c>
      <c r="N2297" s="1">
        <v>42324</v>
      </c>
      <c r="O2297" t="s">
        <v>10995</v>
      </c>
      <c r="P2297">
        <v>1</v>
      </c>
      <c r="Q2297" t="s">
        <v>5693</v>
      </c>
      <c r="S2297">
        <v>227.95</v>
      </c>
      <c r="T2297">
        <v>260</v>
      </c>
      <c r="U2297">
        <v>200</v>
      </c>
      <c r="V2297" t="s">
        <v>42</v>
      </c>
      <c r="W2297" t="s">
        <v>107</v>
      </c>
      <c r="X2297" t="s">
        <v>108</v>
      </c>
      <c r="Y2297" t="s">
        <v>109</v>
      </c>
      <c r="AF2297" t="s">
        <v>13</v>
      </c>
      <c r="AG2297" t="str">
        <f>HYPERLINK("https://doi.org/10.1515/9780748696758")</f>
        <v>https://doi.org/10.1515/9780748696758</v>
      </c>
      <c r="AH2297" t="str">
        <f>HYPERLINK("http://www.degruyter.com/isbn/9780748696758")</f>
        <v>http://www.degruyter.com/isbn/9780748696758</v>
      </c>
      <c r="AI2297" t="s">
        <v>34</v>
      </c>
      <c r="AL2297" t="s">
        <v>47</v>
      </c>
      <c r="AM2297">
        <v>1</v>
      </c>
      <c r="AN2297" s="2">
        <v>9780748696741</v>
      </c>
    </row>
    <row r="2298" spans="1:40" x14ac:dyDescent="0.3">
      <c r="A2298" t="s">
        <v>10996</v>
      </c>
      <c r="B2298" t="s">
        <v>1</v>
      </c>
      <c r="C2298" t="s">
        <v>10997</v>
      </c>
      <c r="E2298" t="s">
        <v>10998</v>
      </c>
      <c r="F2298" t="s">
        <v>5</v>
      </c>
      <c r="G2298" t="s">
        <v>6</v>
      </c>
      <c r="L2298" t="s">
        <v>7</v>
      </c>
      <c r="M2298">
        <v>2010</v>
      </c>
      <c r="N2298" s="1">
        <v>40237</v>
      </c>
      <c r="O2298" t="s">
        <v>10999</v>
      </c>
      <c r="P2298">
        <v>1</v>
      </c>
      <c r="Q2298" t="s">
        <v>7027</v>
      </c>
      <c r="S2298">
        <v>217.95</v>
      </c>
      <c r="T2298">
        <v>250</v>
      </c>
      <c r="U2298">
        <v>190</v>
      </c>
      <c r="V2298" t="s">
        <v>98</v>
      </c>
      <c r="W2298" t="s">
        <v>99</v>
      </c>
      <c r="X2298" t="s">
        <v>100</v>
      </c>
      <c r="Y2298" t="s">
        <v>101</v>
      </c>
      <c r="AF2298" t="s">
        <v>13</v>
      </c>
      <c r="AG2298" t="str">
        <f>HYPERLINK("https://doi.org/10.1515/9780748631414?locatt=mode:legacy")</f>
        <v>https://doi.org/10.1515/9780748631414?locatt=mode:legacy</v>
      </c>
      <c r="AH2298" t="str">
        <f>HYPERLINK("http://www.degruyter.com/isbn/9780748631414")</f>
        <v>http://www.degruyter.com/isbn/9780748631414</v>
      </c>
      <c r="AI2298" t="s">
        <v>1661</v>
      </c>
      <c r="AL2298" t="s">
        <v>102</v>
      </c>
      <c r="AM2298">
        <v>1</v>
      </c>
      <c r="AN2298" s="2">
        <v>9780748626168</v>
      </c>
    </row>
    <row r="2299" spans="1:40" x14ac:dyDescent="0.3">
      <c r="A2299" t="s">
        <v>11000</v>
      </c>
      <c r="B2299" t="s">
        <v>1</v>
      </c>
      <c r="C2299" t="s">
        <v>11001</v>
      </c>
      <c r="D2299" t="s">
        <v>11002</v>
      </c>
      <c r="E2299" t="s">
        <v>11003</v>
      </c>
      <c r="F2299" t="s">
        <v>5</v>
      </c>
      <c r="G2299" t="s">
        <v>6</v>
      </c>
      <c r="L2299" t="s">
        <v>7</v>
      </c>
      <c r="M2299">
        <v>2011</v>
      </c>
      <c r="N2299" s="1">
        <v>40816</v>
      </c>
      <c r="O2299" t="s">
        <v>8749</v>
      </c>
      <c r="P2299">
        <v>1</v>
      </c>
      <c r="Q2299" t="s">
        <v>8750</v>
      </c>
      <c r="S2299">
        <v>217.95</v>
      </c>
      <c r="T2299">
        <v>250</v>
      </c>
      <c r="U2299">
        <v>190</v>
      </c>
      <c r="V2299" t="s">
        <v>42</v>
      </c>
      <c r="W2299" t="s">
        <v>116</v>
      </c>
      <c r="X2299" t="s">
        <v>116</v>
      </c>
      <c r="Y2299" t="s">
        <v>117</v>
      </c>
      <c r="AF2299" t="s">
        <v>13</v>
      </c>
      <c r="AG2299" t="str">
        <f>HYPERLINK("https://doi.org/10.1515/9781474465861")</f>
        <v>https://doi.org/10.1515/9781474465861</v>
      </c>
      <c r="AH2299" t="str">
        <f>HYPERLINK("http://www.degruyter.com/isbn/9781474465861")</f>
        <v>http://www.degruyter.com/isbn/9781474465861</v>
      </c>
      <c r="AI2299" t="s">
        <v>68</v>
      </c>
      <c r="AL2299" t="s">
        <v>47</v>
      </c>
      <c r="AM2299">
        <v>1</v>
      </c>
      <c r="AN2299" s="2">
        <v>9780748684724</v>
      </c>
    </row>
    <row r="2300" spans="1:40" x14ac:dyDescent="0.3">
      <c r="A2300" t="s">
        <v>11004</v>
      </c>
      <c r="B2300" t="s">
        <v>1</v>
      </c>
      <c r="C2300" t="s">
        <v>11005</v>
      </c>
      <c r="E2300" t="s">
        <v>11006</v>
      </c>
      <c r="F2300" t="s">
        <v>5</v>
      </c>
      <c r="G2300" t="s">
        <v>6</v>
      </c>
      <c r="L2300" t="s">
        <v>7</v>
      </c>
      <c r="M2300">
        <v>2005</v>
      </c>
      <c r="N2300" s="1">
        <v>38636</v>
      </c>
      <c r="O2300" t="s">
        <v>11007</v>
      </c>
      <c r="P2300">
        <v>1</v>
      </c>
      <c r="Q2300" t="s">
        <v>8317</v>
      </c>
      <c r="S2300">
        <v>227.95</v>
      </c>
      <c r="T2300">
        <v>260</v>
      </c>
      <c r="U2300">
        <v>200</v>
      </c>
      <c r="V2300" t="s">
        <v>58</v>
      </c>
      <c r="W2300" t="s">
        <v>129</v>
      </c>
      <c r="X2300" t="s">
        <v>1290</v>
      </c>
      <c r="Y2300" t="s">
        <v>11008</v>
      </c>
      <c r="AF2300" t="s">
        <v>13</v>
      </c>
      <c r="AG2300" t="str">
        <f>HYPERLINK("https://doi.org/10.1515/9780748626229")</f>
        <v>https://doi.org/10.1515/9780748626229</v>
      </c>
      <c r="AH2300" t="str">
        <f>HYPERLINK("http://www.degruyter.com/isbn/9780748626229")</f>
        <v>http://www.degruyter.com/isbn/9780748626229</v>
      </c>
      <c r="AI2300" t="s">
        <v>68</v>
      </c>
      <c r="AL2300" t="s">
        <v>62</v>
      </c>
      <c r="AM2300">
        <v>1</v>
      </c>
      <c r="AN2300" s="2">
        <v>9780748619573</v>
      </c>
    </row>
    <row r="2301" spans="1:40" x14ac:dyDescent="0.3">
      <c r="A2301" t="s">
        <v>11009</v>
      </c>
      <c r="B2301" t="s">
        <v>1</v>
      </c>
      <c r="C2301" t="s">
        <v>6983</v>
      </c>
      <c r="D2301" t="s">
        <v>11010</v>
      </c>
      <c r="E2301" t="s">
        <v>6985</v>
      </c>
      <c r="F2301" t="s">
        <v>5</v>
      </c>
      <c r="G2301" t="s">
        <v>6</v>
      </c>
      <c r="L2301" t="s">
        <v>7</v>
      </c>
      <c r="M2301">
        <v>2015</v>
      </c>
      <c r="N2301" s="1">
        <v>42285</v>
      </c>
      <c r="O2301" t="s">
        <v>11011</v>
      </c>
      <c r="P2301">
        <v>1</v>
      </c>
      <c r="Q2301" t="s">
        <v>7655</v>
      </c>
      <c r="S2301">
        <v>227.95</v>
      </c>
      <c r="T2301">
        <v>260</v>
      </c>
      <c r="U2301">
        <v>200</v>
      </c>
      <c r="V2301" t="s">
        <v>9</v>
      </c>
      <c r="W2301" t="s">
        <v>10</v>
      </c>
      <c r="X2301" t="s">
        <v>11</v>
      </c>
      <c r="Y2301" t="s">
        <v>52</v>
      </c>
      <c r="AF2301" t="s">
        <v>13</v>
      </c>
      <c r="AG2301" t="str">
        <f>HYPERLINK("https://www.degruyter.com/isbn/9781474406567")</f>
        <v>https://www.degruyter.com/isbn/9781474406567</v>
      </c>
      <c r="AH2301" t="str">
        <f>HYPERLINK("http://www.degruyter.com/isbn/9781474406567")</f>
        <v>http://www.degruyter.com/isbn/9781474406567</v>
      </c>
      <c r="AI2301" t="s">
        <v>34</v>
      </c>
      <c r="AL2301" t="s">
        <v>15</v>
      </c>
      <c r="AM2301">
        <v>1</v>
      </c>
      <c r="AN2301" s="2">
        <v>9781474406550</v>
      </c>
    </row>
    <row r="2302" spans="1:40" x14ac:dyDescent="0.3">
      <c r="A2302" t="s">
        <v>11012</v>
      </c>
      <c r="B2302" t="s">
        <v>1</v>
      </c>
      <c r="C2302" t="s">
        <v>11013</v>
      </c>
      <c r="D2302" t="s">
        <v>11014</v>
      </c>
      <c r="E2302" t="s">
        <v>11015</v>
      </c>
      <c r="F2302" t="s">
        <v>5</v>
      </c>
      <c r="G2302" t="s">
        <v>6</v>
      </c>
      <c r="L2302" t="s">
        <v>7</v>
      </c>
      <c r="M2302">
        <v>2012</v>
      </c>
      <c r="N2302" s="1">
        <v>40975</v>
      </c>
      <c r="O2302" t="s">
        <v>11016</v>
      </c>
      <c r="P2302">
        <v>1</v>
      </c>
      <c r="Q2302" t="s">
        <v>7529</v>
      </c>
      <c r="S2302">
        <v>287.95</v>
      </c>
      <c r="T2302">
        <v>330</v>
      </c>
      <c r="U2302">
        <v>250</v>
      </c>
      <c r="V2302" t="s">
        <v>329</v>
      </c>
      <c r="W2302" t="s">
        <v>330</v>
      </c>
      <c r="X2302" t="s">
        <v>331</v>
      </c>
      <c r="Y2302" t="s">
        <v>1035</v>
      </c>
      <c r="AF2302" t="s">
        <v>13</v>
      </c>
      <c r="AG2302" t="str">
        <f>HYPERLINK("https://doi.org/10.1515/9780748629213")</f>
        <v>https://doi.org/10.1515/9780748629213</v>
      </c>
      <c r="AH2302" t="str">
        <f>HYPERLINK("http://www.degruyter.com/isbn/9780748629213")</f>
        <v>http://www.degruyter.com/isbn/9780748629213</v>
      </c>
      <c r="AI2302" t="s">
        <v>68</v>
      </c>
      <c r="AL2302" t="s">
        <v>333</v>
      </c>
      <c r="AM2302">
        <v>1</v>
      </c>
      <c r="AN2302" s="2">
        <v>9780748620524</v>
      </c>
    </row>
    <row r="2303" spans="1:40" x14ac:dyDescent="0.3">
      <c r="A2303" t="s">
        <v>11017</v>
      </c>
      <c r="B2303" t="s">
        <v>1</v>
      </c>
      <c r="C2303" t="s">
        <v>11018</v>
      </c>
      <c r="E2303" t="s">
        <v>11019</v>
      </c>
      <c r="F2303" t="s">
        <v>5</v>
      </c>
      <c r="G2303" t="s">
        <v>6</v>
      </c>
      <c r="L2303" t="s">
        <v>7</v>
      </c>
      <c r="M2303">
        <v>2012</v>
      </c>
      <c r="N2303" s="1">
        <v>41191</v>
      </c>
      <c r="O2303" t="s">
        <v>11020</v>
      </c>
      <c r="P2303">
        <v>1</v>
      </c>
      <c r="Q2303" t="s">
        <v>6665</v>
      </c>
      <c r="S2303">
        <v>217.95</v>
      </c>
      <c r="T2303">
        <v>250</v>
      </c>
      <c r="U2303">
        <v>190</v>
      </c>
      <c r="V2303" t="s">
        <v>9</v>
      </c>
      <c r="W2303" t="s">
        <v>10</v>
      </c>
      <c r="X2303" t="s">
        <v>11</v>
      </c>
      <c r="Y2303" t="s">
        <v>12</v>
      </c>
      <c r="AF2303" t="s">
        <v>13</v>
      </c>
      <c r="AG2303" t="str">
        <f>HYPERLINK("https://doi.org/10.1515/9780748650736")</f>
        <v>https://doi.org/10.1515/9780748650736</v>
      </c>
      <c r="AH2303" t="str">
        <f>HYPERLINK("http://www.degruyter.com/isbn/9780748650736")</f>
        <v>http://www.degruyter.com/isbn/9780748650736</v>
      </c>
      <c r="AI2303" t="s">
        <v>68</v>
      </c>
      <c r="AL2303" t="s">
        <v>15</v>
      </c>
      <c r="AM2303">
        <v>1</v>
      </c>
      <c r="AN2303" s="2">
        <v>9780748640546</v>
      </c>
    </row>
    <row r="2304" spans="1:40" x14ac:dyDescent="0.3">
      <c r="A2304" t="s">
        <v>11021</v>
      </c>
      <c r="B2304" t="s">
        <v>1</v>
      </c>
      <c r="C2304" t="s">
        <v>11022</v>
      </c>
      <c r="D2304" t="s">
        <v>11023</v>
      </c>
      <c r="E2304" t="s">
        <v>11024</v>
      </c>
      <c r="F2304" t="s">
        <v>5</v>
      </c>
      <c r="G2304" t="s">
        <v>6</v>
      </c>
      <c r="L2304" t="s">
        <v>7</v>
      </c>
      <c r="M2304">
        <v>2017</v>
      </c>
      <c r="N2304" s="1">
        <v>43000</v>
      </c>
      <c r="O2304" t="s">
        <v>11025</v>
      </c>
      <c r="P2304">
        <v>1</v>
      </c>
      <c r="Q2304" t="s">
        <v>6923</v>
      </c>
      <c r="S2304">
        <v>243.95</v>
      </c>
      <c r="T2304">
        <v>280</v>
      </c>
      <c r="U2304">
        <v>210</v>
      </c>
      <c r="V2304" t="s">
        <v>89</v>
      </c>
      <c r="W2304" t="s">
        <v>90</v>
      </c>
      <c r="X2304" t="s">
        <v>91</v>
      </c>
      <c r="Y2304" t="s">
        <v>717</v>
      </c>
      <c r="AF2304" t="s">
        <v>13</v>
      </c>
      <c r="AG2304" t="str">
        <f>HYPERLINK("https://doi.org/10.1515/9780748695782")</f>
        <v>https://doi.org/10.1515/9780748695782</v>
      </c>
      <c r="AH2304" t="str">
        <f>HYPERLINK("http://www.degruyter.com/isbn/9780748695782")</f>
        <v>http://www.degruyter.com/isbn/9780748695782</v>
      </c>
      <c r="AI2304" t="s">
        <v>222</v>
      </c>
      <c r="AJ2304" t="s">
        <v>35</v>
      </c>
      <c r="AL2304" t="s">
        <v>718</v>
      </c>
      <c r="AM2304">
        <v>1</v>
      </c>
      <c r="AN2304" s="2">
        <v>9780748695768</v>
      </c>
    </row>
    <row r="2305" spans="1:40" x14ac:dyDescent="0.3">
      <c r="A2305" t="s">
        <v>11026</v>
      </c>
      <c r="B2305" t="s">
        <v>1</v>
      </c>
      <c r="C2305" t="s">
        <v>11027</v>
      </c>
      <c r="E2305" t="s">
        <v>11028</v>
      </c>
      <c r="F2305" t="s">
        <v>5</v>
      </c>
      <c r="G2305" t="s">
        <v>6</v>
      </c>
      <c r="L2305" t="s">
        <v>7</v>
      </c>
      <c r="M2305">
        <v>2015</v>
      </c>
      <c r="N2305" s="1">
        <v>42159</v>
      </c>
      <c r="O2305" t="s">
        <v>11029</v>
      </c>
      <c r="P2305">
        <v>1</v>
      </c>
      <c r="Q2305" t="s">
        <v>6785</v>
      </c>
      <c r="S2305">
        <v>217.95</v>
      </c>
      <c r="T2305">
        <v>250</v>
      </c>
      <c r="U2305">
        <v>190</v>
      </c>
      <c r="V2305" t="s">
        <v>79</v>
      </c>
      <c r="W2305" t="s">
        <v>80</v>
      </c>
      <c r="X2305" t="s">
        <v>80</v>
      </c>
      <c r="Y2305" t="s">
        <v>81</v>
      </c>
      <c r="AF2305" t="s">
        <v>13</v>
      </c>
      <c r="AG2305" t="str">
        <f>HYPERLINK("https://doi.org/10.1515/9780748685998?locatt=mode:legacy")</f>
        <v>https://doi.org/10.1515/9780748685998?locatt=mode:legacy</v>
      </c>
      <c r="AH2305" t="str">
        <f>HYPERLINK("http://www.degruyter.com/isbn/9780748685998")</f>
        <v>http://www.degruyter.com/isbn/9780748685998</v>
      </c>
      <c r="AI2305" t="s">
        <v>34</v>
      </c>
      <c r="AL2305" t="s">
        <v>83</v>
      </c>
      <c r="AM2305">
        <v>1</v>
      </c>
      <c r="AN2305" s="2">
        <v>9780748685974</v>
      </c>
    </row>
    <row r="2306" spans="1:40" x14ac:dyDescent="0.3">
      <c r="A2306" t="s">
        <v>11030</v>
      </c>
      <c r="B2306" t="s">
        <v>1</v>
      </c>
      <c r="C2306" t="s">
        <v>11031</v>
      </c>
      <c r="E2306" t="s">
        <v>11032</v>
      </c>
      <c r="F2306" t="s">
        <v>5</v>
      </c>
      <c r="G2306" t="s">
        <v>6</v>
      </c>
      <c r="L2306" t="s">
        <v>7</v>
      </c>
      <c r="M2306">
        <v>2015</v>
      </c>
      <c r="N2306" s="1">
        <v>42025</v>
      </c>
      <c r="O2306" t="s">
        <v>11033</v>
      </c>
      <c r="P2306">
        <v>1</v>
      </c>
      <c r="Q2306" t="s">
        <v>7095</v>
      </c>
      <c r="S2306">
        <v>243.95</v>
      </c>
      <c r="T2306">
        <v>280</v>
      </c>
      <c r="U2306">
        <v>210</v>
      </c>
      <c r="V2306" t="s">
        <v>79</v>
      </c>
      <c r="W2306" t="s">
        <v>123</v>
      </c>
      <c r="X2306" t="s">
        <v>123</v>
      </c>
      <c r="Y2306" t="s">
        <v>124</v>
      </c>
      <c r="AF2306" t="s">
        <v>13</v>
      </c>
      <c r="AG2306" t="str">
        <f>HYPERLINK("https://doi.org/10.1515/9780748683192?locatt=mode:legacy")</f>
        <v>https://doi.org/10.1515/9780748683192?locatt=mode:legacy</v>
      </c>
      <c r="AH2306" t="str">
        <f>HYPERLINK("http://www.degruyter.com/isbn/9780748683192")</f>
        <v>http://www.degruyter.com/isbn/9780748683192</v>
      </c>
      <c r="AI2306" t="s">
        <v>34</v>
      </c>
      <c r="AL2306" t="s">
        <v>83</v>
      </c>
      <c r="AM2306">
        <v>1</v>
      </c>
      <c r="AN2306" s="2">
        <v>9780748683178</v>
      </c>
    </row>
    <row r="2307" spans="1:40" x14ac:dyDescent="0.3">
      <c r="A2307" t="s">
        <v>11034</v>
      </c>
      <c r="B2307" t="s">
        <v>1</v>
      </c>
      <c r="C2307" t="s">
        <v>11035</v>
      </c>
      <c r="E2307" t="s">
        <v>11036</v>
      </c>
      <c r="F2307" t="s">
        <v>5</v>
      </c>
      <c r="G2307" t="s">
        <v>6</v>
      </c>
      <c r="L2307" t="s">
        <v>7</v>
      </c>
      <c r="M2307">
        <v>2010</v>
      </c>
      <c r="N2307" s="1">
        <v>40313</v>
      </c>
      <c r="O2307" t="s">
        <v>11037</v>
      </c>
      <c r="P2307">
        <v>1</v>
      </c>
      <c r="Q2307" t="s">
        <v>8650</v>
      </c>
      <c r="S2307">
        <v>217.95</v>
      </c>
      <c r="T2307">
        <v>250</v>
      </c>
      <c r="U2307">
        <v>190</v>
      </c>
      <c r="V2307" t="s">
        <v>20</v>
      </c>
      <c r="W2307" t="s">
        <v>21</v>
      </c>
      <c r="X2307" t="s">
        <v>575</v>
      </c>
      <c r="Y2307" t="s">
        <v>576</v>
      </c>
      <c r="AF2307" t="s">
        <v>13</v>
      </c>
      <c r="AG2307" t="str">
        <f>HYPERLINK("https://doi.org/10.1515/9780748641864?locatt=mode:legacy")</f>
        <v>https://doi.org/10.1515/9780748641864?locatt=mode:legacy</v>
      </c>
      <c r="AH2307" t="str">
        <f>HYPERLINK("http://www.degruyter.com/isbn/9780748641864")</f>
        <v>http://www.degruyter.com/isbn/9780748641864</v>
      </c>
      <c r="AI2307" t="s">
        <v>68</v>
      </c>
      <c r="AL2307" t="s">
        <v>15</v>
      </c>
      <c r="AM2307">
        <v>1</v>
      </c>
      <c r="AN2307" s="2">
        <v>9780748639816</v>
      </c>
    </row>
    <row r="2308" spans="1:40" x14ac:dyDescent="0.3">
      <c r="A2308" t="s">
        <v>11038</v>
      </c>
      <c r="B2308" t="s">
        <v>1</v>
      </c>
      <c r="C2308" t="s">
        <v>11039</v>
      </c>
      <c r="D2308" t="s">
        <v>5597</v>
      </c>
      <c r="E2308" t="s">
        <v>11040</v>
      </c>
      <c r="F2308" t="s">
        <v>5</v>
      </c>
      <c r="G2308" t="s">
        <v>6</v>
      </c>
      <c r="L2308" t="s">
        <v>7</v>
      </c>
      <c r="M2308">
        <v>2010</v>
      </c>
      <c r="N2308" s="1">
        <v>40431</v>
      </c>
      <c r="O2308" t="s">
        <v>4602</v>
      </c>
      <c r="P2308">
        <v>1</v>
      </c>
      <c r="S2308">
        <v>217.95</v>
      </c>
      <c r="T2308">
        <v>250</v>
      </c>
      <c r="U2308">
        <v>190</v>
      </c>
      <c r="V2308" t="s">
        <v>42</v>
      </c>
      <c r="W2308" t="s">
        <v>116</v>
      </c>
      <c r="X2308" t="s">
        <v>116</v>
      </c>
      <c r="Y2308" t="s">
        <v>117</v>
      </c>
      <c r="AF2308" t="s">
        <v>13</v>
      </c>
      <c r="AG2308" t="str">
        <f>HYPERLINK("https://doi.org/10.1515/9780748643264")</f>
        <v>https://doi.org/10.1515/9780748643264</v>
      </c>
      <c r="AH2308" t="str">
        <f>HYPERLINK("http://www.degruyter.com/isbn/9780748643264")</f>
        <v>http://www.degruyter.com/isbn/9780748643264</v>
      </c>
      <c r="AI2308" t="s">
        <v>68</v>
      </c>
      <c r="AL2308" t="s">
        <v>47</v>
      </c>
      <c r="AM2308">
        <v>1</v>
      </c>
      <c r="AN2308" s="2">
        <v>9780748639731</v>
      </c>
    </row>
    <row r="2309" spans="1:40" x14ac:dyDescent="0.3">
      <c r="A2309" t="s">
        <v>11041</v>
      </c>
      <c r="B2309" t="s">
        <v>1</v>
      </c>
      <c r="C2309" t="s">
        <v>11042</v>
      </c>
      <c r="E2309" t="s">
        <v>11043</v>
      </c>
      <c r="F2309" t="s">
        <v>5</v>
      </c>
      <c r="G2309" t="s">
        <v>6</v>
      </c>
      <c r="L2309" t="s">
        <v>7</v>
      </c>
      <c r="M2309">
        <v>2019</v>
      </c>
      <c r="N2309" s="1">
        <v>44644</v>
      </c>
      <c r="O2309" t="s">
        <v>11044</v>
      </c>
      <c r="P2309">
        <v>1</v>
      </c>
      <c r="Q2309" t="s">
        <v>8554</v>
      </c>
      <c r="S2309">
        <v>331.95</v>
      </c>
      <c r="T2309">
        <v>380</v>
      </c>
      <c r="U2309">
        <v>290</v>
      </c>
      <c r="V2309" t="s">
        <v>20</v>
      </c>
      <c r="W2309" t="s">
        <v>470</v>
      </c>
      <c r="X2309" t="s">
        <v>2114</v>
      </c>
      <c r="Y2309" t="s">
        <v>2115</v>
      </c>
      <c r="AF2309" t="s">
        <v>13</v>
      </c>
      <c r="AG2309" t="str">
        <f>HYPERLINK("https://doi.org/10.1515/9781474442305?locatt=mode:legacy")</f>
        <v>https://doi.org/10.1515/9781474442305?locatt=mode:legacy</v>
      </c>
      <c r="AH2309" t="str">
        <f>HYPERLINK("http://www.degruyter.com/isbn/9781474442305")</f>
        <v>http://www.degruyter.com/isbn/9781474442305</v>
      </c>
      <c r="AI2309" t="s">
        <v>280</v>
      </c>
      <c r="AL2309" t="s">
        <v>15</v>
      </c>
      <c r="AM2309">
        <v>1</v>
      </c>
      <c r="AN2309" s="2">
        <v>9781474442282</v>
      </c>
    </row>
    <row r="2310" spans="1:40" x14ac:dyDescent="0.3">
      <c r="A2310" t="s">
        <v>11045</v>
      </c>
      <c r="B2310" t="s">
        <v>1</v>
      </c>
      <c r="C2310" t="s">
        <v>11046</v>
      </c>
      <c r="D2310" t="s">
        <v>11047</v>
      </c>
      <c r="E2310" t="s">
        <v>11048</v>
      </c>
      <c r="F2310" t="s">
        <v>5</v>
      </c>
      <c r="G2310" t="s">
        <v>6</v>
      </c>
      <c r="L2310" t="s">
        <v>7</v>
      </c>
      <c r="M2310">
        <v>2014</v>
      </c>
      <c r="N2310" s="1">
        <v>41737</v>
      </c>
      <c r="O2310" t="s">
        <v>11049</v>
      </c>
      <c r="P2310">
        <v>1</v>
      </c>
      <c r="Q2310" t="s">
        <v>8587</v>
      </c>
      <c r="S2310">
        <v>243.95</v>
      </c>
      <c r="T2310">
        <v>280</v>
      </c>
      <c r="U2310">
        <v>210</v>
      </c>
      <c r="V2310" t="s">
        <v>20</v>
      </c>
      <c r="W2310" t="s">
        <v>21</v>
      </c>
      <c r="X2310" t="s">
        <v>458</v>
      </c>
      <c r="Y2310" t="s">
        <v>459</v>
      </c>
      <c r="AF2310" t="s">
        <v>13</v>
      </c>
      <c r="AG2310" t="str">
        <f>HYPERLINK("https://doi.org/10.1515/9780748644988")</f>
        <v>https://doi.org/10.1515/9780748644988</v>
      </c>
      <c r="AH2310" t="str">
        <f>HYPERLINK("http://www.degruyter.com/isbn/9780748644988")</f>
        <v>http://www.degruyter.com/isbn/9780748644988</v>
      </c>
      <c r="AI2310" t="s">
        <v>7004</v>
      </c>
      <c r="AL2310" t="s">
        <v>15</v>
      </c>
      <c r="AM2310">
        <v>1</v>
      </c>
      <c r="AN2310" s="2">
        <v>9780748644971</v>
      </c>
    </row>
    <row r="2311" spans="1:40" x14ac:dyDescent="0.3">
      <c r="A2311" t="s">
        <v>11050</v>
      </c>
      <c r="B2311" t="s">
        <v>1</v>
      </c>
      <c r="C2311" t="s">
        <v>11051</v>
      </c>
      <c r="E2311" t="s">
        <v>11052</v>
      </c>
      <c r="F2311" t="s">
        <v>5</v>
      </c>
      <c r="G2311" t="s">
        <v>6</v>
      </c>
      <c r="L2311" t="s">
        <v>7</v>
      </c>
      <c r="M2311">
        <v>2014</v>
      </c>
      <c r="N2311" s="1">
        <v>41948</v>
      </c>
      <c r="O2311" t="s">
        <v>11053</v>
      </c>
      <c r="P2311">
        <v>1</v>
      </c>
      <c r="Q2311" t="s">
        <v>6993</v>
      </c>
      <c r="S2311">
        <v>227.95</v>
      </c>
      <c r="T2311">
        <v>260</v>
      </c>
      <c r="U2311">
        <v>200</v>
      </c>
      <c r="V2311" t="s">
        <v>98</v>
      </c>
      <c r="W2311" t="s">
        <v>256</v>
      </c>
      <c r="X2311" t="s">
        <v>4297</v>
      </c>
      <c r="Y2311" t="s">
        <v>4298</v>
      </c>
      <c r="AF2311" t="s">
        <v>13</v>
      </c>
      <c r="AG2311" t="str">
        <f>HYPERLINK("https://doi.org/10.1515/9780748698059")</f>
        <v>https://doi.org/10.1515/9780748698059</v>
      </c>
      <c r="AH2311" t="str">
        <f>HYPERLINK("http://www.degruyter.com/isbn/9780748698059")</f>
        <v>http://www.degruyter.com/isbn/9780748698059</v>
      </c>
      <c r="AI2311" t="s">
        <v>34</v>
      </c>
      <c r="AL2311" t="s">
        <v>102</v>
      </c>
      <c r="AM2311">
        <v>1</v>
      </c>
      <c r="AN2311" s="2">
        <v>9780748646395</v>
      </c>
    </row>
    <row r="2312" spans="1:40" x14ac:dyDescent="0.3">
      <c r="A2312" t="s">
        <v>11054</v>
      </c>
      <c r="B2312" t="s">
        <v>1</v>
      </c>
      <c r="C2312" t="s">
        <v>6983</v>
      </c>
      <c r="D2312" t="s">
        <v>11055</v>
      </c>
      <c r="E2312" t="s">
        <v>6985</v>
      </c>
      <c r="F2312" t="s">
        <v>5</v>
      </c>
      <c r="G2312" t="s">
        <v>6</v>
      </c>
      <c r="L2312" t="s">
        <v>7</v>
      </c>
      <c r="M2312">
        <v>2020</v>
      </c>
      <c r="N2312" s="1">
        <v>44656</v>
      </c>
      <c r="O2312" t="s">
        <v>11056</v>
      </c>
      <c r="P2312">
        <v>1</v>
      </c>
      <c r="Q2312" t="s">
        <v>6987</v>
      </c>
      <c r="S2312">
        <v>217.95</v>
      </c>
      <c r="T2312">
        <v>250</v>
      </c>
      <c r="U2312">
        <v>190</v>
      </c>
      <c r="V2312" t="s">
        <v>9</v>
      </c>
      <c r="W2312" t="s">
        <v>10</v>
      </c>
      <c r="X2312" t="s">
        <v>11</v>
      </c>
      <c r="Y2312" t="s">
        <v>52</v>
      </c>
      <c r="AF2312" t="s">
        <v>13</v>
      </c>
      <c r="AG2312" t="str">
        <f>HYPERLINK("https://doi.org/10.1515/9781474456036")</f>
        <v>https://doi.org/10.1515/9781474456036</v>
      </c>
      <c r="AH2312" t="str">
        <f>HYPERLINK("http://www.degruyter.com/isbn/9781474456036")</f>
        <v>http://www.degruyter.com/isbn/9781474456036</v>
      </c>
      <c r="AI2312" t="s">
        <v>14</v>
      </c>
      <c r="AL2312" t="s">
        <v>15</v>
      </c>
      <c r="AM2312">
        <v>1</v>
      </c>
      <c r="AN2312" s="2">
        <v>9781474456012</v>
      </c>
    </row>
    <row r="2313" spans="1:40" x14ac:dyDescent="0.3">
      <c r="A2313" t="s">
        <v>11057</v>
      </c>
      <c r="B2313" t="s">
        <v>1</v>
      </c>
      <c r="C2313" t="s">
        <v>11058</v>
      </c>
      <c r="E2313" t="s">
        <v>11059</v>
      </c>
      <c r="F2313" t="s">
        <v>5</v>
      </c>
      <c r="G2313" t="s">
        <v>6</v>
      </c>
      <c r="L2313" t="s">
        <v>7</v>
      </c>
      <c r="M2313">
        <v>2016</v>
      </c>
      <c r="N2313" s="1">
        <v>42520</v>
      </c>
      <c r="O2313" t="s">
        <v>11060</v>
      </c>
      <c r="P2313">
        <v>1</v>
      </c>
      <c r="Q2313" t="s">
        <v>7481</v>
      </c>
      <c r="S2313">
        <v>209.95</v>
      </c>
      <c r="T2313">
        <v>240</v>
      </c>
      <c r="U2313">
        <v>180</v>
      </c>
      <c r="V2313" t="s">
        <v>42</v>
      </c>
      <c r="W2313" t="s">
        <v>116</v>
      </c>
      <c r="X2313" t="s">
        <v>116</v>
      </c>
      <c r="Y2313" t="s">
        <v>117</v>
      </c>
      <c r="AF2313" t="s">
        <v>13</v>
      </c>
      <c r="AG2313" t="str">
        <f>HYPERLINK("https://doi.org/10.1515/9781474409667")</f>
        <v>https://doi.org/10.1515/9781474409667</v>
      </c>
      <c r="AH2313" t="str">
        <f>HYPERLINK("http://www.degruyter.com/isbn/9781474409667")</f>
        <v>http://www.degruyter.com/isbn/9781474409667</v>
      </c>
      <c r="AI2313" t="s">
        <v>180</v>
      </c>
      <c r="AL2313" t="s">
        <v>47</v>
      </c>
      <c r="AM2313">
        <v>1</v>
      </c>
      <c r="AN2313" s="2">
        <v>9781474409643</v>
      </c>
    </row>
    <row r="2314" spans="1:40" x14ac:dyDescent="0.3">
      <c r="A2314" t="s">
        <v>11061</v>
      </c>
      <c r="B2314" t="s">
        <v>1</v>
      </c>
      <c r="C2314" t="s">
        <v>11062</v>
      </c>
      <c r="E2314" t="s">
        <v>11063</v>
      </c>
      <c r="F2314" t="s">
        <v>5</v>
      </c>
      <c r="G2314" t="s">
        <v>6</v>
      </c>
      <c r="L2314" t="s">
        <v>7</v>
      </c>
      <c r="M2314">
        <v>2002</v>
      </c>
      <c r="N2314" s="1">
        <v>37508</v>
      </c>
      <c r="O2314" t="s">
        <v>3021</v>
      </c>
      <c r="P2314">
        <v>1</v>
      </c>
      <c r="Q2314" t="s">
        <v>7738</v>
      </c>
      <c r="S2314">
        <v>227.95</v>
      </c>
      <c r="T2314">
        <v>260</v>
      </c>
      <c r="U2314">
        <v>200</v>
      </c>
      <c r="V2314" t="s">
        <v>98</v>
      </c>
      <c r="W2314" t="s">
        <v>99</v>
      </c>
      <c r="X2314" t="s">
        <v>386</v>
      </c>
      <c r="Y2314" t="s">
        <v>387</v>
      </c>
      <c r="AF2314" t="s">
        <v>13</v>
      </c>
      <c r="AG2314" t="str">
        <f>HYPERLINK("https://doi.org/10.1515/9781474400459")</f>
        <v>https://doi.org/10.1515/9781474400459</v>
      </c>
      <c r="AH2314" t="str">
        <f>HYPERLINK("http://www.degruyter.com/isbn/9781474400459")</f>
        <v>http://www.degruyter.com/isbn/9781474400459</v>
      </c>
      <c r="AI2314" t="s">
        <v>68</v>
      </c>
      <c r="AL2314" t="s">
        <v>102</v>
      </c>
      <c r="AM2314">
        <v>1</v>
      </c>
      <c r="AN2314" s="2">
        <v>9780748613373</v>
      </c>
    </row>
    <row r="2315" spans="1:40" x14ac:dyDescent="0.3">
      <c r="A2315" t="s">
        <v>11064</v>
      </c>
      <c r="B2315" t="s">
        <v>1</v>
      </c>
      <c r="C2315" t="s">
        <v>11065</v>
      </c>
      <c r="D2315" t="s">
        <v>11066</v>
      </c>
      <c r="E2315" t="s">
        <v>11067</v>
      </c>
      <c r="F2315" t="s">
        <v>5</v>
      </c>
      <c r="G2315" t="s">
        <v>6</v>
      </c>
      <c r="L2315" t="s">
        <v>7</v>
      </c>
      <c r="M2315">
        <v>2020</v>
      </c>
      <c r="N2315" s="1">
        <v>44644</v>
      </c>
      <c r="O2315" t="s">
        <v>11068</v>
      </c>
      <c r="P2315">
        <v>1</v>
      </c>
      <c r="Q2315" t="s">
        <v>10362</v>
      </c>
      <c r="S2315">
        <v>217.95</v>
      </c>
      <c r="T2315">
        <v>250</v>
      </c>
      <c r="U2315">
        <v>190</v>
      </c>
      <c r="V2315" t="s">
        <v>42</v>
      </c>
      <c r="W2315" t="s">
        <v>290</v>
      </c>
      <c r="X2315" t="s">
        <v>290</v>
      </c>
      <c r="Y2315" t="s">
        <v>515</v>
      </c>
      <c r="AF2315" t="s">
        <v>13</v>
      </c>
      <c r="AG2315" t="str">
        <f>HYPERLINK("https://doi.org/10.1515/9781474461344")</f>
        <v>https://doi.org/10.1515/9781474461344</v>
      </c>
      <c r="AH2315" t="str">
        <f>HYPERLINK("http://www.degruyter.com/isbn/9781474461344")</f>
        <v>http://www.degruyter.com/isbn/9781474461344</v>
      </c>
      <c r="AI2315" t="s">
        <v>14</v>
      </c>
      <c r="AL2315" t="s">
        <v>47</v>
      </c>
      <c r="AM2315">
        <v>1</v>
      </c>
      <c r="AN2315" s="2">
        <v>9781474461313</v>
      </c>
    </row>
    <row r="2316" spans="1:40" x14ac:dyDescent="0.3">
      <c r="A2316" t="s">
        <v>11069</v>
      </c>
      <c r="B2316" t="s">
        <v>1</v>
      </c>
      <c r="C2316" t="s">
        <v>11070</v>
      </c>
      <c r="D2316" t="s">
        <v>11071</v>
      </c>
      <c r="E2316" t="s">
        <v>11072</v>
      </c>
      <c r="F2316" t="s">
        <v>5</v>
      </c>
      <c r="G2316" t="s">
        <v>6</v>
      </c>
      <c r="L2316" t="s">
        <v>7</v>
      </c>
      <c r="M2316">
        <v>2014</v>
      </c>
      <c r="N2316" s="1">
        <v>41954</v>
      </c>
      <c r="O2316" t="s">
        <v>11073</v>
      </c>
      <c r="P2316">
        <v>1</v>
      </c>
      <c r="Q2316" t="s">
        <v>8096</v>
      </c>
      <c r="S2316">
        <v>217.95</v>
      </c>
      <c r="T2316">
        <v>250</v>
      </c>
      <c r="U2316">
        <v>190</v>
      </c>
      <c r="V2316" t="s">
        <v>42</v>
      </c>
      <c r="W2316" t="s">
        <v>116</v>
      </c>
      <c r="X2316" t="s">
        <v>116</v>
      </c>
      <c r="Y2316" t="s">
        <v>117</v>
      </c>
      <c r="AF2316" t="s">
        <v>13</v>
      </c>
      <c r="AG2316" t="str">
        <f>HYPERLINK("https://doi.org/10.1515/9780748693740")</f>
        <v>https://doi.org/10.1515/9780748693740</v>
      </c>
      <c r="AH2316" t="str">
        <f>HYPERLINK("http://www.degruyter.com/isbn/9780748693740")</f>
        <v>http://www.degruyter.com/isbn/9780748693740</v>
      </c>
      <c r="AI2316" t="s">
        <v>34</v>
      </c>
      <c r="AJ2316" t="s">
        <v>35</v>
      </c>
      <c r="AL2316" t="s">
        <v>520</v>
      </c>
      <c r="AM2316">
        <v>1</v>
      </c>
      <c r="AN2316" s="2">
        <v>9780748693733</v>
      </c>
    </row>
    <row r="2317" spans="1:40" x14ac:dyDescent="0.3">
      <c r="A2317" t="s">
        <v>11074</v>
      </c>
      <c r="B2317" t="s">
        <v>1</v>
      </c>
      <c r="C2317" t="s">
        <v>11075</v>
      </c>
      <c r="D2317" t="s">
        <v>11076</v>
      </c>
      <c r="E2317" t="s">
        <v>11077</v>
      </c>
      <c r="F2317" t="s">
        <v>5</v>
      </c>
      <c r="G2317" t="s">
        <v>6</v>
      </c>
      <c r="L2317" t="s">
        <v>7</v>
      </c>
      <c r="M2317">
        <v>2011</v>
      </c>
      <c r="N2317" s="1">
        <v>40658</v>
      </c>
      <c r="O2317" t="s">
        <v>11078</v>
      </c>
      <c r="P2317">
        <v>1</v>
      </c>
      <c r="Q2317" t="s">
        <v>7194</v>
      </c>
      <c r="S2317">
        <v>227.95</v>
      </c>
      <c r="T2317">
        <v>260</v>
      </c>
      <c r="U2317">
        <v>200</v>
      </c>
      <c r="V2317" t="s">
        <v>79</v>
      </c>
      <c r="W2317" t="s">
        <v>209</v>
      </c>
      <c r="X2317" t="s">
        <v>209</v>
      </c>
      <c r="Y2317" t="s">
        <v>510</v>
      </c>
      <c r="AF2317" t="s">
        <v>13</v>
      </c>
      <c r="AG2317" t="str">
        <f>HYPERLINK("https://doi.org/10.1515/9780748646074?locatt=mode:legacy")</f>
        <v>https://doi.org/10.1515/9780748646074?locatt=mode:legacy</v>
      </c>
      <c r="AH2317" t="str">
        <f>HYPERLINK("http://www.degruyter.com/isbn/9780748646074")</f>
        <v>http://www.degruyter.com/isbn/9780748646074</v>
      </c>
      <c r="AI2317" t="s">
        <v>68</v>
      </c>
      <c r="AL2317" t="s">
        <v>83</v>
      </c>
      <c r="AM2317">
        <v>1</v>
      </c>
      <c r="AN2317" s="2">
        <v>9780748642021</v>
      </c>
    </row>
    <row r="2318" spans="1:40" x14ac:dyDescent="0.3">
      <c r="A2318" t="s">
        <v>11079</v>
      </c>
      <c r="B2318" t="s">
        <v>1</v>
      </c>
      <c r="C2318" t="s">
        <v>11080</v>
      </c>
      <c r="D2318" t="s">
        <v>11081</v>
      </c>
      <c r="E2318" t="s">
        <v>11082</v>
      </c>
      <c r="F2318" t="s">
        <v>5</v>
      </c>
      <c r="G2318" t="s">
        <v>6</v>
      </c>
      <c r="L2318" t="s">
        <v>7</v>
      </c>
      <c r="M2318">
        <v>2018</v>
      </c>
      <c r="N2318" s="1">
        <v>44644</v>
      </c>
      <c r="O2318" t="s">
        <v>11083</v>
      </c>
      <c r="P2318">
        <v>1</v>
      </c>
      <c r="Q2318" t="s">
        <v>5764</v>
      </c>
      <c r="S2318">
        <v>217.95</v>
      </c>
      <c r="T2318">
        <v>250</v>
      </c>
      <c r="U2318">
        <v>190</v>
      </c>
      <c r="V2318" t="s">
        <v>9</v>
      </c>
      <c r="W2318" t="s">
        <v>10</v>
      </c>
      <c r="X2318" t="s">
        <v>11</v>
      </c>
      <c r="Y2318" t="s">
        <v>52</v>
      </c>
      <c r="AF2318" t="s">
        <v>13</v>
      </c>
      <c r="AG2318" t="str">
        <f>HYPERLINK("https://doi.org/10.1515/9781474409261?locatt=mode:legacy")</f>
        <v>https://doi.org/10.1515/9781474409261?locatt=mode:legacy</v>
      </c>
      <c r="AH2318" t="str">
        <f>HYPERLINK("http://www.degruyter.com/isbn/9781474409261")</f>
        <v>http://www.degruyter.com/isbn/9781474409261</v>
      </c>
      <c r="AI2318" t="s">
        <v>46</v>
      </c>
      <c r="AL2318" t="s">
        <v>15</v>
      </c>
      <c r="AM2318">
        <v>1</v>
      </c>
      <c r="AN2318" s="2">
        <v>9781474409254</v>
      </c>
    </row>
    <row r="2319" spans="1:40" x14ac:dyDescent="0.3">
      <c r="A2319" t="s">
        <v>11084</v>
      </c>
      <c r="B2319" t="s">
        <v>1</v>
      </c>
      <c r="C2319" t="s">
        <v>11085</v>
      </c>
      <c r="D2319" t="s">
        <v>11086</v>
      </c>
      <c r="E2319" t="s">
        <v>11087</v>
      </c>
      <c r="F2319" t="s">
        <v>5</v>
      </c>
      <c r="G2319" t="s">
        <v>6</v>
      </c>
      <c r="L2319" t="s">
        <v>7</v>
      </c>
      <c r="M2319">
        <v>2012</v>
      </c>
      <c r="N2319" s="1">
        <v>41164</v>
      </c>
      <c r="O2319" t="s">
        <v>11088</v>
      </c>
      <c r="P2319">
        <v>1</v>
      </c>
      <c r="Q2319" t="s">
        <v>6876</v>
      </c>
      <c r="S2319">
        <v>217.95</v>
      </c>
      <c r="T2319">
        <v>250</v>
      </c>
      <c r="U2319">
        <v>190</v>
      </c>
      <c r="V2319" t="s">
        <v>42</v>
      </c>
      <c r="W2319" t="s">
        <v>161</v>
      </c>
      <c r="X2319" t="s">
        <v>162</v>
      </c>
      <c r="Y2319" t="s">
        <v>393</v>
      </c>
      <c r="AF2319" t="s">
        <v>13</v>
      </c>
      <c r="AG2319" t="str">
        <f>HYPERLINK("https://doi.org/10.1515/9780748643431?locatt=mode:legacy")</f>
        <v>https://doi.org/10.1515/9780748643431?locatt=mode:legacy</v>
      </c>
      <c r="AH2319" t="str">
        <f>HYPERLINK("http://www.degruyter.com/isbn/9780748643431")</f>
        <v>http://www.degruyter.com/isbn/9780748643431</v>
      </c>
      <c r="AI2319" t="s">
        <v>68</v>
      </c>
      <c r="AL2319" t="s">
        <v>47</v>
      </c>
      <c r="AM2319">
        <v>1</v>
      </c>
      <c r="AN2319" s="2">
        <v>9780748643424</v>
      </c>
    </row>
    <row r="2320" spans="1:40" x14ac:dyDescent="0.3">
      <c r="A2320" t="s">
        <v>11089</v>
      </c>
      <c r="B2320" t="s">
        <v>1</v>
      </c>
      <c r="C2320" t="s">
        <v>11090</v>
      </c>
      <c r="E2320" t="s">
        <v>11091</v>
      </c>
      <c r="F2320" t="s">
        <v>5</v>
      </c>
      <c r="G2320" t="s">
        <v>6</v>
      </c>
      <c r="L2320" t="s">
        <v>7</v>
      </c>
      <c r="M2320">
        <v>2003</v>
      </c>
      <c r="N2320" s="1">
        <v>44634</v>
      </c>
      <c r="O2320" t="s">
        <v>8374</v>
      </c>
      <c r="P2320">
        <v>1</v>
      </c>
      <c r="Q2320" t="s">
        <v>7187</v>
      </c>
      <c r="S2320">
        <v>217.95</v>
      </c>
      <c r="T2320">
        <v>250</v>
      </c>
      <c r="U2320">
        <v>190</v>
      </c>
      <c r="V2320" t="s">
        <v>98</v>
      </c>
      <c r="W2320" t="s">
        <v>99</v>
      </c>
      <c r="X2320" t="s">
        <v>386</v>
      </c>
      <c r="Y2320" t="s">
        <v>387</v>
      </c>
      <c r="AF2320" t="s">
        <v>13</v>
      </c>
      <c r="AG2320" t="str">
        <f>HYPERLINK("https://doi.org/10.1515/9781474464505")</f>
        <v>https://doi.org/10.1515/9781474464505</v>
      </c>
      <c r="AH2320" t="str">
        <f>HYPERLINK("http://www.degruyter.com/isbn/9781474464505")</f>
        <v>http://www.degruyter.com/isbn/9781474464505</v>
      </c>
      <c r="AI2320" t="s">
        <v>68</v>
      </c>
      <c r="AL2320" t="s">
        <v>102</v>
      </c>
      <c r="AM2320">
        <v>1</v>
      </c>
      <c r="AN2320" s="2">
        <v>9780748615520</v>
      </c>
    </row>
    <row r="2321" spans="1:40" x14ac:dyDescent="0.3">
      <c r="A2321" t="s">
        <v>11092</v>
      </c>
      <c r="B2321" t="s">
        <v>1</v>
      </c>
      <c r="C2321" t="s">
        <v>11093</v>
      </c>
      <c r="E2321" t="s">
        <v>11094</v>
      </c>
      <c r="F2321" t="s">
        <v>5</v>
      </c>
      <c r="G2321" t="s">
        <v>6</v>
      </c>
      <c r="L2321" t="s">
        <v>7</v>
      </c>
      <c r="M2321">
        <v>2016</v>
      </c>
      <c r="N2321" s="1">
        <v>42559</v>
      </c>
      <c r="O2321" t="s">
        <v>11095</v>
      </c>
      <c r="P2321">
        <v>1</v>
      </c>
      <c r="Q2321" t="s">
        <v>7481</v>
      </c>
      <c r="S2321">
        <v>209.95</v>
      </c>
      <c r="T2321">
        <v>240</v>
      </c>
      <c r="U2321">
        <v>180</v>
      </c>
      <c r="V2321" t="s">
        <v>20</v>
      </c>
      <c r="W2321" t="s">
        <v>1018</v>
      </c>
      <c r="X2321" t="s">
        <v>1018</v>
      </c>
      <c r="Y2321" t="s">
        <v>2215</v>
      </c>
      <c r="AF2321" t="s">
        <v>13</v>
      </c>
      <c r="AG2321" t="str">
        <f>HYPERLINK("https://doi.org/10.1515/9781474408745")</f>
        <v>https://doi.org/10.1515/9781474408745</v>
      </c>
      <c r="AH2321" t="str">
        <f>HYPERLINK("http://www.degruyter.com/isbn/9781474408745")</f>
        <v>http://www.degruyter.com/isbn/9781474408745</v>
      </c>
      <c r="AI2321" t="s">
        <v>180</v>
      </c>
      <c r="AL2321" t="s">
        <v>15</v>
      </c>
      <c r="AM2321">
        <v>1</v>
      </c>
      <c r="AN2321" s="2">
        <v>9781474408738</v>
      </c>
    </row>
    <row r="2322" spans="1:40" x14ac:dyDescent="0.3">
      <c r="A2322" t="s">
        <v>11096</v>
      </c>
      <c r="B2322" t="s">
        <v>1</v>
      </c>
      <c r="C2322" t="s">
        <v>11097</v>
      </c>
      <c r="D2322" t="s">
        <v>11098</v>
      </c>
      <c r="E2322" t="s">
        <v>11099</v>
      </c>
      <c r="F2322" t="s">
        <v>5</v>
      </c>
      <c r="G2322" t="s">
        <v>6</v>
      </c>
      <c r="L2322" t="s">
        <v>7</v>
      </c>
      <c r="M2322">
        <v>2020</v>
      </c>
      <c r="N2322" s="1">
        <v>44644</v>
      </c>
      <c r="O2322" t="s">
        <v>11100</v>
      </c>
      <c r="P2322">
        <v>1</v>
      </c>
      <c r="Q2322" t="s">
        <v>7217</v>
      </c>
      <c r="S2322">
        <v>209.95</v>
      </c>
      <c r="T2322">
        <v>240</v>
      </c>
      <c r="U2322">
        <v>180</v>
      </c>
      <c r="V2322" t="s">
        <v>20</v>
      </c>
      <c r="W2322" t="s">
        <v>21</v>
      </c>
      <c r="X2322" t="s">
        <v>22</v>
      </c>
      <c r="Y2322" t="s">
        <v>489</v>
      </c>
      <c r="AF2322" t="s">
        <v>13</v>
      </c>
      <c r="AG2322" t="str">
        <f>HYPERLINK("https://doi.org/10.1515/9780748628483")</f>
        <v>https://doi.org/10.1515/9780748628483</v>
      </c>
      <c r="AH2322" t="str">
        <f>HYPERLINK("http://www.degruyter.com/isbn/9780748628483")</f>
        <v>http://www.degruyter.com/isbn/9780748628483</v>
      </c>
      <c r="AI2322" t="s">
        <v>14</v>
      </c>
      <c r="AL2322" t="s">
        <v>15</v>
      </c>
      <c r="AM2322">
        <v>1</v>
      </c>
      <c r="AN2322" s="2">
        <v>9780748615124</v>
      </c>
    </row>
    <row r="2323" spans="1:40" x14ac:dyDescent="0.3">
      <c r="A2323" t="s">
        <v>11101</v>
      </c>
      <c r="B2323" t="s">
        <v>1</v>
      </c>
      <c r="C2323" t="s">
        <v>11102</v>
      </c>
      <c r="E2323" t="s">
        <v>11103</v>
      </c>
      <c r="F2323" t="s">
        <v>5</v>
      </c>
      <c r="G2323" t="s">
        <v>6</v>
      </c>
      <c r="L2323" t="s">
        <v>7</v>
      </c>
      <c r="M2323">
        <v>2018</v>
      </c>
      <c r="N2323" s="1">
        <v>44656</v>
      </c>
      <c r="O2323" t="s">
        <v>204</v>
      </c>
      <c r="P2323">
        <v>1</v>
      </c>
      <c r="Q2323" t="s">
        <v>7810</v>
      </c>
      <c r="S2323">
        <v>253.95</v>
      </c>
      <c r="T2323">
        <v>290</v>
      </c>
      <c r="U2323">
        <v>220</v>
      </c>
      <c r="V2323" t="s">
        <v>30</v>
      </c>
      <c r="W2323" t="s">
        <v>31</v>
      </c>
      <c r="X2323" t="s">
        <v>3512</v>
      </c>
      <c r="Y2323" t="s">
        <v>3513</v>
      </c>
      <c r="AF2323" t="s">
        <v>13</v>
      </c>
      <c r="AG2323" t="str">
        <f>HYPERLINK("https://doi.org/10.1515/9781474415026")</f>
        <v>https://doi.org/10.1515/9781474415026</v>
      </c>
      <c r="AH2323" t="str">
        <f>HYPERLINK("http://www.degruyter.com/isbn/9781474415026")</f>
        <v>http://www.degruyter.com/isbn/9781474415026</v>
      </c>
      <c r="AI2323" t="s">
        <v>46</v>
      </c>
      <c r="AL2323" t="s">
        <v>272</v>
      </c>
      <c r="AM2323">
        <v>1</v>
      </c>
      <c r="AN2323" s="2">
        <v>9781474415019</v>
      </c>
    </row>
    <row r="2324" spans="1:40" x14ac:dyDescent="0.3">
      <c r="A2324" t="s">
        <v>11104</v>
      </c>
      <c r="B2324" t="s">
        <v>1</v>
      </c>
      <c r="C2324" t="s">
        <v>11105</v>
      </c>
      <c r="D2324" t="s">
        <v>11106</v>
      </c>
      <c r="E2324" t="s">
        <v>11107</v>
      </c>
      <c r="F2324" t="s">
        <v>5</v>
      </c>
      <c r="G2324" t="s">
        <v>6</v>
      </c>
      <c r="L2324" t="s">
        <v>7</v>
      </c>
      <c r="M2324">
        <v>1993</v>
      </c>
      <c r="N2324" s="1">
        <v>44599</v>
      </c>
      <c r="O2324" t="s">
        <v>11108</v>
      </c>
      <c r="P2324">
        <v>1</v>
      </c>
      <c r="Q2324" t="s">
        <v>6929</v>
      </c>
      <c r="S2324">
        <v>217.95</v>
      </c>
      <c r="T2324">
        <v>250</v>
      </c>
      <c r="U2324">
        <v>190</v>
      </c>
      <c r="V2324" t="s">
        <v>20</v>
      </c>
      <c r="W2324" t="s">
        <v>21</v>
      </c>
      <c r="X2324" t="s">
        <v>3919</v>
      </c>
      <c r="Y2324" t="s">
        <v>4359</v>
      </c>
      <c r="AF2324" t="s">
        <v>13</v>
      </c>
      <c r="AG2324" t="str">
        <f>HYPERLINK("https://doi.org/10.1515/9781474467940")</f>
        <v>https://doi.org/10.1515/9781474467940</v>
      </c>
      <c r="AH2324" t="str">
        <f>HYPERLINK("http://www.degruyter.com/isbn/9781474467940")</f>
        <v>http://www.degruyter.com/isbn/9781474467940</v>
      </c>
      <c r="AI2324" t="s">
        <v>24</v>
      </c>
      <c r="AL2324" t="s">
        <v>15</v>
      </c>
      <c r="AM2324">
        <v>1</v>
      </c>
      <c r="AN2324" s="2">
        <v>9780748603862</v>
      </c>
    </row>
    <row r="2325" spans="1:40" x14ac:dyDescent="0.3">
      <c r="A2325" t="s">
        <v>11109</v>
      </c>
      <c r="B2325" t="s">
        <v>1</v>
      </c>
      <c r="C2325" t="s">
        <v>11110</v>
      </c>
      <c r="D2325" t="s">
        <v>11111</v>
      </c>
      <c r="E2325" t="s">
        <v>11112</v>
      </c>
      <c r="F2325" t="s">
        <v>5</v>
      </c>
      <c r="G2325" t="s">
        <v>6</v>
      </c>
      <c r="L2325" t="s">
        <v>7</v>
      </c>
      <c r="M2325">
        <v>2018</v>
      </c>
      <c r="N2325" s="1">
        <v>44656</v>
      </c>
      <c r="O2325" t="s">
        <v>11113</v>
      </c>
      <c r="P2325">
        <v>1</v>
      </c>
      <c r="Q2325" t="s">
        <v>6779</v>
      </c>
      <c r="S2325">
        <v>217.95</v>
      </c>
      <c r="T2325">
        <v>250</v>
      </c>
      <c r="U2325">
        <v>190</v>
      </c>
      <c r="V2325" t="s">
        <v>9</v>
      </c>
      <c r="W2325" t="s">
        <v>10</v>
      </c>
      <c r="X2325" t="s">
        <v>11</v>
      </c>
      <c r="Y2325" t="s">
        <v>52</v>
      </c>
      <c r="AF2325" t="s">
        <v>13</v>
      </c>
      <c r="AG2325" t="str">
        <f>HYPERLINK("https://doi.org/10.1515/9781474409704?locatt=mode:legacy")</f>
        <v>https://doi.org/10.1515/9781474409704?locatt=mode:legacy</v>
      </c>
      <c r="AH2325" t="str">
        <f>HYPERLINK("http://www.degruyter.com/isbn/9781474409704")</f>
        <v>http://www.degruyter.com/isbn/9781474409704</v>
      </c>
      <c r="AI2325" t="s">
        <v>46</v>
      </c>
      <c r="AL2325" t="s">
        <v>15</v>
      </c>
      <c r="AM2325">
        <v>1</v>
      </c>
      <c r="AN2325" s="2">
        <v>9781474409698</v>
      </c>
    </row>
    <row r="2326" spans="1:40" x14ac:dyDescent="0.3">
      <c r="A2326" t="s">
        <v>11114</v>
      </c>
      <c r="B2326" t="s">
        <v>1</v>
      </c>
      <c r="C2326" t="s">
        <v>11115</v>
      </c>
      <c r="E2326" t="s">
        <v>11116</v>
      </c>
      <c r="F2326" t="s">
        <v>5</v>
      </c>
      <c r="G2326" t="s">
        <v>6</v>
      </c>
      <c r="L2326" t="s">
        <v>7</v>
      </c>
      <c r="M2326">
        <v>2000</v>
      </c>
      <c r="N2326" s="1">
        <v>36612</v>
      </c>
      <c r="O2326" t="s">
        <v>7265</v>
      </c>
      <c r="P2326">
        <v>1</v>
      </c>
      <c r="Q2326" t="s">
        <v>7266</v>
      </c>
      <c r="S2326">
        <v>227.95</v>
      </c>
      <c r="T2326">
        <v>260</v>
      </c>
      <c r="U2326">
        <v>200</v>
      </c>
      <c r="V2326" t="s">
        <v>42</v>
      </c>
      <c r="W2326" t="s">
        <v>116</v>
      </c>
      <c r="X2326" t="s">
        <v>116</v>
      </c>
      <c r="Y2326" t="s">
        <v>117</v>
      </c>
      <c r="AF2326" t="s">
        <v>13</v>
      </c>
      <c r="AH2326" t="str">
        <f>HYPERLINK("http://www.degruyter.com/isbn/9781474432658")</f>
        <v>http://www.degruyter.com/isbn/9781474432658</v>
      </c>
      <c r="AI2326" t="s">
        <v>68</v>
      </c>
      <c r="AL2326" t="s">
        <v>47</v>
      </c>
      <c r="AM2326">
        <v>1</v>
      </c>
      <c r="AN2326" s="2">
        <v>9780748605866</v>
      </c>
    </row>
    <row r="2327" spans="1:40" x14ac:dyDescent="0.3">
      <c r="A2327" t="s">
        <v>11117</v>
      </c>
      <c r="B2327" t="s">
        <v>1</v>
      </c>
      <c r="C2327" t="s">
        <v>11118</v>
      </c>
      <c r="D2327" t="s">
        <v>11119</v>
      </c>
      <c r="E2327" t="s">
        <v>11120</v>
      </c>
      <c r="F2327" t="s">
        <v>5</v>
      </c>
      <c r="G2327" t="s">
        <v>6</v>
      </c>
      <c r="L2327" t="s">
        <v>7</v>
      </c>
      <c r="M2327">
        <v>2016</v>
      </c>
      <c r="N2327" s="1">
        <v>42674</v>
      </c>
      <c r="O2327" t="s">
        <v>11121</v>
      </c>
      <c r="P2327">
        <v>1</v>
      </c>
      <c r="Q2327" t="s">
        <v>5764</v>
      </c>
      <c r="S2327">
        <v>217.95</v>
      </c>
      <c r="T2327">
        <v>250</v>
      </c>
      <c r="U2327">
        <v>190</v>
      </c>
      <c r="V2327" t="s">
        <v>42</v>
      </c>
      <c r="W2327" t="s">
        <v>43</v>
      </c>
      <c r="X2327" t="s">
        <v>44</v>
      </c>
      <c r="Y2327" t="s">
        <v>45</v>
      </c>
      <c r="AF2327" t="s">
        <v>13</v>
      </c>
      <c r="AG2327" t="str">
        <f>HYPERLINK("https://doi.org/10.1515/9781474403931")</f>
        <v>https://doi.org/10.1515/9781474403931</v>
      </c>
      <c r="AH2327" t="str">
        <f>HYPERLINK("http://www.degruyter.com/isbn/9781474403931")</f>
        <v>http://www.degruyter.com/isbn/9781474403931</v>
      </c>
      <c r="AI2327" t="s">
        <v>180</v>
      </c>
      <c r="AL2327" t="s">
        <v>47</v>
      </c>
      <c r="AM2327">
        <v>1</v>
      </c>
      <c r="AN2327" s="2">
        <v>9781474403924</v>
      </c>
    </row>
    <row r="2328" spans="1:40" x14ac:dyDescent="0.3">
      <c r="A2328" t="s">
        <v>11122</v>
      </c>
      <c r="B2328" t="s">
        <v>1</v>
      </c>
      <c r="C2328" t="s">
        <v>11123</v>
      </c>
      <c r="D2328" t="s">
        <v>11124</v>
      </c>
      <c r="E2328" t="s">
        <v>11125</v>
      </c>
      <c r="F2328" t="s">
        <v>5</v>
      </c>
      <c r="G2328" t="s">
        <v>6</v>
      </c>
      <c r="L2328" t="s">
        <v>7</v>
      </c>
      <c r="M2328">
        <v>2019</v>
      </c>
      <c r="N2328" s="1">
        <v>44656</v>
      </c>
      <c r="O2328" t="s">
        <v>11126</v>
      </c>
      <c r="P2328">
        <v>1</v>
      </c>
      <c r="Q2328" t="s">
        <v>6729</v>
      </c>
      <c r="S2328">
        <v>217.95</v>
      </c>
      <c r="T2328">
        <v>250</v>
      </c>
      <c r="U2328">
        <v>190</v>
      </c>
      <c r="V2328" t="s">
        <v>79</v>
      </c>
      <c r="W2328" t="s">
        <v>762</v>
      </c>
      <c r="X2328" t="s">
        <v>762</v>
      </c>
      <c r="Y2328" t="s">
        <v>763</v>
      </c>
      <c r="AF2328" t="s">
        <v>13</v>
      </c>
      <c r="AG2328" t="str">
        <f>HYPERLINK("https://doi.org/10.1515/9781474438193")</f>
        <v>https://doi.org/10.1515/9781474438193</v>
      </c>
      <c r="AH2328" t="str">
        <f>HYPERLINK("http://www.degruyter.com/isbn/9781474438193")</f>
        <v>http://www.degruyter.com/isbn/9781474438193</v>
      </c>
      <c r="AI2328" t="s">
        <v>280</v>
      </c>
      <c r="AL2328" t="s">
        <v>83</v>
      </c>
      <c r="AM2328">
        <v>1</v>
      </c>
      <c r="AN2328" s="2">
        <v>9781474438179</v>
      </c>
    </row>
    <row r="2329" spans="1:40" x14ac:dyDescent="0.3">
      <c r="A2329" t="s">
        <v>11127</v>
      </c>
      <c r="B2329" t="s">
        <v>1</v>
      </c>
      <c r="C2329" t="s">
        <v>11128</v>
      </c>
      <c r="D2329" t="s">
        <v>11129</v>
      </c>
      <c r="E2329" t="s">
        <v>11130</v>
      </c>
      <c r="F2329" t="s">
        <v>5</v>
      </c>
      <c r="G2329" t="s">
        <v>6</v>
      </c>
      <c r="L2329" t="s">
        <v>7</v>
      </c>
      <c r="M2329">
        <v>1995</v>
      </c>
      <c r="N2329" s="1">
        <v>44607</v>
      </c>
      <c r="O2329" t="s">
        <v>11131</v>
      </c>
      <c r="P2329">
        <v>1</v>
      </c>
      <c r="Q2329" t="s">
        <v>6528</v>
      </c>
      <c r="S2329">
        <v>217.95</v>
      </c>
      <c r="T2329">
        <v>250</v>
      </c>
      <c r="U2329">
        <v>190</v>
      </c>
      <c r="V2329" t="s">
        <v>268</v>
      </c>
      <c r="W2329" t="s">
        <v>269</v>
      </c>
      <c r="X2329" t="s">
        <v>269</v>
      </c>
      <c r="Y2329" t="s">
        <v>5838</v>
      </c>
      <c r="AF2329" t="s">
        <v>13</v>
      </c>
      <c r="AG2329" t="str">
        <f>HYPERLINK("https://doi.org/10.1515/9781474470599")</f>
        <v>https://doi.org/10.1515/9781474470599</v>
      </c>
      <c r="AH2329" t="str">
        <f>HYPERLINK("http://www.degruyter.com/isbn/9781474470599")</f>
        <v>http://www.degruyter.com/isbn/9781474470599</v>
      </c>
      <c r="AI2329" t="s">
        <v>6522</v>
      </c>
      <c r="AL2329" t="s">
        <v>272</v>
      </c>
      <c r="AM2329">
        <v>1</v>
      </c>
      <c r="AN2329" s="2">
        <v>9780748605941</v>
      </c>
    </row>
    <row r="2330" spans="1:40" x14ac:dyDescent="0.3">
      <c r="A2330" t="s">
        <v>11132</v>
      </c>
      <c r="B2330" t="s">
        <v>1</v>
      </c>
      <c r="C2330" t="s">
        <v>11133</v>
      </c>
      <c r="E2330" t="s">
        <v>11134</v>
      </c>
      <c r="F2330" t="s">
        <v>5</v>
      </c>
      <c r="G2330" t="s">
        <v>6</v>
      </c>
      <c r="L2330" t="s">
        <v>7</v>
      </c>
      <c r="M2330">
        <v>2014</v>
      </c>
      <c r="N2330" s="1">
        <v>41667</v>
      </c>
      <c r="O2330" t="s">
        <v>11135</v>
      </c>
      <c r="P2330">
        <v>1</v>
      </c>
      <c r="Q2330" t="s">
        <v>8650</v>
      </c>
      <c r="S2330">
        <v>217.95</v>
      </c>
      <c r="T2330">
        <v>250</v>
      </c>
      <c r="U2330">
        <v>190</v>
      </c>
      <c r="V2330" t="s">
        <v>20</v>
      </c>
      <c r="W2330" t="s">
        <v>21</v>
      </c>
      <c r="X2330" t="s">
        <v>22</v>
      </c>
      <c r="Y2330" t="s">
        <v>23</v>
      </c>
      <c r="AF2330" t="s">
        <v>13</v>
      </c>
      <c r="AG2330" t="str">
        <f>HYPERLINK("https://doi.org/10.1515/9780748646432")</f>
        <v>https://doi.org/10.1515/9780748646432</v>
      </c>
      <c r="AH2330" t="str">
        <f>HYPERLINK("http://www.degruyter.com/isbn/9780748646432")</f>
        <v>http://www.degruyter.com/isbn/9780748646432</v>
      </c>
      <c r="AI2330" t="s">
        <v>34</v>
      </c>
      <c r="AL2330" t="s">
        <v>15</v>
      </c>
      <c r="AM2330">
        <v>1</v>
      </c>
      <c r="AN2330" s="2">
        <v>9780748646425</v>
      </c>
    </row>
    <row r="2331" spans="1:40" x14ac:dyDescent="0.3">
      <c r="A2331" t="s">
        <v>11136</v>
      </c>
      <c r="B2331" t="s">
        <v>1</v>
      </c>
      <c r="C2331" t="s">
        <v>11137</v>
      </c>
      <c r="D2331" t="s">
        <v>4112</v>
      </c>
      <c r="E2331" t="s">
        <v>11138</v>
      </c>
      <c r="F2331" t="s">
        <v>5</v>
      </c>
      <c r="G2331" t="s">
        <v>6</v>
      </c>
      <c r="L2331" t="s">
        <v>7</v>
      </c>
      <c r="M2331">
        <v>2018</v>
      </c>
      <c r="N2331" s="1">
        <v>44656</v>
      </c>
      <c r="O2331" t="s">
        <v>11139</v>
      </c>
      <c r="P2331">
        <v>1</v>
      </c>
      <c r="Q2331" t="s">
        <v>7449</v>
      </c>
      <c r="S2331">
        <v>253.95</v>
      </c>
      <c r="T2331">
        <v>290</v>
      </c>
      <c r="U2331">
        <v>220</v>
      </c>
      <c r="V2331" t="s">
        <v>79</v>
      </c>
      <c r="W2331" t="s">
        <v>123</v>
      </c>
      <c r="X2331" t="s">
        <v>123</v>
      </c>
      <c r="Y2331" t="s">
        <v>124</v>
      </c>
      <c r="AF2331" t="s">
        <v>13</v>
      </c>
      <c r="AG2331" t="str">
        <f>HYPERLINK("https://doi.org/10.1515/9780748691951")</f>
        <v>https://doi.org/10.1515/9780748691951</v>
      </c>
      <c r="AH2331" t="str">
        <f>HYPERLINK("http://www.degruyter.com/isbn/9780748691951")</f>
        <v>http://www.degruyter.com/isbn/9780748691951</v>
      </c>
      <c r="AI2331" t="s">
        <v>46</v>
      </c>
      <c r="AJ2331" t="s">
        <v>35</v>
      </c>
      <c r="AL2331" t="s">
        <v>718</v>
      </c>
      <c r="AM2331">
        <v>1</v>
      </c>
      <c r="AN2331" s="2">
        <v>9780748691937</v>
      </c>
    </row>
    <row r="2332" spans="1:40" x14ac:dyDescent="0.3">
      <c r="A2332" t="s">
        <v>11140</v>
      </c>
      <c r="B2332" t="s">
        <v>1</v>
      </c>
      <c r="C2332" t="s">
        <v>11141</v>
      </c>
      <c r="D2332" t="s">
        <v>11142</v>
      </c>
      <c r="E2332" t="s">
        <v>11143</v>
      </c>
      <c r="F2332" t="s">
        <v>5</v>
      </c>
      <c r="G2332" t="s">
        <v>6</v>
      </c>
      <c r="L2332" t="s">
        <v>7</v>
      </c>
      <c r="M2332">
        <v>2016</v>
      </c>
      <c r="N2332" s="1">
        <v>42580</v>
      </c>
      <c r="O2332" t="s">
        <v>11144</v>
      </c>
      <c r="P2332">
        <v>1</v>
      </c>
      <c r="Q2332" t="s">
        <v>8869</v>
      </c>
      <c r="S2332">
        <v>227.95</v>
      </c>
      <c r="T2332">
        <v>260</v>
      </c>
      <c r="U2332">
        <v>200</v>
      </c>
      <c r="V2332" t="s">
        <v>268</v>
      </c>
      <c r="W2332" t="s">
        <v>269</v>
      </c>
      <c r="X2332" t="s">
        <v>269</v>
      </c>
      <c r="Y2332" t="s">
        <v>360</v>
      </c>
      <c r="AF2332" t="s">
        <v>13</v>
      </c>
      <c r="AG2332" t="str">
        <f>HYPERLINK("https://doi.org/10.1515/9781474411868?locatt=mode:legacy")</f>
        <v>https://doi.org/10.1515/9781474411868?locatt=mode:legacy</v>
      </c>
      <c r="AH2332" t="str">
        <f>HYPERLINK("http://www.degruyter.com/isbn/9781474411868")</f>
        <v>http://www.degruyter.com/isbn/9781474411868</v>
      </c>
      <c r="AI2332" t="s">
        <v>1411</v>
      </c>
      <c r="AL2332" t="s">
        <v>272</v>
      </c>
      <c r="AM2332">
        <v>1</v>
      </c>
      <c r="AN2332" s="2">
        <v>9781474411844</v>
      </c>
    </row>
    <row r="2333" spans="1:40" x14ac:dyDescent="0.3">
      <c r="A2333" t="s">
        <v>11145</v>
      </c>
      <c r="B2333" t="s">
        <v>1</v>
      </c>
      <c r="C2333" t="s">
        <v>11146</v>
      </c>
      <c r="D2333" t="s">
        <v>11147</v>
      </c>
      <c r="E2333" t="s">
        <v>11148</v>
      </c>
      <c r="F2333" t="s">
        <v>5</v>
      </c>
      <c r="G2333" t="s">
        <v>6</v>
      </c>
      <c r="L2333" t="s">
        <v>7</v>
      </c>
      <c r="M2333">
        <v>2018</v>
      </c>
      <c r="N2333" s="1">
        <v>44656</v>
      </c>
      <c r="O2333" t="s">
        <v>11149</v>
      </c>
      <c r="P2333">
        <v>1</v>
      </c>
      <c r="Q2333" t="s">
        <v>7283</v>
      </c>
      <c r="S2333">
        <v>217.95</v>
      </c>
      <c r="T2333">
        <v>250</v>
      </c>
      <c r="U2333">
        <v>190</v>
      </c>
      <c r="V2333" t="s">
        <v>9</v>
      </c>
      <c r="W2333" t="s">
        <v>10</v>
      </c>
      <c r="X2333" t="s">
        <v>11</v>
      </c>
      <c r="Y2333" t="s">
        <v>52</v>
      </c>
      <c r="AF2333" t="s">
        <v>13</v>
      </c>
      <c r="AG2333" t="str">
        <f>HYPERLINK("https://doi.org/10.1515/9780748694129")</f>
        <v>https://doi.org/10.1515/9780748694129</v>
      </c>
      <c r="AH2333" t="str">
        <f>HYPERLINK("http://www.degruyter.com/isbn/9780748694129")</f>
        <v>http://www.degruyter.com/isbn/9780748694129</v>
      </c>
      <c r="AI2333" t="s">
        <v>46</v>
      </c>
      <c r="AL2333" t="s">
        <v>15</v>
      </c>
      <c r="AM2333">
        <v>1</v>
      </c>
      <c r="AN2333" s="2">
        <v>9780748694112</v>
      </c>
    </row>
    <row r="2334" spans="1:40" x14ac:dyDescent="0.3">
      <c r="A2334" t="s">
        <v>11150</v>
      </c>
      <c r="B2334" t="s">
        <v>1</v>
      </c>
      <c r="C2334" t="s">
        <v>11151</v>
      </c>
      <c r="E2334" t="s">
        <v>11152</v>
      </c>
      <c r="F2334" t="s">
        <v>5</v>
      </c>
      <c r="G2334" t="s">
        <v>6</v>
      </c>
      <c r="L2334" t="s">
        <v>7</v>
      </c>
      <c r="M2334">
        <v>2005</v>
      </c>
      <c r="N2334" s="1">
        <v>38447</v>
      </c>
      <c r="O2334" t="s">
        <v>11153</v>
      </c>
      <c r="P2334">
        <v>1</v>
      </c>
      <c r="Q2334" t="s">
        <v>11154</v>
      </c>
      <c r="S2334">
        <v>253.95</v>
      </c>
      <c r="T2334">
        <v>290</v>
      </c>
      <c r="U2334">
        <v>220</v>
      </c>
      <c r="V2334" t="s">
        <v>58</v>
      </c>
      <c r="W2334" t="s">
        <v>129</v>
      </c>
      <c r="X2334" t="s">
        <v>130</v>
      </c>
      <c r="Y2334" t="s">
        <v>11155</v>
      </c>
      <c r="AF2334" t="s">
        <v>13</v>
      </c>
      <c r="AG2334" t="str">
        <f>HYPERLINK("https://doi.org/10.1515/9781474469845")</f>
        <v>https://doi.org/10.1515/9781474469845</v>
      </c>
      <c r="AH2334" t="str">
        <f>HYPERLINK("http://www.degruyter.com/isbn/9781474469845")</f>
        <v>http://www.degruyter.com/isbn/9781474469845</v>
      </c>
      <c r="AI2334" t="s">
        <v>68</v>
      </c>
      <c r="AL2334" t="s">
        <v>62</v>
      </c>
      <c r="AM2334">
        <v>1</v>
      </c>
      <c r="AN2334" s="2">
        <v>9780748618606</v>
      </c>
    </row>
    <row r="2335" spans="1:40" x14ac:dyDescent="0.3">
      <c r="A2335" t="s">
        <v>11156</v>
      </c>
      <c r="B2335" t="s">
        <v>1</v>
      </c>
      <c r="C2335" t="s">
        <v>11157</v>
      </c>
      <c r="D2335" t="s">
        <v>11158</v>
      </c>
      <c r="E2335" t="s">
        <v>11159</v>
      </c>
      <c r="F2335" t="s">
        <v>5</v>
      </c>
      <c r="G2335" t="s">
        <v>6</v>
      </c>
      <c r="L2335" t="s">
        <v>7</v>
      </c>
      <c r="M2335">
        <v>2020</v>
      </c>
      <c r="N2335" s="1">
        <v>44656</v>
      </c>
      <c r="O2335" t="s">
        <v>10620</v>
      </c>
      <c r="P2335">
        <v>1</v>
      </c>
      <c r="Q2335" t="s">
        <v>7194</v>
      </c>
      <c r="S2335">
        <v>217.95</v>
      </c>
      <c r="T2335">
        <v>250</v>
      </c>
      <c r="U2335">
        <v>190</v>
      </c>
      <c r="V2335" t="s">
        <v>42</v>
      </c>
      <c r="W2335" t="s">
        <v>116</v>
      </c>
      <c r="X2335" t="s">
        <v>116</v>
      </c>
      <c r="Y2335" t="s">
        <v>11160</v>
      </c>
      <c r="AF2335" t="s">
        <v>13</v>
      </c>
      <c r="AG2335" t="str">
        <f>HYPERLINK("https://doi.org/10.1515/9781474443371")</f>
        <v>https://doi.org/10.1515/9781474443371</v>
      </c>
      <c r="AH2335" t="str">
        <f>HYPERLINK("http://www.degruyter.com/isbn/9781474443371")</f>
        <v>http://www.degruyter.com/isbn/9781474443371</v>
      </c>
      <c r="AI2335" t="s">
        <v>14</v>
      </c>
      <c r="AL2335" t="s">
        <v>47</v>
      </c>
      <c r="AM2335">
        <v>1</v>
      </c>
      <c r="AN2335" s="2">
        <v>9781474443357</v>
      </c>
    </row>
    <row r="2336" spans="1:40" x14ac:dyDescent="0.3">
      <c r="A2336" t="s">
        <v>11161</v>
      </c>
      <c r="B2336" t="s">
        <v>1</v>
      </c>
      <c r="C2336" t="s">
        <v>11162</v>
      </c>
      <c r="D2336" t="s">
        <v>11163</v>
      </c>
      <c r="E2336" t="s">
        <v>11164</v>
      </c>
      <c r="F2336" t="s">
        <v>5</v>
      </c>
      <c r="G2336" t="s">
        <v>6</v>
      </c>
      <c r="L2336" t="s">
        <v>7</v>
      </c>
      <c r="M2336">
        <v>2017</v>
      </c>
      <c r="N2336" s="1">
        <v>42872</v>
      </c>
      <c r="O2336" t="s">
        <v>11165</v>
      </c>
      <c r="P2336">
        <v>1</v>
      </c>
      <c r="Q2336" t="s">
        <v>5754</v>
      </c>
      <c r="S2336">
        <v>253.95</v>
      </c>
      <c r="T2336">
        <v>290</v>
      </c>
      <c r="U2336">
        <v>220</v>
      </c>
      <c r="V2336" t="s">
        <v>79</v>
      </c>
      <c r="W2336" t="s">
        <v>123</v>
      </c>
      <c r="X2336" t="s">
        <v>123</v>
      </c>
      <c r="Y2336" t="s">
        <v>124</v>
      </c>
      <c r="AF2336" t="s">
        <v>13</v>
      </c>
      <c r="AG2336" t="str">
        <f>HYPERLINK("https://doi.org/10.1515/9781474420167")</f>
        <v>https://doi.org/10.1515/9781474420167</v>
      </c>
      <c r="AH2336" t="str">
        <f>HYPERLINK("http://www.degruyter.com/isbn/9781474420167")</f>
        <v>http://www.degruyter.com/isbn/9781474420167</v>
      </c>
      <c r="AI2336" t="s">
        <v>222</v>
      </c>
      <c r="AL2336" t="s">
        <v>83</v>
      </c>
      <c r="AM2336">
        <v>1</v>
      </c>
      <c r="AN2336" s="2">
        <v>9781474420143</v>
      </c>
    </row>
    <row r="2337" spans="1:40" x14ac:dyDescent="0.3">
      <c r="A2337" t="s">
        <v>11166</v>
      </c>
      <c r="B2337" t="s">
        <v>1</v>
      </c>
      <c r="C2337" t="s">
        <v>11167</v>
      </c>
      <c r="E2337" t="s">
        <v>11168</v>
      </c>
      <c r="F2337" t="s">
        <v>5</v>
      </c>
      <c r="G2337" t="s">
        <v>6</v>
      </c>
      <c r="L2337" t="s">
        <v>7</v>
      </c>
      <c r="M2337">
        <v>2010</v>
      </c>
      <c r="N2337" s="1">
        <v>40193</v>
      </c>
      <c r="O2337" t="s">
        <v>11169</v>
      </c>
      <c r="P2337">
        <v>1</v>
      </c>
      <c r="Q2337" t="s">
        <v>7027</v>
      </c>
      <c r="S2337">
        <v>217.95</v>
      </c>
      <c r="T2337">
        <v>250</v>
      </c>
      <c r="U2337">
        <v>190</v>
      </c>
      <c r="V2337" t="s">
        <v>98</v>
      </c>
      <c r="W2337" t="s">
        <v>99</v>
      </c>
      <c r="X2337" t="s">
        <v>100</v>
      </c>
      <c r="Y2337" t="s">
        <v>101</v>
      </c>
      <c r="AF2337" t="s">
        <v>13</v>
      </c>
      <c r="AG2337" t="str">
        <f>HYPERLINK("https://doi.org/10.1515/9780748634309?locatt=mode:legacy")</f>
        <v>https://doi.org/10.1515/9780748634309?locatt=mode:legacy</v>
      </c>
      <c r="AH2337" t="str">
        <f>HYPERLINK("http://www.degruyter.com/isbn/9780748634309")</f>
        <v>http://www.degruyter.com/isbn/9780748634309</v>
      </c>
      <c r="AI2337" t="s">
        <v>68</v>
      </c>
      <c r="AL2337" t="s">
        <v>102</v>
      </c>
      <c r="AM2337">
        <v>1</v>
      </c>
      <c r="AN2337" s="2">
        <v>9780748634286</v>
      </c>
    </row>
    <row r="2338" spans="1:40" x14ac:dyDescent="0.3">
      <c r="A2338" t="s">
        <v>11170</v>
      </c>
      <c r="B2338" t="s">
        <v>1</v>
      </c>
      <c r="C2338" t="s">
        <v>11171</v>
      </c>
      <c r="E2338" t="s">
        <v>11172</v>
      </c>
      <c r="F2338" t="s">
        <v>5</v>
      </c>
      <c r="G2338" t="s">
        <v>6</v>
      </c>
      <c r="L2338" t="s">
        <v>7</v>
      </c>
      <c r="M2338">
        <v>2011</v>
      </c>
      <c r="N2338" s="1">
        <v>40679</v>
      </c>
      <c r="O2338" t="s">
        <v>11173</v>
      </c>
      <c r="P2338">
        <v>1</v>
      </c>
      <c r="Q2338" t="s">
        <v>7047</v>
      </c>
      <c r="S2338">
        <v>191.95</v>
      </c>
      <c r="T2338">
        <v>220</v>
      </c>
      <c r="U2338">
        <v>170</v>
      </c>
      <c r="V2338" t="s">
        <v>42</v>
      </c>
      <c r="W2338" t="s">
        <v>107</v>
      </c>
      <c r="X2338" t="s">
        <v>108</v>
      </c>
      <c r="Y2338" t="s">
        <v>952</v>
      </c>
      <c r="AF2338" t="s">
        <v>13</v>
      </c>
      <c r="AG2338" t="str">
        <f>HYPERLINK("https://doi.org/10.1515/9780748646333")</f>
        <v>https://doi.org/10.1515/9780748646333</v>
      </c>
      <c r="AH2338" t="str">
        <f>HYPERLINK("http://www.degruyter.com/isbn/9780748646333")</f>
        <v>http://www.degruyter.com/isbn/9780748646333</v>
      </c>
      <c r="AI2338" t="s">
        <v>68</v>
      </c>
      <c r="AL2338" t="s">
        <v>47</v>
      </c>
      <c r="AM2338">
        <v>1</v>
      </c>
      <c r="AN2338" s="2">
        <v>9780748641901</v>
      </c>
    </row>
    <row r="2339" spans="1:40" x14ac:dyDescent="0.3">
      <c r="A2339" t="s">
        <v>11174</v>
      </c>
      <c r="B2339" t="s">
        <v>1</v>
      </c>
      <c r="C2339" t="s">
        <v>11175</v>
      </c>
      <c r="E2339" t="s">
        <v>11176</v>
      </c>
      <c r="F2339" t="s">
        <v>5</v>
      </c>
      <c r="G2339" t="s">
        <v>6</v>
      </c>
      <c r="L2339" t="s">
        <v>7</v>
      </c>
      <c r="M2339">
        <v>2005</v>
      </c>
      <c r="N2339" s="1">
        <v>38706</v>
      </c>
      <c r="O2339" t="s">
        <v>11177</v>
      </c>
      <c r="P2339">
        <v>1</v>
      </c>
      <c r="Q2339" t="s">
        <v>7187</v>
      </c>
      <c r="S2339">
        <v>253.95</v>
      </c>
      <c r="T2339">
        <v>290</v>
      </c>
      <c r="U2339">
        <v>220</v>
      </c>
      <c r="V2339" t="s">
        <v>98</v>
      </c>
      <c r="W2339" t="s">
        <v>99</v>
      </c>
      <c r="X2339" t="s">
        <v>386</v>
      </c>
      <c r="Y2339" t="s">
        <v>387</v>
      </c>
      <c r="AF2339" t="s">
        <v>13</v>
      </c>
      <c r="AG2339" t="str">
        <f>HYPERLINK("https://doi.org/10.1515/9780748626373")</f>
        <v>https://doi.org/10.1515/9780748626373</v>
      </c>
      <c r="AH2339" t="str">
        <f>HYPERLINK("http://www.degruyter.com/isbn/9780748626373")</f>
        <v>http://www.degruyter.com/isbn/9780748626373</v>
      </c>
      <c r="AI2339" t="s">
        <v>68</v>
      </c>
      <c r="AL2339" t="s">
        <v>102</v>
      </c>
      <c r="AM2339">
        <v>1</v>
      </c>
      <c r="AN2339" s="2">
        <v>9780748620418</v>
      </c>
    </row>
    <row r="2340" spans="1:40" x14ac:dyDescent="0.3">
      <c r="A2340" t="s">
        <v>11178</v>
      </c>
      <c r="B2340" t="s">
        <v>1</v>
      </c>
      <c r="C2340" t="s">
        <v>11179</v>
      </c>
      <c r="D2340" t="s">
        <v>11180</v>
      </c>
      <c r="E2340" t="s">
        <v>11181</v>
      </c>
      <c r="F2340" t="s">
        <v>5</v>
      </c>
      <c r="G2340" t="s">
        <v>6</v>
      </c>
      <c r="L2340" t="s">
        <v>7</v>
      </c>
      <c r="M2340">
        <v>2000</v>
      </c>
      <c r="N2340" s="1">
        <v>36571</v>
      </c>
      <c r="O2340" t="s">
        <v>11182</v>
      </c>
      <c r="P2340">
        <v>1</v>
      </c>
      <c r="Q2340" t="s">
        <v>11183</v>
      </c>
      <c r="S2340">
        <v>217.95</v>
      </c>
      <c r="T2340">
        <v>250</v>
      </c>
      <c r="U2340">
        <v>190</v>
      </c>
      <c r="V2340" t="s">
        <v>58</v>
      </c>
      <c r="W2340" t="s">
        <v>129</v>
      </c>
      <c r="X2340" t="s">
        <v>130</v>
      </c>
      <c r="Y2340" t="s">
        <v>7633</v>
      </c>
      <c r="AF2340" t="s">
        <v>13</v>
      </c>
      <c r="AG2340" t="str">
        <f>HYPERLINK("https://doi.org/10.1515/9780585441702")</f>
        <v>https://doi.org/10.1515/9780585441702</v>
      </c>
      <c r="AH2340" t="str">
        <f>HYPERLINK("http://www.degruyter.com/isbn/9780585441702")</f>
        <v>http://www.degruyter.com/isbn/9780585441702</v>
      </c>
      <c r="AI2340" t="s">
        <v>68</v>
      </c>
      <c r="AL2340" t="s">
        <v>62</v>
      </c>
      <c r="AM2340">
        <v>1</v>
      </c>
      <c r="AN2340" s="2">
        <v>9780748613618</v>
      </c>
    </row>
    <row r="2341" spans="1:40" x14ac:dyDescent="0.3">
      <c r="A2341" t="s">
        <v>11184</v>
      </c>
      <c r="B2341" t="s">
        <v>1</v>
      </c>
      <c r="C2341" t="s">
        <v>11185</v>
      </c>
      <c r="D2341" t="s">
        <v>11186</v>
      </c>
      <c r="E2341" t="s">
        <v>11187</v>
      </c>
      <c r="F2341" t="s">
        <v>5</v>
      </c>
      <c r="G2341" t="s">
        <v>6</v>
      </c>
      <c r="L2341" t="s">
        <v>7</v>
      </c>
      <c r="M2341">
        <v>2016</v>
      </c>
      <c r="N2341" s="1">
        <v>42486</v>
      </c>
      <c r="O2341" t="s">
        <v>11188</v>
      </c>
      <c r="P2341">
        <v>1</v>
      </c>
      <c r="Q2341" t="s">
        <v>5764</v>
      </c>
      <c r="S2341">
        <v>217.95</v>
      </c>
      <c r="T2341">
        <v>250</v>
      </c>
      <c r="U2341">
        <v>190</v>
      </c>
      <c r="V2341" t="s">
        <v>42</v>
      </c>
      <c r="W2341" t="s">
        <v>43</v>
      </c>
      <c r="X2341" t="s">
        <v>44</v>
      </c>
      <c r="Y2341" t="s">
        <v>45</v>
      </c>
      <c r="AF2341" t="s">
        <v>13</v>
      </c>
      <c r="AG2341" t="str">
        <f>HYPERLINK("https://doi.org/10.1515/9780748693009")</f>
        <v>https://doi.org/10.1515/9780748693009</v>
      </c>
      <c r="AH2341" t="str">
        <f>HYPERLINK("http://www.degruyter.com/isbn/9780748693009")</f>
        <v>http://www.degruyter.com/isbn/9780748693009</v>
      </c>
      <c r="AI2341" t="s">
        <v>180</v>
      </c>
      <c r="AL2341" t="s">
        <v>47</v>
      </c>
      <c r="AM2341">
        <v>1</v>
      </c>
      <c r="AN2341" s="2">
        <v>9780748692996</v>
      </c>
    </row>
    <row r="2342" spans="1:40" x14ac:dyDescent="0.3">
      <c r="A2342" t="s">
        <v>11189</v>
      </c>
      <c r="B2342" t="s">
        <v>1</v>
      </c>
      <c r="C2342" t="s">
        <v>11190</v>
      </c>
      <c r="D2342" t="s">
        <v>11191</v>
      </c>
      <c r="E2342" t="s">
        <v>11192</v>
      </c>
      <c r="F2342" t="s">
        <v>5</v>
      </c>
      <c r="G2342" t="s">
        <v>6</v>
      </c>
      <c r="L2342" t="s">
        <v>7</v>
      </c>
      <c r="M2342">
        <v>1994</v>
      </c>
      <c r="N2342" s="1">
        <v>44719</v>
      </c>
      <c r="O2342" t="s">
        <v>11193</v>
      </c>
      <c r="P2342">
        <v>1</v>
      </c>
      <c r="Q2342" t="s">
        <v>6939</v>
      </c>
      <c r="S2342">
        <v>217.95</v>
      </c>
      <c r="T2342">
        <v>250</v>
      </c>
      <c r="U2342">
        <v>190</v>
      </c>
      <c r="V2342" t="s">
        <v>42</v>
      </c>
      <c r="W2342" t="s">
        <v>116</v>
      </c>
      <c r="X2342" t="s">
        <v>116</v>
      </c>
      <c r="Y2342" t="s">
        <v>117</v>
      </c>
      <c r="AF2342" t="s">
        <v>13</v>
      </c>
      <c r="AG2342" t="str">
        <f>HYPERLINK("https://doi.org/10.1515/9781474472524")</f>
        <v>https://doi.org/10.1515/9781474472524</v>
      </c>
      <c r="AH2342" t="str">
        <f>HYPERLINK("http://www.degruyter.com/isbn/9781474472524")</f>
        <v>http://www.degruyter.com/isbn/9781474472524</v>
      </c>
      <c r="AI2342" t="s">
        <v>24</v>
      </c>
      <c r="AL2342" t="s">
        <v>47</v>
      </c>
      <c r="AM2342">
        <v>1</v>
      </c>
      <c r="AN2342" s="2">
        <v>9780748605125</v>
      </c>
    </row>
    <row r="2343" spans="1:40" x14ac:dyDescent="0.3">
      <c r="A2343" t="s">
        <v>11194</v>
      </c>
      <c r="B2343" t="s">
        <v>1</v>
      </c>
      <c r="C2343" t="s">
        <v>11195</v>
      </c>
      <c r="D2343" t="s">
        <v>11196</v>
      </c>
      <c r="E2343" t="s">
        <v>11197</v>
      </c>
      <c r="F2343" t="s">
        <v>5</v>
      </c>
      <c r="G2343" t="s">
        <v>6</v>
      </c>
      <c r="L2343" t="s">
        <v>7</v>
      </c>
      <c r="M2343">
        <v>2011</v>
      </c>
      <c r="N2343" s="1">
        <v>40827</v>
      </c>
      <c r="O2343" t="s">
        <v>11198</v>
      </c>
      <c r="P2343">
        <v>1</v>
      </c>
      <c r="Q2343" t="s">
        <v>6815</v>
      </c>
      <c r="S2343">
        <v>217.95</v>
      </c>
      <c r="T2343">
        <v>250</v>
      </c>
      <c r="U2343">
        <v>190</v>
      </c>
      <c r="V2343" t="s">
        <v>9</v>
      </c>
      <c r="W2343" t="s">
        <v>10</v>
      </c>
      <c r="X2343" t="s">
        <v>44</v>
      </c>
      <c r="Y2343" t="s">
        <v>11199</v>
      </c>
      <c r="AF2343" t="s">
        <v>13</v>
      </c>
      <c r="AG2343" t="str">
        <f>HYPERLINK("https://doi.org/10.1515/9780748631278")</f>
        <v>https://doi.org/10.1515/9780748631278</v>
      </c>
      <c r="AH2343" t="str">
        <f>HYPERLINK("http://www.degruyter.com/isbn/9780748631278")</f>
        <v>http://www.degruyter.com/isbn/9780748631278</v>
      </c>
      <c r="AI2343" t="s">
        <v>68</v>
      </c>
      <c r="AL2343" t="s">
        <v>15</v>
      </c>
      <c r="AM2343">
        <v>1</v>
      </c>
      <c r="AN2343" s="2">
        <v>9780748645206</v>
      </c>
    </row>
    <row r="2344" spans="1:40" x14ac:dyDescent="0.3">
      <c r="A2344" t="s">
        <v>11200</v>
      </c>
      <c r="B2344" t="s">
        <v>1</v>
      </c>
      <c r="C2344" t="s">
        <v>11201</v>
      </c>
      <c r="D2344" t="s">
        <v>11202</v>
      </c>
      <c r="E2344" t="s">
        <v>11203</v>
      </c>
      <c r="F2344" t="s">
        <v>5</v>
      </c>
      <c r="G2344" t="s">
        <v>6</v>
      </c>
      <c r="L2344" t="s">
        <v>7</v>
      </c>
      <c r="M2344">
        <v>1997</v>
      </c>
      <c r="N2344" s="1">
        <v>44607</v>
      </c>
      <c r="O2344" t="s">
        <v>11204</v>
      </c>
      <c r="P2344">
        <v>1</v>
      </c>
      <c r="Q2344" t="s">
        <v>11205</v>
      </c>
      <c r="S2344">
        <v>217.95</v>
      </c>
      <c r="T2344">
        <v>250</v>
      </c>
      <c r="U2344">
        <v>190</v>
      </c>
      <c r="V2344" t="s">
        <v>98</v>
      </c>
      <c r="W2344" t="s">
        <v>256</v>
      </c>
      <c r="X2344" t="s">
        <v>4297</v>
      </c>
      <c r="Y2344" t="s">
        <v>4298</v>
      </c>
      <c r="AF2344" t="s">
        <v>13</v>
      </c>
      <c r="AG2344" t="str">
        <f>HYPERLINK("https://doi.org/10.1515/9781474470483")</f>
        <v>https://doi.org/10.1515/9781474470483</v>
      </c>
      <c r="AH2344" t="str">
        <f>HYPERLINK("http://www.degruyter.com/isbn/9781474470483")</f>
        <v>http://www.degruyter.com/isbn/9781474470483</v>
      </c>
      <c r="AI2344" t="s">
        <v>24</v>
      </c>
      <c r="AL2344" t="s">
        <v>102</v>
      </c>
      <c r="AM2344">
        <v>1</v>
      </c>
      <c r="AN2344" s="2">
        <v>9780748609307</v>
      </c>
    </row>
    <row r="2345" spans="1:40" x14ac:dyDescent="0.3">
      <c r="A2345" t="s">
        <v>11206</v>
      </c>
      <c r="B2345" t="s">
        <v>1</v>
      </c>
      <c r="C2345" t="s">
        <v>11207</v>
      </c>
      <c r="E2345" t="s">
        <v>11208</v>
      </c>
      <c r="F2345" t="s">
        <v>5</v>
      </c>
      <c r="G2345" t="s">
        <v>6</v>
      </c>
      <c r="L2345" t="s">
        <v>7</v>
      </c>
      <c r="M2345">
        <v>2010</v>
      </c>
      <c r="N2345" s="1">
        <v>40237</v>
      </c>
      <c r="O2345" t="s">
        <v>11209</v>
      </c>
      <c r="P2345">
        <v>1</v>
      </c>
      <c r="Q2345" t="s">
        <v>7606</v>
      </c>
      <c r="S2345">
        <v>217.95</v>
      </c>
      <c r="T2345">
        <v>250</v>
      </c>
      <c r="U2345">
        <v>190</v>
      </c>
      <c r="V2345" t="s">
        <v>42</v>
      </c>
      <c r="W2345" t="s">
        <v>43</v>
      </c>
      <c r="X2345" t="s">
        <v>44</v>
      </c>
      <c r="Y2345" t="s">
        <v>45</v>
      </c>
      <c r="AF2345" t="s">
        <v>13</v>
      </c>
      <c r="AG2345" t="str">
        <f>HYPERLINK("https://doi.org/10.1515/9780748637737?locatt=mode:legacy")</f>
        <v>https://doi.org/10.1515/9780748637737?locatt=mode:legacy</v>
      </c>
      <c r="AH2345" t="str">
        <f>HYPERLINK("http://www.degruyter.com/isbn/9780748637737")</f>
        <v>http://www.degruyter.com/isbn/9780748637737</v>
      </c>
      <c r="AI2345" t="s">
        <v>68</v>
      </c>
      <c r="AL2345" t="s">
        <v>47</v>
      </c>
      <c r="AM2345">
        <v>1</v>
      </c>
      <c r="AN2345" s="2">
        <v>9780748637713</v>
      </c>
    </row>
    <row r="2346" spans="1:40" x14ac:dyDescent="0.3">
      <c r="A2346" t="s">
        <v>11210</v>
      </c>
      <c r="B2346" t="s">
        <v>1</v>
      </c>
      <c r="C2346" t="s">
        <v>11211</v>
      </c>
      <c r="E2346" t="s">
        <v>11212</v>
      </c>
      <c r="F2346" t="s">
        <v>5</v>
      </c>
      <c r="G2346" t="s">
        <v>6</v>
      </c>
      <c r="L2346" t="s">
        <v>7</v>
      </c>
      <c r="M2346">
        <v>2007</v>
      </c>
      <c r="N2346" s="1">
        <v>39275</v>
      </c>
      <c r="O2346" t="s">
        <v>3962</v>
      </c>
      <c r="P2346">
        <v>1</v>
      </c>
      <c r="Q2346" t="s">
        <v>11213</v>
      </c>
      <c r="S2346">
        <v>243.95</v>
      </c>
      <c r="T2346">
        <v>280</v>
      </c>
      <c r="U2346">
        <v>210</v>
      </c>
      <c r="V2346" t="s">
        <v>20</v>
      </c>
      <c r="W2346" t="s">
        <v>21</v>
      </c>
      <c r="X2346" t="s">
        <v>22</v>
      </c>
      <c r="Y2346" t="s">
        <v>23</v>
      </c>
      <c r="AF2346" t="s">
        <v>13</v>
      </c>
      <c r="AG2346" t="str">
        <f>HYPERLINK("https://doi.org/10.1515/9780748629589?locatt=mode:legacy")</f>
        <v>https://doi.org/10.1515/9780748629589?locatt=mode:legacy</v>
      </c>
      <c r="AH2346" t="str">
        <f>HYPERLINK("http://www.degruyter.com/isbn/9780748629589")</f>
        <v>http://www.degruyter.com/isbn/9780748629589</v>
      </c>
      <c r="AI2346" t="s">
        <v>68</v>
      </c>
      <c r="AL2346" t="s">
        <v>15</v>
      </c>
      <c r="AM2346">
        <v>1</v>
      </c>
      <c r="AN2346" s="2">
        <v>9780748621828</v>
      </c>
    </row>
    <row r="2347" spans="1:40" x14ac:dyDescent="0.3">
      <c r="A2347" t="s">
        <v>11214</v>
      </c>
      <c r="B2347" t="s">
        <v>1</v>
      </c>
      <c r="C2347" t="s">
        <v>11215</v>
      </c>
      <c r="E2347" t="s">
        <v>11216</v>
      </c>
      <c r="F2347" t="s">
        <v>5</v>
      </c>
      <c r="G2347" t="s">
        <v>6</v>
      </c>
      <c r="L2347" t="s">
        <v>7</v>
      </c>
      <c r="M2347">
        <v>2021</v>
      </c>
      <c r="N2347" s="1">
        <v>44644</v>
      </c>
      <c r="O2347" t="s">
        <v>11217</v>
      </c>
      <c r="P2347">
        <v>1</v>
      </c>
      <c r="Q2347" t="s">
        <v>8750</v>
      </c>
      <c r="S2347">
        <v>209.95</v>
      </c>
      <c r="T2347">
        <v>240</v>
      </c>
      <c r="U2347">
        <v>180</v>
      </c>
      <c r="V2347" t="s">
        <v>42</v>
      </c>
      <c r="W2347" t="s">
        <v>107</v>
      </c>
      <c r="X2347" t="s">
        <v>108</v>
      </c>
      <c r="Y2347" t="s">
        <v>952</v>
      </c>
      <c r="AF2347" t="s">
        <v>13</v>
      </c>
      <c r="AG2347" t="str">
        <f>HYPERLINK("https://doi.org/10.1515/9781474491921")</f>
        <v>https://doi.org/10.1515/9781474491921</v>
      </c>
      <c r="AH2347" t="str">
        <f>HYPERLINK("http://www.degruyter.com/isbn/9781474491921")</f>
        <v>http://www.degruyter.com/isbn/9781474491921</v>
      </c>
      <c r="AI2347" t="s">
        <v>1561</v>
      </c>
      <c r="AL2347" t="s">
        <v>47</v>
      </c>
      <c r="AM2347">
        <v>1</v>
      </c>
      <c r="AN2347" s="2">
        <v>9781474491907</v>
      </c>
    </row>
    <row r="2348" spans="1:40" x14ac:dyDescent="0.3">
      <c r="A2348" t="s">
        <v>11218</v>
      </c>
      <c r="B2348" t="s">
        <v>1</v>
      </c>
      <c r="C2348" t="s">
        <v>11219</v>
      </c>
      <c r="D2348" t="s">
        <v>11220</v>
      </c>
      <c r="E2348" t="s">
        <v>11221</v>
      </c>
      <c r="F2348" t="s">
        <v>5</v>
      </c>
      <c r="G2348" t="s">
        <v>6</v>
      </c>
      <c r="L2348" t="s">
        <v>7</v>
      </c>
      <c r="M2348">
        <v>2014</v>
      </c>
      <c r="N2348" s="1">
        <v>41897</v>
      </c>
      <c r="O2348" t="s">
        <v>11222</v>
      </c>
      <c r="P2348">
        <v>1</v>
      </c>
      <c r="Q2348" t="s">
        <v>7174</v>
      </c>
      <c r="S2348">
        <v>217.95</v>
      </c>
      <c r="T2348">
        <v>250</v>
      </c>
      <c r="U2348">
        <v>190</v>
      </c>
      <c r="V2348" t="s">
        <v>42</v>
      </c>
      <c r="W2348" t="s">
        <v>290</v>
      </c>
      <c r="X2348" t="s">
        <v>290</v>
      </c>
      <c r="Y2348" t="s">
        <v>515</v>
      </c>
      <c r="AF2348" t="s">
        <v>13</v>
      </c>
      <c r="AG2348" t="str">
        <f>HYPERLINK("https://doi.org/10.1515/9780748696642")</f>
        <v>https://doi.org/10.1515/9780748696642</v>
      </c>
      <c r="AH2348" t="str">
        <f>HYPERLINK("http://www.degruyter.com/isbn/9780748696642")</f>
        <v>http://www.degruyter.com/isbn/9780748696642</v>
      </c>
      <c r="AI2348" t="s">
        <v>34</v>
      </c>
      <c r="AL2348" t="s">
        <v>47</v>
      </c>
      <c r="AM2348">
        <v>1</v>
      </c>
      <c r="AN2348" s="2">
        <v>9780748642281</v>
      </c>
    </row>
    <row r="2349" spans="1:40" x14ac:dyDescent="0.3">
      <c r="A2349" t="s">
        <v>11223</v>
      </c>
      <c r="B2349" t="s">
        <v>1</v>
      </c>
      <c r="C2349" t="s">
        <v>11224</v>
      </c>
      <c r="E2349" t="s">
        <v>11225</v>
      </c>
      <c r="F2349" t="s">
        <v>5</v>
      </c>
      <c r="G2349" t="s">
        <v>6</v>
      </c>
      <c r="L2349" t="s">
        <v>7</v>
      </c>
      <c r="M2349">
        <v>2007</v>
      </c>
      <c r="N2349" s="1">
        <v>39154</v>
      </c>
      <c r="O2349" t="s">
        <v>1176</v>
      </c>
      <c r="P2349">
        <v>1</v>
      </c>
      <c r="Q2349" t="s">
        <v>6644</v>
      </c>
      <c r="S2349">
        <v>209.95</v>
      </c>
      <c r="T2349">
        <v>240</v>
      </c>
      <c r="U2349">
        <v>180</v>
      </c>
      <c r="V2349" t="s">
        <v>20</v>
      </c>
      <c r="W2349" t="s">
        <v>21</v>
      </c>
      <c r="X2349" t="s">
        <v>3445</v>
      </c>
      <c r="Y2349" t="s">
        <v>3446</v>
      </c>
      <c r="AF2349" t="s">
        <v>13</v>
      </c>
      <c r="AG2349" t="str">
        <f>HYPERLINK("https://doi.org/10.1515/9780748628902")</f>
        <v>https://doi.org/10.1515/9780748628902</v>
      </c>
      <c r="AH2349" t="str">
        <f>HYPERLINK("http://www.degruyter.com/isbn/9780748628902")</f>
        <v>http://www.degruyter.com/isbn/9780748628902</v>
      </c>
      <c r="AI2349" t="s">
        <v>68</v>
      </c>
      <c r="AL2349" t="s">
        <v>15</v>
      </c>
      <c r="AM2349">
        <v>1</v>
      </c>
      <c r="AN2349" s="2">
        <v>9780748618842</v>
      </c>
    </row>
    <row r="2350" spans="1:40" x14ac:dyDescent="0.3">
      <c r="A2350" t="s">
        <v>11226</v>
      </c>
      <c r="B2350" t="s">
        <v>1</v>
      </c>
      <c r="C2350" t="s">
        <v>11227</v>
      </c>
      <c r="E2350" t="s">
        <v>11228</v>
      </c>
      <c r="F2350" t="s">
        <v>5</v>
      </c>
      <c r="G2350" t="s">
        <v>6</v>
      </c>
      <c r="L2350" t="s">
        <v>7</v>
      </c>
      <c r="M2350">
        <v>2012</v>
      </c>
      <c r="N2350" s="1">
        <v>41225</v>
      </c>
      <c r="O2350" t="s">
        <v>11229</v>
      </c>
      <c r="P2350">
        <v>1</v>
      </c>
      <c r="Q2350" t="s">
        <v>6876</v>
      </c>
      <c r="S2350">
        <v>217.95</v>
      </c>
      <c r="T2350">
        <v>250</v>
      </c>
      <c r="U2350">
        <v>190</v>
      </c>
      <c r="V2350" t="s">
        <v>98</v>
      </c>
      <c r="W2350" t="s">
        <v>366</v>
      </c>
      <c r="X2350" t="s">
        <v>367</v>
      </c>
      <c r="Y2350" t="s">
        <v>368</v>
      </c>
      <c r="AF2350" t="s">
        <v>13</v>
      </c>
      <c r="AG2350" t="str">
        <f>HYPERLINK("https://doi.org/10.1515/9780748655649")</f>
        <v>https://doi.org/10.1515/9780748655649</v>
      </c>
      <c r="AH2350" t="str">
        <f>HYPERLINK("http://www.degruyter.com/isbn/9780748655649")</f>
        <v>http://www.degruyter.com/isbn/9780748655649</v>
      </c>
      <c r="AI2350" t="s">
        <v>68</v>
      </c>
      <c r="AL2350" t="s">
        <v>102</v>
      </c>
      <c r="AM2350">
        <v>1</v>
      </c>
      <c r="AN2350" s="2">
        <v>9780748641406</v>
      </c>
    </row>
    <row r="2351" spans="1:40" x14ac:dyDescent="0.3">
      <c r="A2351" t="s">
        <v>11230</v>
      </c>
      <c r="B2351" t="s">
        <v>1</v>
      </c>
      <c r="C2351" t="s">
        <v>6983</v>
      </c>
      <c r="D2351" t="s">
        <v>11231</v>
      </c>
      <c r="E2351" t="s">
        <v>6985</v>
      </c>
      <c r="F2351" t="s">
        <v>5</v>
      </c>
      <c r="G2351" t="s">
        <v>6</v>
      </c>
      <c r="L2351" t="s">
        <v>7</v>
      </c>
      <c r="M2351">
        <v>2020</v>
      </c>
      <c r="N2351" s="1">
        <v>44656</v>
      </c>
      <c r="O2351" t="s">
        <v>11232</v>
      </c>
      <c r="P2351">
        <v>1</v>
      </c>
      <c r="Q2351" t="s">
        <v>6987</v>
      </c>
      <c r="S2351">
        <v>217.95</v>
      </c>
      <c r="T2351">
        <v>250</v>
      </c>
      <c r="U2351">
        <v>190</v>
      </c>
      <c r="V2351" t="s">
        <v>9</v>
      </c>
      <c r="W2351" t="s">
        <v>10</v>
      </c>
      <c r="X2351" t="s">
        <v>11</v>
      </c>
      <c r="Y2351" t="s">
        <v>52</v>
      </c>
      <c r="AF2351" t="s">
        <v>13</v>
      </c>
      <c r="AG2351" t="str">
        <f>HYPERLINK("https://doi.org/10.1515/9781474466530")</f>
        <v>https://doi.org/10.1515/9781474466530</v>
      </c>
      <c r="AH2351" t="str">
        <f>HYPERLINK("http://www.degruyter.com/isbn/9781474466530")</f>
        <v>http://www.degruyter.com/isbn/9781474466530</v>
      </c>
      <c r="AI2351" t="s">
        <v>14</v>
      </c>
      <c r="AL2351" t="s">
        <v>15</v>
      </c>
      <c r="AM2351">
        <v>1</v>
      </c>
      <c r="AN2351" s="2">
        <v>9781474466516</v>
      </c>
    </row>
    <row r="2352" spans="1:40" x14ac:dyDescent="0.3">
      <c r="A2352" t="s">
        <v>11233</v>
      </c>
      <c r="B2352" t="s">
        <v>1</v>
      </c>
      <c r="C2352" t="s">
        <v>11234</v>
      </c>
      <c r="D2352" t="s">
        <v>11235</v>
      </c>
      <c r="E2352" t="s">
        <v>11236</v>
      </c>
      <c r="F2352" t="s">
        <v>5</v>
      </c>
      <c r="G2352" t="s">
        <v>6</v>
      </c>
      <c r="L2352" t="s">
        <v>7</v>
      </c>
      <c r="M2352">
        <v>2021</v>
      </c>
      <c r="N2352" s="1">
        <v>44656</v>
      </c>
      <c r="O2352" t="s">
        <v>11237</v>
      </c>
      <c r="P2352">
        <v>1</v>
      </c>
      <c r="Q2352" t="s">
        <v>7622</v>
      </c>
      <c r="S2352">
        <v>227.95</v>
      </c>
      <c r="T2352">
        <v>260</v>
      </c>
      <c r="U2352">
        <v>200</v>
      </c>
      <c r="V2352" t="s">
        <v>98</v>
      </c>
      <c r="W2352" t="s">
        <v>99</v>
      </c>
      <c r="X2352" t="s">
        <v>2010</v>
      </c>
      <c r="Y2352" t="s">
        <v>2011</v>
      </c>
      <c r="AF2352" t="s">
        <v>13</v>
      </c>
      <c r="AG2352" t="str">
        <f>HYPERLINK("https://doi.org/10.1515/9781474455206")</f>
        <v>https://doi.org/10.1515/9781474455206</v>
      </c>
      <c r="AH2352" t="str">
        <f>HYPERLINK("http://www.degruyter.com/isbn/9781474455206")</f>
        <v>http://www.degruyter.com/isbn/9781474455206</v>
      </c>
      <c r="AI2352" t="s">
        <v>11238</v>
      </c>
      <c r="AL2352" t="s">
        <v>102</v>
      </c>
      <c r="AM2352">
        <v>1</v>
      </c>
      <c r="AN2352" s="2">
        <v>9781474455183</v>
      </c>
    </row>
    <row r="2353" spans="1:40" x14ac:dyDescent="0.3">
      <c r="A2353" t="s">
        <v>11239</v>
      </c>
      <c r="B2353" t="s">
        <v>1</v>
      </c>
      <c r="C2353" t="s">
        <v>11240</v>
      </c>
      <c r="D2353" t="s">
        <v>11241</v>
      </c>
      <c r="E2353" t="s">
        <v>11242</v>
      </c>
      <c r="F2353" t="s">
        <v>5</v>
      </c>
      <c r="G2353" t="s">
        <v>6</v>
      </c>
      <c r="L2353" t="s">
        <v>7</v>
      </c>
      <c r="M2353">
        <v>2006</v>
      </c>
      <c r="N2353" s="1">
        <v>38722</v>
      </c>
      <c r="O2353" t="s">
        <v>11243</v>
      </c>
      <c r="P2353">
        <v>1</v>
      </c>
      <c r="Q2353" t="s">
        <v>7174</v>
      </c>
      <c r="S2353">
        <v>261.95</v>
      </c>
      <c r="T2353">
        <v>300</v>
      </c>
      <c r="U2353">
        <v>230</v>
      </c>
      <c r="V2353" t="s">
        <v>42</v>
      </c>
      <c r="W2353" t="s">
        <v>116</v>
      </c>
      <c r="X2353" t="s">
        <v>116</v>
      </c>
      <c r="Y2353" t="s">
        <v>117</v>
      </c>
      <c r="AF2353" t="s">
        <v>13</v>
      </c>
      <c r="AG2353" t="str">
        <f>HYPERLINK("https://doi.org/10.1515/9780748626342")</f>
        <v>https://doi.org/10.1515/9780748626342</v>
      </c>
      <c r="AH2353" t="str">
        <f>HYPERLINK("http://www.degruyter.com/isbn/9780748626342")</f>
        <v>http://www.degruyter.com/isbn/9780748626342</v>
      </c>
      <c r="AI2353" t="s">
        <v>68</v>
      </c>
      <c r="AL2353" t="s">
        <v>47</v>
      </c>
      <c r="AM2353">
        <v>1</v>
      </c>
      <c r="AN2353" s="2">
        <v>9780748620234</v>
      </c>
    </row>
    <row r="2354" spans="1:40" x14ac:dyDescent="0.3">
      <c r="A2354" t="s">
        <v>11244</v>
      </c>
      <c r="B2354" t="s">
        <v>1</v>
      </c>
      <c r="C2354" t="s">
        <v>11245</v>
      </c>
      <c r="D2354" t="s">
        <v>11246</v>
      </c>
      <c r="E2354" t="s">
        <v>11247</v>
      </c>
      <c r="F2354" t="s">
        <v>5</v>
      </c>
      <c r="G2354" t="s">
        <v>6</v>
      </c>
      <c r="L2354" t="s">
        <v>7</v>
      </c>
      <c r="M2354">
        <v>2019</v>
      </c>
      <c r="N2354" s="1">
        <v>44644</v>
      </c>
      <c r="O2354" t="s">
        <v>11248</v>
      </c>
      <c r="P2354">
        <v>1</v>
      </c>
      <c r="Q2354" t="s">
        <v>8081</v>
      </c>
      <c r="S2354">
        <v>217.95</v>
      </c>
      <c r="T2354">
        <v>250</v>
      </c>
      <c r="U2354">
        <v>190</v>
      </c>
      <c r="V2354" t="s">
        <v>20</v>
      </c>
      <c r="W2354" t="s">
        <v>21</v>
      </c>
      <c r="X2354" t="s">
        <v>22</v>
      </c>
      <c r="Y2354" t="s">
        <v>23</v>
      </c>
      <c r="AF2354" t="s">
        <v>13</v>
      </c>
      <c r="AG2354" t="str">
        <f>HYPERLINK("https://doi.org/10.1515/9781474452618?locatt=mode:legacy")</f>
        <v>https://doi.org/10.1515/9781474452618?locatt=mode:legacy</v>
      </c>
      <c r="AH2354" t="str">
        <f>HYPERLINK("http://www.degruyter.com/isbn/9781474452618")</f>
        <v>http://www.degruyter.com/isbn/9781474452618</v>
      </c>
      <c r="AI2354" t="s">
        <v>280</v>
      </c>
      <c r="AL2354" t="s">
        <v>15</v>
      </c>
      <c r="AM2354">
        <v>1</v>
      </c>
      <c r="AN2354" s="2">
        <v>9781474452595</v>
      </c>
    </row>
    <row r="2355" spans="1:40" x14ac:dyDescent="0.3">
      <c r="A2355" t="s">
        <v>11249</v>
      </c>
      <c r="B2355" t="s">
        <v>1</v>
      </c>
      <c r="C2355" t="s">
        <v>11250</v>
      </c>
      <c r="E2355" t="s">
        <v>11251</v>
      </c>
      <c r="F2355" t="s">
        <v>5</v>
      </c>
      <c r="G2355" t="s">
        <v>6</v>
      </c>
      <c r="L2355" t="s">
        <v>7</v>
      </c>
      <c r="M2355">
        <v>2020</v>
      </c>
      <c r="N2355" s="1">
        <v>44644</v>
      </c>
      <c r="O2355" t="s">
        <v>11252</v>
      </c>
      <c r="P2355">
        <v>1</v>
      </c>
      <c r="Q2355" t="s">
        <v>6539</v>
      </c>
      <c r="S2355">
        <v>217.95</v>
      </c>
      <c r="T2355">
        <v>250</v>
      </c>
      <c r="U2355">
        <v>190</v>
      </c>
      <c r="V2355" t="s">
        <v>42</v>
      </c>
      <c r="W2355" t="s">
        <v>107</v>
      </c>
      <c r="X2355" t="s">
        <v>108</v>
      </c>
      <c r="Y2355" t="s">
        <v>109</v>
      </c>
      <c r="AF2355" t="s">
        <v>13</v>
      </c>
      <c r="AG2355" t="str">
        <f>HYPERLINK("https://doi.org/10.1515/9781474457903?locatt=mode:legacy")</f>
        <v>https://doi.org/10.1515/9781474457903?locatt=mode:legacy</v>
      </c>
      <c r="AH2355" t="str">
        <f>HYPERLINK("http://www.degruyter.com/isbn/9781474457903")</f>
        <v>http://www.degruyter.com/isbn/9781474457903</v>
      </c>
      <c r="AI2355" t="s">
        <v>14</v>
      </c>
      <c r="AL2355" t="s">
        <v>47</v>
      </c>
      <c r="AM2355">
        <v>1</v>
      </c>
      <c r="AN2355" s="2">
        <v>9781474457880</v>
      </c>
    </row>
    <row r="2356" spans="1:40" x14ac:dyDescent="0.3">
      <c r="A2356" t="s">
        <v>11253</v>
      </c>
      <c r="B2356" t="s">
        <v>1</v>
      </c>
      <c r="C2356" t="s">
        <v>11254</v>
      </c>
      <c r="E2356" t="s">
        <v>11255</v>
      </c>
      <c r="F2356" t="s">
        <v>5</v>
      </c>
      <c r="G2356" t="s">
        <v>6</v>
      </c>
      <c r="L2356" t="s">
        <v>7</v>
      </c>
      <c r="M2356">
        <v>2018</v>
      </c>
      <c r="N2356" s="1">
        <v>44656</v>
      </c>
      <c r="O2356" t="s">
        <v>11256</v>
      </c>
      <c r="P2356">
        <v>1</v>
      </c>
      <c r="Q2356" t="s">
        <v>6539</v>
      </c>
      <c r="S2356">
        <v>217.95</v>
      </c>
      <c r="T2356">
        <v>250</v>
      </c>
      <c r="U2356">
        <v>190</v>
      </c>
      <c r="V2356" t="s">
        <v>42</v>
      </c>
      <c r="W2356" t="s">
        <v>107</v>
      </c>
      <c r="X2356" t="s">
        <v>108</v>
      </c>
      <c r="Y2356" t="s">
        <v>952</v>
      </c>
      <c r="AF2356" t="s">
        <v>13</v>
      </c>
      <c r="AG2356" t="str">
        <f>HYPERLINK("https://doi.org/10.1515/9781474418355?locatt=mode:legacy")</f>
        <v>https://doi.org/10.1515/9781474418355?locatt=mode:legacy</v>
      </c>
      <c r="AH2356" t="str">
        <f>HYPERLINK("http://www.degruyter.com/isbn/9781474418355")</f>
        <v>http://www.degruyter.com/isbn/9781474418355</v>
      </c>
      <c r="AI2356" t="s">
        <v>46</v>
      </c>
      <c r="AL2356" t="s">
        <v>47</v>
      </c>
      <c r="AM2356">
        <v>1</v>
      </c>
      <c r="AN2356" s="2">
        <v>9781474418348</v>
      </c>
    </row>
    <row r="2357" spans="1:40" x14ac:dyDescent="0.3">
      <c r="A2357" t="s">
        <v>11257</v>
      </c>
      <c r="B2357" t="s">
        <v>1</v>
      </c>
      <c r="C2357" t="s">
        <v>11258</v>
      </c>
      <c r="D2357" t="s">
        <v>11259</v>
      </c>
      <c r="E2357" t="s">
        <v>11260</v>
      </c>
      <c r="F2357" t="s">
        <v>5</v>
      </c>
      <c r="G2357" t="s">
        <v>6</v>
      </c>
      <c r="L2357" t="s">
        <v>7</v>
      </c>
      <c r="M2357">
        <v>2003</v>
      </c>
      <c r="N2357" s="1">
        <v>44607</v>
      </c>
      <c r="O2357" t="s">
        <v>11261</v>
      </c>
      <c r="P2357">
        <v>1</v>
      </c>
      <c r="Q2357" t="s">
        <v>6929</v>
      </c>
      <c r="S2357">
        <v>217.95</v>
      </c>
      <c r="T2357">
        <v>250</v>
      </c>
      <c r="U2357">
        <v>190</v>
      </c>
      <c r="V2357" t="s">
        <v>58</v>
      </c>
      <c r="W2357" t="s">
        <v>129</v>
      </c>
      <c r="X2357" t="s">
        <v>504</v>
      </c>
      <c r="Y2357" t="s">
        <v>505</v>
      </c>
      <c r="AF2357" t="s">
        <v>13</v>
      </c>
      <c r="AG2357" t="str">
        <f>HYPERLINK("https://www.degruyter.com/isbn/9781474472647")</f>
        <v>https://www.degruyter.com/isbn/9781474472647</v>
      </c>
      <c r="AH2357" t="str">
        <f>HYPERLINK("http://www.degruyter.com/isbn/9781474472647")</f>
        <v>http://www.degruyter.com/isbn/9781474472647</v>
      </c>
      <c r="AI2357" t="s">
        <v>68</v>
      </c>
      <c r="AL2357" t="s">
        <v>62</v>
      </c>
      <c r="AM2357">
        <v>1</v>
      </c>
      <c r="AN2357" s="2">
        <v>9780748618040</v>
      </c>
    </row>
    <row r="2358" spans="1:40" x14ac:dyDescent="0.3">
      <c r="A2358" t="s">
        <v>11262</v>
      </c>
      <c r="B2358" t="s">
        <v>1</v>
      </c>
      <c r="C2358" t="s">
        <v>11263</v>
      </c>
      <c r="D2358" t="s">
        <v>11264</v>
      </c>
      <c r="E2358" t="s">
        <v>11265</v>
      </c>
      <c r="F2358" t="s">
        <v>5</v>
      </c>
      <c r="G2358" t="s">
        <v>6</v>
      </c>
      <c r="L2358" t="s">
        <v>7</v>
      </c>
      <c r="M2358">
        <v>2010</v>
      </c>
      <c r="N2358" s="1">
        <v>40298</v>
      </c>
      <c r="O2358" t="s">
        <v>11266</v>
      </c>
      <c r="P2358">
        <v>1</v>
      </c>
      <c r="Q2358" t="s">
        <v>7174</v>
      </c>
      <c r="S2358">
        <v>227.95</v>
      </c>
      <c r="T2358">
        <v>260</v>
      </c>
      <c r="U2358">
        <v>200</v>
      </c>
      <c r="V2358" t="s">
        <v>42</v>
      </c>
      <c r="W2358" t="s">
        <v>116</v>
      </c>
      <c r="X2358" t="s">
        <v>116</v>
      </c>
      <c r="Y2358" t="s">
        <v>117</v>
      </c>
      <c r="AF2358" t="s">
        <v>13</v>
      </c>
      <c r="AG2358" t="str">
        <f>HYPERLINK("https://doi.org/10.1515/9780748641710?locatt=mode:legacy")</f>
        <v>https://doi.org/10.1515/9780748641710?locatt=mode:legacy</v>
      </c>
      <c r="AH2358" t="str">
        <f>HYPERLINK("http://www.degruyter.com/isbn/9780748641710")</f>
        <v>http://www.degruyter.com/isbn/9780748641710</v>
      </c>
      <c r="AI2358" t="s">
        <v>68</v>
      </c>
      <c r="AL2358" t="s">
        <v>47</v>
      </c>
      <c r="AM2358">
        <v>1</v>
      </c>
      <c r="AN2358" s="2">
        <v>9780748640393</v>
      </c>
    </row>
    <row r="2359" spans="1:40" x14ac:dyDescent="0.3">
      <c r="A2359" t="s">
        <v>11267</v>
      </c>
      <c r="B2359" t="s">
        <v>1</v>
      </c>
      <c r="C2359" t="s">
        <v>11268</v>
      </c>
      <c r="E2359" t="s">
        <v>11269</v>
      </c>
      <c r="F2359" t="s">
        <v>5</v>
      </c>
      <c r="G2359" t="s">
        <v>6</v>
      </c>
      <c r="L2359" t="s">
        <v>7</v>
      </c>
      <c r="M2359">
        <v>2012</v>
      </c>
      <c r="N2359" s="1">
        <v>41040</v>
      </c>
      <c r="O2359" t="s">
        <v>11270</v>
      </c>
      <c r="P2359">
        <v>1</v>
      </c>
      <c r="Q2359" t="s">
        <v>6630</v>
      </c>
      <c r="S2359">
        <v>147.94999999999999</v>
      </c>
      <c r="T2359">
        <v>170</v>
      </c>
      <c r="U2359">
        <v>130</v>
      </c>
      <c r="V2359" t="s">
        <v>42</v>
      </c>
      <c r="W2359" t="s">
        <v>107</v>
      </c>
      <c r="X2359" t="s">
        <v>108</v>
      </c>
      <c r="Y2359" t="s">
        <v>221</v>
      </c>
      <c r="AF2359" t="s">
        <v>13</v>
      </c>
      <c r="AG2359" t="str">
        <f>HYPERLINK("https://doi.org/10.1515/9780748630721")</f>
        <v>https://doi.org/10.1515/9780748630721</v>
      </c>
      <c r="AH2359" t="str">
        <f>HYPERLINK("http://www.degruyter.com/isbn/9780748630721")</f>
        <v>http://www.degruyter.com/isbn/9780748630721</v>
      </c>
      <c r="AI2359" t="s">
        <v>68</v>
      </c>
      <c r="AL2359" t="s">
        <v>47</v>
      </c>
      <c r="AM2359">
        <v>1</v>
      </c>
      <c r="AN2359" s="2">
        <v>9780748625062</v>
      </c>
    </row>
    <row r="2360" spans="1:40" x14ac:dyDescent="0.3">
      <c r="A2360" t="s">
        <v>11271</v>
      </c>
      <c r="B2360" t="s">
        <v>1</v>
      </c>
      <c r="C2360" t="s">
        <v>11272</v>
      </c>
      <c r="E2360" t="s">
        <v>11273</v>
      </c>
      <c r="F2360" t="s">
        <v>5</v>
      </c>
      <c r="G2360" t="s">
        <v>6</v>
      </c>
      <c r="L2360" t="s">
        <v>7</v>
      </c>
      <c r="M2360">
        <v>2013</v>
      </c>
      <c r="N2360" s="1">
        <v>41530</v>
      </c>
      <c r="O2360" t="s">
        <v>11274</v>
      </c>
      <c r="P2360">
        <v>1</v>
      </c>
      <c r="Q2360" t="s">
        <v>7481</v>
      </c>
      <c r="S2360">
        <v>217.95</v>
      </c>
      <c r="T2360">
        <v>250</v>
      </c>
      <c r="U2360">
        <v>190</v>
      </c>
      <c r="V2360" t="s">
        <v>42</v>
      </c>
      <c r="W2360" t="s">
        <v>107</v>
      </c>
      <c r="X2360" t="s">
        <v>108</v>
      </c>
      <c r="Y2360" t="s">
        <v>221</v>
      </c>
      <c r="AF2360" t="s">
        <v>13</v>
      </c>
      <c r="AG2360" t="str">
        <f>HYPERLINK("https://doi.org/10.1515/9780748683444")</f>
        <v>https://doi.org/10.1515/9780748683444</v>
      </c>
      <c r="AH2360" t="str">
        <f>HYPERLINK("http://www.degruyter.com/isbn/9780748683444")</f>
        <v>http://www.degruyter.com/isbn/9780748683444</v>
      </c>
      <c r="AI2360" t="s">
        <v>68</v>
      </c>
      <c r="AL2360" t="s">
        <v>47</v>
      </c>
      <c r="AM2360">
        <v>1</v>
      </c>
      <c r="AN2360" s="2">
        <v>9780748683437</v>
      </c>
    </row>
    <row r="2361" spans="1:40" x14ac:dyDescent="0.3">
      <c r="A2361" t="s">
        <v>11275</v>
      </c>
      <c r="B2361" t="s">
        <v>1</v>
      </c>
      <c r="C2361" t="s">
        <v>11276</v>
      </c>
      <c r="D2361" t="s">
        <v>1482</v>
      </c>
      <c r="E2361" t="s">
        <v>11277</v>
      </c>
      <c r="F2361" t="s">
        <v>5</v>
      </c>
      <c r="G2361" t="s">
        <v>6</v>
      </c>
      <c r="L2361" t="s">
        <v>7</v>
      </c>
      <c r="M2361">
        <v>2007</v>
      </c>
      <c r="N2361" s="1">
        <v>39381</v>
      </c>
      <c r="O2361" t="s">
        <v>11278</v>
      </c>
      <c r="P2361">
        <v>1</v>
      </c>
      <c r="Q2361" t="s">
        <v>6659</v>
      </c>
      <c r="S2361">
        <v>243.95</v>
      </c>
      <c r="T2361">
        <v>280</v>
      </c>
      <c r="U2361">
        <v>210</v>
      </c>
      <c r="V2361" t="s">
        <v>268</v>
      </c>
      <c r="W2361" t="s">
        <v>269</v>
      </c>
      <c r="X2361" t="s">
        <v>269</v>
      </c>
      <c r="Y2361" t="s">
        <v>360</v>
      </c>
      <c r="AF2361" t="s">
        <v>13</v>
      </c>
      <c r="AG2361" t="str">
        <f>HYPERLINK("https://doi.org/10.1515/9781474468572?locatt=mode:legacy")</f>
        <v>https://doi.org/10.1515/9781474468572?locatt=mode:legacy</v>
      </c>
      <c r="AH2361" t="str">
        <f>HYPERLINK("http://www.degruyter.com/isbn/9781474468572")</f>
        <v>http://www.degruyter.com/isbn/9781474468572</v>
      </c>
      <c r="AI2361" t="s">
        <v>6127</v>
      </c>
      <c r="AL2361" t="s">
        <v>272</v>
      </c>
      <c r="AM2361">
        <v>1</v>
      </c>
      <c r="AN2361" s="2">
        <v>9780748625161</v>
      </c>
    </row>
    <row r="2362" spans="1:40" x14ac:dyDescent="0.3">
      <c r="A2362" t="s">
        <v>11279</v>
      </c>
      <c r="B2362" t="s">
        <v>1</v>
      </c>
      <c r="C2362" t="s">
        <v>11280</v>
      </c>
      <c r="E2362" t="s">
        <v>11281</v>
      </c>
      <c r="F2362" t="s">
        <v>5</v>
      </c>
      <c r="G2362" t="s">
        <v>6</v>
      </c>
      <c r="L2362" t="s">
        <v>7</v>
      </c>
      <c r="M2362">
        <v>2005</v>
      </c>
      <c r="N2362" s="1">
        <v>38428</v>
      </c>
      <c r="O2362" t="s">
        <v>11282</v>
      </c>
      <c r="P2362">
        <v>1</v>
      </c>
      <c r="Q2362" t="s">
        <v>10987</v>
      </c>
      <c r="S2362">
        <v>253.95</v>
      </c>
      <c r="T2362">
        <v>290</v>
      </c>
      <c r="U2362">
        <v>220</v>
      </c>
      <c r="V2362" t="s">
        <v>79</v>
      </c>
      <c r="W2362" t="s">
        <v>783</v>
      </c>
      <c r="X2362" t="s">
        <v>783</v>
      </c>
      <c r="Y2362" t="s">
        <v>784</v>
      </c>
      <c r="AF2362" t="s">
        <v>13</v>
      </c>
      <c r="AG2362" t="str">
        <f>HYPERLINK("https://doi.org/10.1515/9781474473354")</f>
        <v>https://doi.org/10.1515/9781474473354</v>
      </c>
      <c r="AH2362" t="str">
        <f>HYPERLINK("http://www.degruyter.com/isbn/9781474473354")</f>
        <v>http://www.degruyter.com/isbn/9781474473354</v>
      </c>
      <c r="AI2362" t="s">
        <v>68</v>
      </c>
      <c r="AL2362" t="s">
        <v>83</v>
      </c>
      <c r="AM2362">
        <v>1</v>
      </c>
      <c r="AN2362" s="2">
        <v>9780748622474</v>
      </c>
    </row>
    <row r="2363" spans="1:40" x14ac:dyDescent="0.3">
      <c r="A2363" t="s">
        <v>11283</v>
      </c>
      <c r="B2363" t="s">
        <v>1</v>
      </c>
      <c r="C2363" t="s">
        <v>11284</v>
      </c>
      <c r="D2363" t="s">
        <v>11285</v>
      </c>
      <c r="E2363" t="s">
        <v>11286</v>
      </c>
      <c r="F2363" t="s">
        <v>5</v>
      </c>
      <c r="G2363" t="s">
        <v>6</v>
      </c>
      <c r="L2363" t="s">
        <v>7</v>
      </c>
      <c r="M2363">
        <v>2019</v>
      </c>
      <c r="N2363" s="1">
        <v>44656</v>
      </c>
      <c r="O2363" t="s">
        <v>11287</v>
      </c>
      <c r="P2363">
        <v>1</v>
      </c>
      <c r="Q2363" t="s">
        <v>6876</v>
      </c>
      <c r="S2363">
        <v>217.95</v>
      </c>
      <c r="T2363">
        <v>250</v>
      </c>
      <c r="U2363">
        <v>190</v>
      </c>
      <c r="V2363" t="s">
        <v>20</v>
      </c>
      <c r="W2363" t="s">
        <v>21</v>
      </c>
      <c r="X2363" t="s">
        <v>458</v>
      </c>
      <c r="Y2363" t="s">
        <v>1816</v>
      </c>
      <c r="AF2363" t="s">
        <v>13</v>
      </c>
      <c r="AG2363" t="str">
        <f>HYPERLINK("https://doi.org/10.1515/9781474407410?locatt=mode:legacy")</f>
        <v>https://doi.org/10.1515/9781474407410?locatt=mode:legacy</v>
      </c>
      <c r="AH2363" t="str">
        <f>HYPERLINK("http://www.degruyter.com/isbn/9781474407410")</f>
        <v>http://www.degruyter.com/isbn/9781474407410</v>
      </c>
      <c r="AI2363" t="s">
        <v>280</v>
      </c>
      <c r="AL2363" t="s">
        <v>15</v>
      </c>
      <c r="AM2363">
        <v>1</v>
      </c>
      <c r="AN2363" s="2">
        <v>9781474407403</v>
      </c>
    </row>
    <row r="2364" spans="1:40" x14ac:dyDescent="0.3">
      <c r="A2364" t="s">
        <v>11288</v>
      </c>
      <c r="B2364" t="s">
        <v>1</v>
      </c>
      <c r="C2364" t="s">
        <v>11289</v>
      </c>
      <c r="E2364" t="s">
        <v>11290</v>
      </c>
      <c r="F2364" t="s">
        <v>5</v>
      </c>
      <c r="G2364" t="s">
        <v>6</v>
      </c>
      <c r="L2364" t="s">
        <v>7</v>
      </c>
      <c r="M2364">
        <v>2010</v>
      </c>
      <c r="N2364" s="1">
        <v>40224</v>
      </c>
      <c r="O2364" t="s">
        <v>11291</v>
      </c>
      <c r="P2364">
        <v>1</v>
      </c>
      <c r="Q2364" t="s">
        <v>8650</v>
      </c>
      <c r="S2364">
        <v>217.95</v>
      </c>
      <c r="T2364">
        <v>250</v>
      </c>
      <c r="U2364">
        <v>190</v>
      </c>
      <c r="V2364" t="s">
        <v>20</v>
      </c>
      <c r="W2364" t="s">
        <v>21</v>
      </c>
      <c r="X2364" t="s">
        <v>575</v>
      </c>
      <c r="Y2364" t="s">
        <v>576</v>
      </c>
      <c r="AF2364" t="s">
        <v>13</v>
      </c>
      <c r="AG2364" t="str">
        <f>HYPERLINK("https://doi.org/10.1515/9780748641840?locatt=mode:legacy")</f>
        <v>https://doi.org/10.1515/9780748641840?locatt=mode:legacy</v>
      </c>
      <c r="AH2364" t="str">
        <f>HYPERLINK("http://www.degruyter.com/isbn/9780748641840")</f>
        <v>http://www.degruyter.com/isbn/9780748641840</v>
      </c>
      <c r="AI2364" t="s">
        <v>68</v>
      </c>
      <c r="AL2364" t="s">
        <v>15</v>
      </c>
      <c r="AM2364">
        <v>1</v>
      </c>
      <c r="AN2364" s="2">
        <v>9780748638871</v>
      </c>
    </row>
    <row r="2365" spans="1:40" x14ac:dyDescent="0.3">
      <c r="A2365" t="s">
        <v>11292</v>
      </c>
      <c r="B2365" t="s">
        <v>1</v>
      </c>
      <c r="C2365" t="s">
        <v>11293</v>
      </c>
      <c r="E2365" t="s">
        <v>11294</v>
      </c>
      <c r="F2365" t="s">
        <v>5</v>
      </c>
      <c r="G2365" t="s">
        <v>6</v>
      </c>
      <c r="L2365" t="s">
        <v>7</v>
      </c>
      <c r="M2365">
        <v>2005</v>
      </c>
      <c r="N2365" s="1">
        <v>38559</v>
      </c>
      <c r="O2365" t="s">
        <v>11295</v>
      </c>
      <c r="P2365">
        <v>1</v>
      </c>
      <c r="Q2365" t="s">
        <v>7225</v>
      </c>
      <c r="S2365">
        <v>209.95</v>
      </c>
      <c r="T2365">
        <v>240</v>
      </c>
      <c r="U2365">
        <v>180</v>
      </c>
      <c r="V2365" t="s">
        <v>98</v>
      </c>
      <c r="W2365" t="s">
        <v>99</v>
      </c>
      <c r="X2365" t="s">
        <v>386</v>
      </c>
      <c r="Y2365" t="s">
        <v>387</v>
      </c>
      <c r="AF2365" t="s">
        <v>13</v>
      </c>
      <c r="AG2365" t="str">
        <f>HYPERLINK("https://doi.org/10.1515/9780748680719")</f>
        <v>https://doi.org/10.1515/9780748680719</v>
      </c>
      <c r="AH2365" t="str">
        <f>HYPERLINK("http://www.degruyter.com/isbn/9780748680719")</f>
        <v>http://www.degruyter.com/isbn/9780748680719</v>
      </c>
      <c r="AI2365" t="s">
        <v>68</v>
      </c>
      <c r="AL2365" t="s">
        <v>102</v>
      </c>
      <c r="AM2365">
        <v>1</v>
      </c>
      <c r="AN2365" s="2">
        <v>9780748622948</v>
      </c>
    </row>
    <row r="2366" spans="1:40" x14ac:dyDescent="0.3">
      <c r="A2366" t="s">
        <v>11296</v>
      </c>
      <c r="B2366" t="s">
        <v>1</v>
      </c>
      <c r="C2366" t="s">
        <v>11297</v>
      </c>
      <c r="E2366" t="s">
        <v>11298</v>
      </c>
      <c r="F2366" t="s">
        <v>5</v>
      </c>
      <c r="G2366" t="s">
        <v>6</v>
      </c>
      <c r="L2366" t="s">
        <v>7</v>
      </c>
      <c r="M2366">
        <v>2016</v>
      </c>
      <c r="N2366" s="1">
        <v>42437</v>
      </c>
      <c r="O2366" t="s">
        <v>2056</v>
      </c>
      <c r="P2366">
        <v>1</v>
      </c>
      <c r="Q2366" t="s">
        <v>9122</v>
      </c>
      <c r="S2366">
        <v>261.95</v>
      </c>
      <c r="T2366">
        <v>300</v>
      </c>
      <c r="U2366">
        <v>230</v>
      </c>
      <c r="V2366" t="s">
        <v>847</v>
      </c>
      <c r="W2366" t="s">
        <v>3102</v>
      </c>
      <c r="X2366" t="s">
        <v>3102</v>
      </c>
      <c r="Y2366" t="s">
        <v>6188</v>
      </c>
      <c r="AF2366" t="s">
        <v>13</v>
      </c>
      <c r="AG2366" t="str">
        <f>HYPERLINK("https://doi.org/10.1515/9781474460446")</f>
        <v>https://doi.org/10.1515/9781474460446</v>
      </c>
      <c r="AH2366" t="str">
        <f>HYPERLINK("http://www.degruyter.com/isbn/9781474460446")</f>
        <v>http://www.degruyter.com/isbn/9781474460446</v>
      </c>
      <c r="AI2366" t="s">
        <v>180</v>
      </c>
      <c r="AL2366" t="s">
        <v>1070</v>
      </c>
      <c r="AM2366">
        <v>1</v>
      </c>
      <c r="AN2366" s="2">
        <v>9780748695607</v>
      </c>
    </row>
    <row r="2367" spans="1:40" x14ac:dyDescent="0.3">
      <c r="A2367" t="s">
        <v>11299</v>
      </c>
      <c r="B2367" t="s">
        <v>1</v>
      </c>
      <c r="C2367" t="s">
        <v>11300</v>
      </c>
      <c r="D2367" t="s">
        <v>11301</v>
      </c>
      <c r="E2367" t="s">
        <v>11302</v>
      </c>
      <c r="F2367" t="s">
        <v>5</v>
      </c>
      <c r="G2367" t="s">
        <v>6</v>
      </c>
      <c r="L2367" t="s">
        <v>7</v>
      </c>
      <c r="M2367">
        <v>2011</v>
      </c>
      <c r="N2367" s="1">
        <v>40722</v>
      </c>
      <c r="O2367" t="s">
        <v>11303</v>
      </c>
      <c r="P2367">
        <v>1</v>
      </c>
      <c r="Q2367" t="s">
        <v>7728</v>
      </c>
      <c r="S2367">
        <v>217.95</v>
      </c>
      <c r="T2367">
        <v>250</v>
      </c>
      <c r="U2367">
        <v>190</v>
      </c>
      <c r="V2367" t="s">
        <v>42</v>
      </c>
      <c r="W2367" t="s">
        <v>116</v>
      </c>
      <c r="X2367" t="s">
        <v>116</v>
      </c>
      <c r="Y2367" t="s">
        <v>117</v>
      </c>
      <c r="AF2367" t="s">
        <v>13</v>
      </c>
      <c r="AG2367" t="str">
        <f>HYPERLINK("https://doi.org/10.1515/9780748647101")</f>
        <v>https://doi.org/10.1515/9780748647101</v>
      </c>
      <c r="AH2367" t="str">
        <f>HYPERLINK("http://www.degruyter.com/isbn/9780748647101")</f>
        <v>http://www.degruyter.com/isbn/9780748647101</v>
      </c>
      <c r="AI2367" t="s">
        <v>68</v>
      </c>
      <c r="AL2367" t="s">
        <v>47</v>
      </c>
      <c r="AM2367">
        <v>1</v>
      </c>
      <c r="AN2367" s="2">
        <v>9780748642533</v>
      </c>
    </row>
    <row r="2368" spans="1:40" x14ac:dyDescent="0.3">
      <c r="A2368" t="s">
        <v>11304</v>
      </c>
      <c r="B2368" t="s">
        <v>1</v>
      </c>
      <c r="C2368" t="s">
        <v>11305</v>
      </c>
      <c r="E2368" t="s">
        <v>11306</v>
      </c>
      <c r="F2368" t="s">
        <v>5</v>
      </c>
      <c r="G2368" t="s">
        <v>6</v>
      </c>
      <c r="L2368" t="s">
        <v>7</v>
      </c>
      <c r="M2368">
        <v>2018</v>
      </c>
      <c r="N2368" s="1">
        <v>44644</v>
      </c>
      <c r="O2368" t="s">
        <v>11307</v>
      </c>
      <c r="P2368">
        <v>1</v>
      </c>
      <c r="Q2368" t="s">
        <v>5911</v>
      </c>
      <c r="S2368">
        <v>227.95</v>
      </c>
      <c r="T2368">
        <v>260</v>
      </c>
      <c r="U2368">
        <v>200</v>
      </c>
      <c r="V2368" t="s">
        <v>329</v>
      </c>
      <c r="W2368" t="s">
        <v>330</v>
      </c>
      <c r="X2368" t="s">
        <v>331</v>
      </c>
      <c r="Y2368" t="s">
        <v>332</v>
      </c>
      <c r="AF2368" t="s">
        <v>13</v>
      </c>
      <c r="AG2368" t="str">
        <f>HYPERLINK("https://doi.org/10.1515/9781474424523?locatt=mode:legacy")</f>
        <v>https://doi.org/10.1515/9781474424523?locatt=mode:legacy</v>
      </c>
      <c r="AH2368" t="str">
        <f>HYPERLINK("http://www.degruyter.com/isbn/9781474424523")</f>
        <v>http://www.degruyter.com/isbn/9781474424523</v>
      </c>
      <c r="AI2368" t="s">
        <v>11308</v>
      </c>
      <c r="AL2368" t="s">
        <v>333</v>
      </c>
      <c r="AM2368">
        <v>1</v>
      </c>
      <c r="AN2368" s="2">
        <v>9781474424516</v>
      </c>
    </row>
    <row r="2369" spans="1:40" x14ac:dyDescent="0.3">
      <c r="A2369" t="s">
        <v>11309</v>
      </c>
      <c r="B2369" t="s">
        <v>1</v>
      </c>
      <c r="C2369" t="s">
        <v>11310</v>
      </c>
      <c r="D2369" t="s">
        <v>11311</v>
      </c>
      <c r="E2369" t="s">
        <v>11312</v>
      </c>
      <c r="F2369" t="s">
        <v>5</v>
      </c>
      <c r="G2369" t="s">
        <v>6</v>
      </c>
      <c r="L2369" t="s">
        <v>7</v>
      </c>
      <c r="M2369">
        <v>2016</v>
      </c>
      <c r="N2369" s="1">
        <v>42632</v>
      </c>
      <c r="O2369" t="s">
        <v>11313</v>
      </c>
      <c r="P2369">
        <v>1</v>
      </c>
      <c r="Q2369" t="s">
        <v>6539</v>
      </c>
      <c r="S2369">
        <v>217.95</v>
      </c>
      <c r="T2369">
        <v>250</v>
      </c>
      <c r="U2369">
        <v>190</v>
      </c>
      <c r="V2369" t="s">
        <v>42</v>
      </c>
      <c r="W2369" t="s">
        <v>116</v>
      </c>
      <c r="X2369" t="s">
        <v>116</v>
      </c>
      <c r="Y2369" t="s">
        <v>117</v>
      </c>
      <c r="AF2369" t="s">
        <v>13</v>
      </c>
      <c r="AG2369" t="str">
        <f>HYPERLINK("https://doi.org/10.1515/9781474415675?locatt=mode:legacy")</f>
        <v>https://doi.org/10.1515/9781474415675?locatt=mode:legacy</v>
      </c>
      <c r="AH2369" t="str">
        <f>HYPERLINK("http://www.degruyter.com/isbn/9781474415675")</f>
        <v>http://www.degruyter.com/isbn/9781474415675</v>
      </c>
      <c r="AI2369" t="s">
        <v>180</v>
      </c>
      <c r="AL2369" t="s">
        <v>47</v>
      </c>
      <c r="AM2369">
        <v>1</v>
      </c>
      <c r="AN2369" s="2">
        <v>9781474415668</v>
      </c>
    </row>
    <row r="2370" spans="1:40" x14ac:dyDescent="0.3">
      <c r="A2370" t="s">
        <v>11314</v>
      </c>
      <c r="B2370" t="s">
        <v>1</v>
      </c>
      <c r="C2370" t="s">
        <v>11315</v>
      </c>
      <c r="E2370" t="s">
        <v>11316</v>
      </c>
      <c r="F2370" t="s">
        <v>5</v>
      </c>
      <c r="G2370" t="s">
        <v>6</v>
      </c>
      <c r="L2370" t="s">
        <v>7</v>
      </c>
      <c r="M2370">
        <v>2004</v>
      </c>
      <c r="N2370" s="1">
        <v>44683</v>
      </c>
      <c r="O2370" t="s">
        <v>11317</v>
      </c>
      <c r="P2370">
        <v>1</v>
      </c>
      <c r="Q2370" t="s">
        <v>6820</v>
      </c>
      <c r="S2370">
        <v>217.95</v>
      </c>
      <c r="T2370">
        <v>250</v>
      </c>
      <c r="U2370">
        <v>190</v>
      </c>
      <c r="V2370" t="s">
        <v>42</v>
      </c>
      <c r="W2370" t="s">
        <v>107</v>
      </c>
      <c r="X2370" t="s">
        <v>108</v>
      </c>
      <c r="Y2370" t="s">
        <v>221</v>
      </c>
      <c r="AF2370" t="s">
        <v>13</v>
      </c>
      <c r="AG2370" t="str">
        <f>HYPERLINK("https://doi.org/10.1515/9781474463980")</f>
        <v>https://doi.org/10.1515/9781474463980</v>
      </c>
      <c r="AH2370" t="str">
        <f>HYPERLINK("http://www.degruyter.com/isbn/9781474463980")</f>
        <v>http://www.degruyter.com/isbn/9781474463980</v>
      </c>
      <c r="AI2370" t="s">
        <v>68</v>
      </c>
      <c r="AL2370" t="s">
        <v>47</v>
      </c>
      <c r="AM2370">
        <v>1</v>
      </c>
      <c r="AN2370" s="2">
        <v>9780748616923</v>
      </c>
    </row>
    <row r="2371" spans="1:40" x14ac:dyDescent="0.3">
      <c r="A2371" t="s">
        <v>11318</v>
      </c>
      <c r="B2371" t="s">
        <v>1</v>
      </c>
      <c r="C2371" t="s">
        <v>11319</v>
      </c>
      <c r="D2371" t="s">
        <v>11320</v>
      </c>
      <c r="E2371" t="s">
        <v>11321</v>
      </c>
      <c r="F2371" t="s">
        <v>5</v>
      </c>
      <c r="G2371" t="s">
        <v>6</v>
      </c>
      <c r="L2371" t="s">
        <v>7</v>
      </c>
      <c r="M2371">
        <v>2021</v>
      </c>
      <c r="N2371" s="1">
        <v>44656</v>
      </c>
      <c r="O2371" t="s">
        <v>11322</v>
      </c>
      <c r="P2371">
        <v>1</v>
      </c>
      <c r="Q2371" t="s">
        <v>6216</v>
      </c>
      <c r="S2371">
        <v>227.95</v>
      </c>
      <c r="T2371">
        <v>260</v>
      </c>
      <c r="U2371">
        <v>200</v>
      </c>
      <c r="V2371" t="s">
        <v>847</v>
      </c>
      <c r="W2371" t="s">
        <v>5219</v>
      </c>
      <c r="X2371" t="s">
        <v>6217</v>
      </c>
      <c r="Y2371" t="s">
        <v>6218</v>
      </c>
      <c r="AF2371" t="s">
        <v>13</v>
      </c>
      <c r="AG2371" t="str">
        <f>HYPERLINK("https://doi.org/10.1515/9781474451420")</f>
        <v>https://doi.org/10.1515/9781474451420</v>
      </c>
      <c r="AH2371" t="str">
        <f>HYPERLINK("http://www.degruyter.com/isbn/9781474451420")</f>
        <v>http://www.degruyter.com/isbn/9781474451420</v>
      </c>
      <c r="AI2371" t="s">
        <v>1936</v>
      </c>
      <c r="AL2371" t="s">
        <v>1070</v>
      </c>
      <c r="AM2371">
        <v>1</v>
      </c>
      <c r="AN2371" s="2">
        <v>9781474451406</v>
      </c>
    </row>
    <row r="2372" spans="1:40" x14ac:dyDescent="0.3">
      <c r="A2372" t="s">
        <v>11323</v>
      </c>
      <c r="B2372" t="s">
        <v>1</v>
      </c>
      <c r="C2372" t="s">
        <v>11324</v>
      </c>
      <c r="D2372" t="s">
        <v>11325</v>
      </c>
      <c r="E2372" t="s">
        <v>11326</v>
      </c>
      <c r="F2372" t="s">
        <v>5</v>
      </c>
      <c r="G2372" t="s">
        <v>6</v>
      </c>
      <c r="L2372" t="s">
        <v>7</v>
      </c>
      <c r="M2372">
        <v>1999</v>
      </c>
      <c r="N2372" s="1">
        <v>44607</v>
      </c>
      <c r="O2372" t="s">
        <v>11327</v>
      </c>
      <c r="P2372">
        <v>1</v>
      </c>
      <c r="S2372">
        <v>217.95</v>
      </c>
      <c r="T2372">
        <v>250</v>
      </c>
      <c r="U2372">
        <v>190</v>
      </c>
      <c r="V2372" t="s">
        <v>329</v>
      </c>
      <c r="W2372" t="s">
        <v>11328</v>
      </c>
      <c r="X2372" t="s">
        <v>11328</v>
      </c>
      <c r="Y2372" t="s">
        <v>11329</v>
      </c>
      <c r="AF2372" t="s">
        <v>13</v>
      </c>
      <c r="AG2372" t="str">
        <f>HYPERLINK("https://doi.org/10.1515/9781474469326")</f>
        <v>https://doi.org/10.1515/9781474469326</v>
      </c>
      <c r="AH2372" t="str">
        <f>HYPERLINK("http://www.degruyter.com/isbn/9781474469326")</f>
        <v>http://www.degruyter.com/isbn/9781474469326</v>
      </c>
      <c r="AI2372" t="s">
        <v>24</v>
      </c>
      <c r="AL2372" t="s">
        <v>333</v>
      </c>
      <c r="AM2372">
        <v>1</v>
      </c>
      <c r="AN2372" s="2">
        <v>9780748613427</v>
      </c>
    </row>
    <row r="2373" spans="1:40" x14ac:dyDescent="0.3">
      <c r="A2373" t="s">
        <v>11330</v>
      </c>
      <c r="B2373" t="s">
        <v>1</v>
      </c>
      <c r="C2373" t="s">
        <v>11331</v>
      </c>
      <c r="D2373" t="s">
        <v>11332</v>
      </c>
      <c r="E2373" t="s">
        <v>11333</v>
      </c>
      <c r="F2373" t="s">
        <v>5</v>
      </c>
      <c r="G2373" t="s">
        <v>6</v>
      </c>
      <c r="L2373" t="s">
        <v>7</v>
      </c>
      <c r="M2373">
        <v>2012</v>
      </c>
      <c r="N2373" s="1">
        <v>41108</v>
      </c>
      <c r="O2373" t="s">
        <v>11334</v>
      </c>
      <c r="P2373">
        <v>1</v>
      </c>
      <c r="Q2373" t="s">
        <v>7362</v>
      </c>
      <c r="S2373">
        <v>227.95</v>
      </c>
      <c r="T2373">
        <v>260</v>
      </c>
      <c r="U2373">
        <v>200</v>
      </c>
      <c r="V2373" t="s">
        <v>58</v>
      </c>
      <c r="W2373" t="s">
        <v>59</v>
      </c>
      <c r="X2373" t="s">
        <v>60</v>
      </c>
      <c r="Y2373" t="s">
        <v>145</v>
      </c>
      <c r="AF2373" t="s">
        <v>13</v>
      </c>
      <c r="AG2373" t="str">
        <f>HYPERLINK("https://doi.org/10.1515/9780748669066")</f>
        <v>https://doi.org/10.1515/9780748669066</v>
      </c>
      <c r="AH2373" t="str">
        <f>HYPERLINK("http://www.degruyter.com/isbn/9780748669066")</f>
        <v>http://www.degruyter.com/isbn/9780748669066</v>
      </c>
      <c r="AI2373" t="s">
        <v>68</v>
      </c>
      <c r="AL2373" t="s">
        <v>62</v>
      </c>
      <c r="AM2373">
        <v>1</v>
      </c>
      <c r="AN2373" s="2">
        <v>9780748642779</v>
      </c>
    </row>
    <row r="2374" spans="1:40" x14ac:dyDescent="0.3">
      <c r="A2374" t="s">
        <v>11335</v>
      </c>
      <c r="B2374" t="s">
        <v>1</v>
      </c>
      <c r="C2374" t="s">
        <v>11336</v>
      </c>
      <c r="E2374" t="s">
        <v>11337</v>
      </c>
      <c r="F2374" t="s">
        <v>5</v>
      </c>
      <c r="G2374" t="s">
        <v>6</v>
      </c>
      <c r="L2374" t="s">
        <v>7</v>
      </c>
      <c r="M2374">
        <v>2009</v>
      </c>
      <c r="N2374" s="1">
        <v>39927</v>
      </c>
      <c r="O2374" t="s">
        <v>2362</v>
      </c>
      <c r="P2374">
        <v>1</v>
      </c>
      <c r="Q2374" t="s">
        <v>7606</v>
      </c>
      <c r="S2374">
        <v>217.95</v>
      </c>
      <c r="T2374">
        <v>250</v>
      </c>
      <c r="U2374">
        <v>190</v>
      </c>
      <c r="V2374" t="s">
        <v>42</v>
      </c>
      <c r="W2374" t="s">
        <v>43</v>
      </c>
      <c r="X2374" t="s">
        <v>44</v>
      </c>
      <c r="Y2374" t="s">
        <v>45</v>
      </c>
      <c r="AF2374" t="s">
        <v>13</v>
      </c>
      <c r="AG2374" t="str">
        <f>HYPERLINK("https://doi.org/10.1515/9780748633708?locatt=mode:legacy")</f>
        <v>https://doi.org/10.1515/9780748633708?locatt=mode:legacy</v>
      </c>
      <c r="AH2374" t="str">
        <f>HYPERLINK("http://www.degruyter.com/isbn/9780748633708")</f>
        <v>http://www.degruyter.com/isbn/9780748633708</v>
      </c>
      <c r="AI2374" t="s">
        <v>68</v>
      </c>
      <c r="AL2374" t="s">
        <v>47</v>
      </c>
      <c r="AM2374">
        <v>1</v>
      </c>
      <c r="AN2374" s="2">
        <v>9780748633685</v>
      </c>
    </row>
    <row r="2375" spans="1:40" x14ac:dyDescent="0.3">
      <c r="A2375" t="s">
        <v>11338</v>
      </c>
      <c r="B2375" t="s">
        <v>1</v>
      </c>
      <c r="C2375" t="s">
        <v>11339</v>
      </c>
      <c r="D2375" t="s">
        <v>5690</v>
      </c>
      <c r="E2375" t="s">
        <v>11340</v>
      </c>
      <c r="F2375" t="s">
        <v>5</v>
      </c>
      <c r="G2375" t="s">
        <v>6</v>
      </c>
      <c r="L2375" t="s">
        <v>7</v>
      </c>
      <c r="M2375">
        <v>2019</v>
      </c>
      <c r="N2375" s="1">
        <v>44644</v>
      </c>
      <c r="O2375" t="s">
        <v>11341</v>
      </c>
      <c r="P2375">
        <v>1</v>
      </c>
      <c r="Q2375" t="s">
        <v>5693</v>
      </c>
      <c r="S2375">
        <v>243.95</v>
      </c>
      <c r="T2375">
        <v>280</v>
      </c>
      <c r="U2375">
        <v>210</v>
      </c>
      <c r="V2375" t="s">
        <v>42</v>
      </c>
      <c r="W2375" t="s">
        <v>107</v>
      </c>
      <c r="X2375" t="s">
        <v>108</v>
      </c>
      <c r="Y2375" t="s">
        <v>221</v>
      </c>
      <c r="AF2375" t="s">
        <v>13</v>
      </c>
      <c r="AG2375" t="str">
        <f>HYPERLINK("https://doi.org/10.1515/9781474440943?locatt=mode:legacy")</f>
        <v>https://doi.org/10.1515/9781474440943?locatt=mode:legacy</v>
      </c>
      <c r="AH2375" t="str">
        <f>HYPERLINK("http://www.degruyter.com/isbn/9781474440943")</f>
        <v>http://www.degruyter.com/isbn/9781474440943</v>
      </c>
      <c r="AI2375" t="s">
        <v>11342</v>
      </c>
      <c r="AL2375" t="s">
        <v>47</v>
      </c>
      <c r="AM2375">
        <v>1</v>
      </c>
      <c r="AN2375" s="2">
        <v>9781474440929</v>
      </c>
    </row>
    <row r="2376" spans="1:40" x14ac:dyDescent="0.3">
      <c r="A2376" t="s">
        <v>11343</v>
      </c>
      <c r="B2376" t="s">
        <v>1</v>
      </c>
      <c r="C2376" t="s">
        <v>11344</v>
      </c>
      <c r="D2376" t="s">
        <v>11345</v>
      </c>
      <c r="E2376" t="s">
        <v>11346</v>
      </c>
      <c r="F2376" t="s">
        <v>5</v>
      </c>
      <c r="G2376" t="s">
        <v>6</v>
      </c>
      <c r="L2376" t="s">
        <v>7</v>
      </c>
      <c r="M2376">
        <v>2017</v>
      </c>
      <c r="N2376" s="1">
        <v>43087</v>
      </c>
      <c r="O2376" t="s">
        <v>11347</v>
      </c>
      <c r="P2376">
        <v>1</v>
      </c>
      <c r="Q2376" t="s">
        <v>6539</v>
      </c>
      <c r="S2376">
        <v>217.95</v>
      </c>
      <c r="T2376">
        <v>250</v>
      </c>
      <c r="U2376">
        <v>190</v>
      </c>
      <c r="V2376" t="s">
        <v>42</v>
      </c>
      <c r="W2376" t="s">
        <v>107</v>
      </c>
      <c r="X2376" t="s">
        <v>108</v>
      </c>
      <c r="Y2376" t="s">
        <v>952</v>
      </c>
      <c r="AF2376" t="s">
        <v>13</v>
      </c>
      <c r="AG2376" t="str">
        <f>HYPERLINK("https://doi.org/10.1515/9781474421461?locatt=mode:legacy")</f>
        <v>https://doi.org/10.1515/9781474421461?locatt=mode:legacy</v>
      </c>
      <c r="AH2376" t="str">
        <f>HYPERLINK("http://www.degruyter.com/isbn/9781474421461")</f>
        <v>http://www.degruyter.com/isbn/9781474421461</v>
      </c>
      <c r="AI2376" t="s">
        <v>222</v>
      </c>
      <c r="AL2376" t="s">
        <v>47</v>
      </c>
      <c r="AM2376">
        <v>1</v>
      </c>
      <c r="AN2376" s="2">
        <v>9781474421454</v>
      </c>
    </row>
    <row r="2377" spans="1:40" x14ac:dyDescent="0.3">
      <c r="A2377" t="s">
        <v>11348</v>
      </c>
      <c r="B2377" t="s">
        <v>1</v>
      </c>
      <c r="C2377" t="s">
        <v>11349</v>
      </c>
      <c r="D2377" t="s">
        <v>11350</v>
      </c>
      <c r="E2377" t="s">
        <v>11351</v>
      </c>
      <c r="F2377" t="s">
        <v>5</v>
      </c>
      <c r="G2377" t="s">
        <v>6</v>
      </c>
      <c r="L2377" t="s">
        <v>7</v>
      </c>
      <c r="M2377">
        <v>2018</v>
      </c>
      <c r="N2377" s="1">
        <v>44644</v>
      </c>
      <c r="O2377" t="s">
        <v>11352</v>
      </c>
      <c r="P2377">
        <v>1</v>
      </c>
      <c r="Q2377" t="s">
        <v>6539</v>
      </c>
      <c r="S2377">
        <v>217.95</v>
      </c>
      <c r="T2377">
        <v>250</v>
      </c>
      <c r="U2377">
        <v>190</v>
      </c>
      <c r="V2377" t="s">
        <v>305</v>
      </c>
      <c r="W2377" t="s">
        <v>650</v>
      </c>
      <c r="X2377" t="s">
        <v>650</v>
      </c>
      <c r="Y2377" t="s">
        <v>651</v>
      </c>
      <c r="AF2377" t="s">
        <v>13</v>
      </c>
      <c r="AG2377" t="str">
        <f>HYPERLINK("https://doi.org/10.1515/9781474407175?locatt=mode:legacy")</f>
        <v>https://doi.org/10.1515/9781474407175?locatt=mode:legacy</v>
      </c>
      <c r="AH2377" t="str">
        <f>HYPERLINK("http://www.degruyter.com/isbn/9781474407175")</f>
        <v>http://www.degruyter.com/isbn/9781474407175</v>
      </c>
      <c r="AI2377" t="s">
        <v>46</v>
      </c>
      <c r="AL2377" t="s">
        <v>308</v>
      </c>
      <c r="AM2377">
        <v>1</v>
      </c>
      <c r="AN2377" s="2">
        <v>9781474407168</v>
      </c>
    </row>
    <row r="2378" spans="1:40" x14ac:dyDescent="0.3">
      <c r="A2378" t="s">
        <v>11353</v>
      </c>
      <c r="B2378" t="s">
        <v>1</v>
      </c>
      <c r="C2378" t="s">
        <v>11354</v>
      </c>
      <c r="D2378" t="s">
        <v>11355</v>
      </c>
      <c r="E2378" t="s">
        <v>11356</v>
      </c>
      <c r="F2378" t="s">
        <v>5</v>
      </c>
      <c r="G2378" t="s">
        <v>6</v>
      </c>
      <c r="L2378" t="s">
        <v>7</v>
      </c>
      <c r="M2378">
        <v>2020</v>
      </c>
      <c r="N2378" s="1">
        <v>44656</v>
      </c>
      <c r="O2378" t="s">
        <v>11357</v>
      </c>
      <c r="P2378">
        <v>1</v>
      </c>
      <c r="Q2378" t="s">
        <v>10362</v>
      </c>
      <c r="S2378">
        <v>217.95</v>
      </c>
      <c r="T2378">
        <v>250</v>
      </c>
      <c r="U2378">
        <v>190</v>
      </c>
      <c r="V2378" t="s">
        <v>42</v>
      </c>
      <c r="W2378" t="s">
        <v>161</v>
      </c>
      <c r="X2378" t="s">
        <v>162</v>
      </c>
      <c r="Y2378" t="s">
        <v>1876</v>
      </c>
      <c r="AF2378" t="s">
        <v>13</v>
      </c>
      <c r="AG2378" t="str">
        <f>HYPERLINK("https://doi.org/10.1515/9781474434164")</f>
        <v>https://doi.org/10.1515/9781474434164</v>
      </c>
      <c r="AH2378" t="str">
        <f>HYPERLINK("http://www.degruyter.com/isbn/9781474434164")</f>
        <v>http://www.degruyter.com/isbn/9781474434164</v>
      </c>
      <c r="AI2378" t="s">
        <v>14</v>
      </c>
      <c r="AJ2378" t="s">
        <v>35</v>
      </c>
      <c r="AL2378" t="s">
        <v>520</v>
      </c>
      <c r="AM2378">
        <v>1</v>
      </c>
      <c r="AN2378" s="2">
        <v>9781474434140</v>
      </c>
    </row>
    <row r="2379" spans="1:40" x14ac:dyDescent="0.3">
      <c r="A2379" t="s">
        <v>11358</v>
      </c>
      <c r="B2379" t="s">
        <v>1</v>
      </c>
      <c r="C2379" t="s">
        <v>11359</v>
      </c>
      <c r="D2379" t="s">
        <v>11360</v>
      </c>
      <c r="E2379" t="s">
        <v>11361</v>
      </c>
      <c r="F2379" t="s">
        <v>5</v>
      </c>
      <c r="G2379" t="s">
        <v>6</v>
      </c>
      <c r="L2379" t="s">
        <v>7</v>
      </c>
      <c r="M2379">
        <v>1989</v>
      </c>
      <c r="N2379" s="1">
        <v>44599</v>
      </c>
      <c r="O2379" t="s">
        <v>11362</v>
      </c>
      <c r="P2379">
        <v>1</v>
      </c>
      <c r="Q2379" t="s">
        <v>7571</v>
      </c>
      <c r="S2379">
        <v>217.95</v>
      </c>
      <c r="T2379">
        <v>250</v>
      </c>
      <c r="U2379">
        <v>190</v>
      </c>
      <c r="V2379" t="s">
        <v>20</v>
      </c>
      <c r="W2379" t="s">
        <v>556</v>
      </c>
      <c r="X2379" t="s">
        <v>1540</v>
      </c>
      <c r="Y2379" t="s">
        <v>1541</v>
      </c>
      <c r="AF2379" t="s">
        <v>13</v>
      </c>
      <c r="AG2379" t="str">
        <f>HYPERLINK("https://doi.org/10.1515/9781474472739")</f>
        <v>https://doi.org/10.1515/9781474472739</v>
      </c>
      <c r="AH2379" t="str">
        <f>HYPERLINK("http://www.degruyter.com/isbn/9781474472739")</f>
        <v>http://www.degruyter.com/isbn/9781474472739</v>
      </c>
      <c r="AI2379" t="s">
        <v>24</v>
      </c>
      <c r="AL2379" t="s">
        <v>15</v>
      </c>
      <c r="AM2379">
        <v>1</v>
      </c>
      <c r="AN2379" s="2">
        <v>9780748601004</v>
      </c>
    </row>
    <row r="2380" spans="1:40" x14ac:dyDescent="0.3">
      <c r="A2380" t="s">
        <v>11363</v>
      </c>
      <c r="B2380" t="s">
        <v>1</v>
      </c>
      <c r="C2380" t="s">
        <v>11364</v>
      </c>
      <c r="E2380" t="s">
        <v>11365</v>
      </c>
      <c r="F2380" t="s">
        <v>5</v>
      </c>
      <c r="G2380" t="s">
        <v>6</v>
      </c>
      <c r="L2380" t="s">
        <v>7</v>
      </c>
      <c r="M2380">
        <v>1984</v>
      </c>
      <c r="N2380" s="1">
        <v>44607</v>
      </c>
      <c r="O2380" t="s">
        <v>6997</v>
      </c>
      <c r="P2380">
        <v>1</v>
      </c>
      <c r="Q2380" t="s">
        <v>6998</v>
      </c>
      <c r="S2380">
        <v>876.95</v>
      </c>
      <c r="T2380">
        <v>990</v>
      </c>
      <c r="U2380">
        <v>760</v>
      </c>
      <c r="V2380" t="s">
        <v>1325</v>
      </c>
      <c r="W2380" t="s">
        <v>1326</v>
      </c>
      <c r="X2380" t="s">
        <v>1326</v>
      </c>
      <c r="Y2380" t="s">
        <v>6999</v>
      </c>
      <c r="AF2380" t="s">
        <v>13</v>
      </c>
      <c r="AG2380" t="str">
        <f>HYPERLINK("https://www.degruyter.com/isbn/9781474466134")</f>
        <v>https://www.degruyter.com/isbn/9781474466134</v>
      </c>
      <c r="AH2380" t="str">
        <f>HYPERLINK("http://www.degruyter.com/isbn/9781474466134")</f>
        <v>http://www.degruyter.com/isbn/9781474466134</v>
      </c>
      <c r="AI2380" t="s">
        <v>24</v>
      </c>
      <c r="AL2380" t="s">
        <v>1328</v>
      </c>
      <c r="AM2380">
        <v>1</v>
      </c>
      <c r="AN2380" s="2">
        <v>9780852244944</v>
      </c>
    </row>
    <row r="2381" spans="1:40" x14ac:dyDescent="0.3">
      <c r="A2381" t="s">
        <v>11366</v>
      </c>
      <c r="B2381" t="s">
        <v>1</v>
      </c>
      <c r="C2381" t="s">
        <v>11367</v>
      </c>
      <c r="D2381" t="s">
        <v>7731</v>
      </c>
      <c r="E2381" t="s">
        <v>11368</v>
      </c>
      <c r="F2381" t="s">
        <v>5</v>
      </c>
      <c r="G2381" t="s">
        <v>6</v>
      </c>
      <c r="L2381" t="s">
        <v>7</v>
      </c>
      <c r="M2381">
        <v>2013</v>
      </c>
      <c r="N2381" s="1">
        <v>41432</v>
      </c>
      <c r="O2381" t="s">
        <v>723</v>
      </c>
      <c r="P2381">
        <v>1</v>
      </c>
      <c r="Q2381" t="s">
        <v>7733</v>
      </c>
      <c r="S2381">
        <v>253.95</v>
      </c>
      <c r="T2381">
        <v>290</v>
      </c>
      <c r="U2381">
        <v>220</v>
      </c>
      <c r="V2381" t="s">
        <v>79</v>
      </c>
      <c r="W2381" t="s">
        <v>209</v>
      </c>
      <c r="X2381" t="s">
        <v>209</v>
      </c>
      <c r="Y2381" t="s">
        <v>510</v>
      </c>
      <c r="AF2381" t="s">
        <v>13</v>
      </c>
      <c r="AG2381" t="str">
        <f>HYPERLINK("https://doi.org/10.1515/9780748668144")</f>
        <v>https://doi.org/10.1515/9780748668144</v>
      </c>
      <c r="AH2381" t="str">
        <f>HYPERLINK("http://www.degruyter.com/isbn/9780748668144")</f>
        <v>http://www.degruyter.com/isbn/9780748668144</v>
      </c>
      <c r="AI2381" t="s">
        <v>68</v>
      </c>
      <c r="AL2381" t="s">
        <v>83</v>
      </c>
      <c r="AM2381">
        <v>1</v>
      </c>
      <c r="AN2381" s="2">
        <v>9780748668120</v>
      </c>
    </row>
    <row r="2382" spans="1:40" x14ac:dyDescent="0.3">
      <c r="A2382" t="s">
        <v>11369</v>
      </c>
      <c r="B2382" t="s">
        <v>1</v>
      </c>
      <c r="C2382" t="s">
        <v>11370</v>
      </c>
      <c r="D2382" t="s">
        <v>11371</v>
      </c>
      <c r="E2382" t="s">
        <v>11372</v>
      </c>
      <c r="F2382" t="s">
        <v>5</v>
      </c>
      <c r="G2382" t="s">
        <v>6</v>
      </c>
      <c r="L2382" t="s">
        <v>7</v>
      </c>
      <c r="M2382">
        <v>2018</v>
      </c>
      <c r="N2382" s="1">
        <v>44644</v>
      </c>
      <c r="O2382" t="s">
        <v>11373</v>
      </c>
      <c r="P2382">
        <v>1</v>
      </c>
      <c r="Q2382" t="s">
        <v>10362</v>
      </c>
      <c r="S2382">
        <v>253.95</v>
      </c>
      <c r="T2382">
        <v>290</v>
      </c>
      <c r="U2382">
        <v>220</v>
      </c>
      <c r="V2382" t="s">
        <v>847</v>
      </c>
      <c r="W2382" t="s">
        <v>848</v>
      </c>
      <c r="X2382" t="s">
        <v>849</v>
      </c>
      <c r="Y2382" t="s">
        <v>850</v>
      </c>
      <c r="AF2382" t="s">
        <v>13</v>
      </c>
      <c r="AG2382" t="str">
        <f>HYPERLINK("https://doi.org/10.1515/9781474420587?locatt=mode:legacy")</f>
        <v>https://doi.org/10.1515/9781474420587?locatt=mode:legacy</v>
      </c>
      <c r="AH2382" t="str">
        <f>HYPERLINK("http://www.degruyter.com/isbn/9781474420587")</f>
        <v>http://www.degruyter.com/isbn/9781474420587</v>
      </c>
      <c r="AI2382" t="s">
        <v>46</v>
      </c>
      <c r="AL2382" t="s">
        <v>1070</v>
      </c>
      <c r="AM2382">
        <v>1</v>
      </c>
      <c r="AN2382" s="2">
        <v>9781474420570</v>
      </c>
    </row>
    <row r="2383" spans="1:40" x14ac:dyDescent="0.3">
      <c r="A2383" t="s">
        <v>11374</v>
      </c>
      <c r="B2383" t="s">
        <v>1</v>
      </c>
      <c r="C2383" t="s">
        <v>11375</v>
      </c>
      <c r="E2383" t="s">
        <v>11376</v>
      </c>
      <c r="F2383" t="s">
        <v>5</v>
      </c>
      <c r="G2383" t="s">
        <v>6</v>
      </c>
      <c r="L2383" t="s">
        <v>7</v>
      </c>
      <c r="M2383">
        <v>2011</v>
      </c>
      <c r="N2383" s="1">
        <v>40707</v>
      </c>
      <c r="O2383" t="s">
        <v>11377</v>
      </c>
      <c r="P2383">
        <v>1</v>
      </c>
      <c r="Q2383" t="s">
        <v>7606</v>
      </c>
      <c r="S2383">
        <v>217.95</v>
      </c>
      <c r="T2383">
        <v>250</v>
      </c>
      <c r="U2383">
        <v>190</v>
      </c>
      <c r="V2383" t="s">
        <v>42</v>
      </c>
      <c r="W2383" t="s">
        <v>43</v>
      </c>
      <c r="X2383" t="s">
        <v>44</v>
      </c>
      <c r="Y2383" t="s">
        <v>45</v>
      </c>
      <c r="AF2383" t="s">
        <v>13</v>
      </c>
      <c r="AG2383" t="str">
        <f>HYPERLINK("https://doi.org/10.1515/9780748647026?locatt=mode:legacy")</f>
        <v>https://doi.org/10.1515/9780748647026?locatt=mode:legacy</v>
      </c>
      <c r="AH2383" t="str">
        <f>HYPERLINK("http://www.degruyter.com/isbn/9780748647026")</f>
        <v>http://www.degruyter.com/isbn/9780748647026</v>
      </c>
      <c r="AI2383" t="s">
        <v>68</v>
      </c>
      <c r="AL2383" t="s">
        <v>47</v>
      </c>
      <c r="AM2383">
        <v>1</v>
      </c>
      <c r="AN2383" s="2">
        <v>9780748637782</v>
      </c>
    </row>
    <row r="2384" spans="1:40" x14ac:dyDescent="0.3">
      <c r="A2384" t="s">
        <v>11378</v>
      </c>
      <c r="B2384" t="s">
        <v>1</v>
      </c>
      <c r="C2384" t="s">
        <v>11379</v>
      </c>
      <c r="D2384" t="s">
        <v>11380</v>
      </c>
      <c r="E2384" t="s">
        <v>11381</v>
      </c>
      <c r="F2384" t="s">
        <v>5</v>
      </c>
      <c r="G2384" t="s">
        <v>6</v>
      </c>
      <c r="L2384" t="s">
        <v>7</v>
      </c>
      <c r="M2384">
        <v>2017</v>
      </c>
      <c r="N2384" s="1">
        <v>42780</v>
      </c>
      <c r="O2384" t="s">
        <v>11382</v>
      </c>
      <c r="P2384">
        <v>1</v>
      </c>
      <c r="Q2384" t="s">
        <v>11383</v>
      </c>
      <c r="S2384">
        <v>253.95</v>
      </c>
      <c r="T2384">
        <v>290</v>
      </c>
      <c r="U2384">
        <v>220</v>
      </c>
      <c r="V2384" t="s">
        <v>79</v>
      </c>
      <c r="W2384" t="s">
        <v>123</v>
      </c>
      <c r="X2384" t="s">
        <v>123</v>
      </c>
      <c r="Y2384" t="s">
        <v>124</v>
      </c>
      <c r="AF2384" t="s">
        <v>13</v>
      </c>
      <c r="AG2384" t="str">
        <f>HYPERLINK("https://doi.org/10.1515/9781474401173")</f>
        <v>https://doi.org/10.1515/9781474401173</v>
      </c>
      <c r="AH2384" t="str">
        <f>HYPERLINK("http://www.degruyter.com/isbn/9781474401173")</f>
        <v>http://www.degruyter.com/isbn/9781474401173</v>
      </c>
      <c r="AI2384" t="s">
        <v>11384</v>
      </c>
      <c r="AL2384" t="s">
        <v>83</v>
      </c>
      <c r="AM2384">
        <v>1</v>
      </c>
      <c r="AN2384" s="2">
        <v>9781474401166</v>
      </c>
    </row>
    <row r="2385" spans="1:40" x14ac:dyDescent="0.3">
      <c r="A2385" t="s">
        <v>11385</v>
      </c>
      <c r="B2385" t="s">
        <v>1</v>
      </c>
      <c r="C2385" t="s">
        <v>11386</v>
      </c>
      <c r="D2385" t="s">
        <v>11387</v>
      </c>
      <c r="E2385" t="s">
        <v>11388</v>
      </c>
      <c r="F2385" t="s">
        <v>5</v>
      </c>
      <c r="G2385" t="s">
        <v>6</v>
      </c>
      <c r="L2385" t="s">
        <v>7</v>
      </c>
      <c r="M2385">
        <v>2018</v>
      </c>
      <c r="N2385" s="1">
        <v>44644</v>
      </c>
      <c r="O2385" t="s">
        <v>11389</v>
      </c>
      <c r="P2385">
        <v>1</v>
      </c>
      <c r="Q2385" t="s">
        <v>8601</v>
      </c>
      <c r="S2385">
        <v>227.95</v>
      </c>
      <c r="T2385">
        <v>260</v>
      </c>
      <c r="U2385">
        <v>200</v>
      </c>
      <c r="V2385" t="s">
        <v>305</v>
      </c>
      <c r="W2385" t="s">
        <v>2566</v>
      </c>
      <c r="X2385" t="s">
        <v>2567</v>
      </c>
      <c r="Y2385" t="s">
        <v>4151</v>
      </c>
      <c r="AF2385" t="s">
        <v>13</v>
      </c>
      <c r="AG2385" t="str">
        <f>HYPERLINK("https://doi.org/10.1515/9781474417013")</f>
        <v>https://doi.org/10.1515/9781474417013</v>
      </c>
      <c r="AH2385" t="str">
        <f>HYPERLINK("http://www.degruyter.com/isbn/9781474417013")</f>
        <v>http://www.degruyter.com/isbn/9781474417013</v>
      </c>
      <c r="AI2385" t="s">
        <v>46</v>
      </c>
      <c r="AL2385" t="s">
        <v>308</v>
      </c>
      <c r="AM2385">
        <v>1</v>
      </c>
      <c r="AN2385" s="2">
        <v>9781474417006</v>
      </c>
    </row>
    <row r="2386" spans="1:40" x14ac:dyDescent="0.3">
      <c r="A2386" t="s">
        <v>11390</v>
      </c>
      <c r="B2386" t="s">
        <v>1</v>
      </c>
      <c r="C2386" t="s">
        <v>11391</v>
      </c>
      <c r="E2386" t="s">
        <v>11392</v>
      </c>
      <c r="F2386" t="s">
        <v>5</v>
      </c>
      <c r="G2386" t="s">
        <v>6</v>
      </c>
      <c r="L2386" t="s">
        <v>7</v>
      </c>
      <c r="M2386">
        <v>2011</v>
      </c>
      <c r="N2386" s="1">
        <v>40679</v>
      </c>
      <c r="O2386" t="s">
        <v>6223</v>
      </c>
      <c r="P2386">
        <v>1</v>
      </c>
      <c r="Q2386" t="s">
        <v>7047</v>
      </c>
      <c r="S2386">
        <v>191.95</v>
      </c>
      <c r="T2386">
        <v>220</v>
      </c>
      <c r="U2386">
        <v>170</v>
      </c>
      <c r="V2386" t="s">
        <v>9</v>
      </c>
      <c r="W2386" t="s">
        <v>10</v>
      </c>
      <c r="X2386" t="s">
        <v>44</v>
      </c>
      <c r="Y2386" t="s">
        <v>6325</v>
      </c>
      <c r="AF2386" t="s">
        <v>13</v>
      </c>
      <c r="AG2386" t="str">
        <f>HYPERLINK("https://doi.org/10.1515/9780748646340")</f>
        <v>https://doi.org/10.1515/9780748646340</v>
      </c>
      <c r="AH2386" t="str">
        <f>HYPERLINK("http://www.degruyter.com/isbn/9780748646340")</f>
        <v>http://www.degruyter.com/isbn/9780748646340</v>
      </c>
      <c r="AI2386" t="s">
        <v>68</v>
      </c>
      <c r="AL2386" t="s">
        <v>15</v>
      </c>
      <c r="AM2386">
        <v>1</v>
      </c>
      <c r="AN2386" s="2">
        <v>9780748641086</v>
      </c>
    </row>
    <row r="2387" spans="1:40" x14ac:dyDescent="0.3">
      <c r="A2387" t="s">
        <v>11393</v>
      </c>
      <c r="B2387" t="s">
        <v>1</v>
      </c>
      <c r="C2387" t="s">
        <v>11394</v>
      </c>
      <c r="D2387" t="s">
        <v>11395</v>
      </c>
      <c r="E2387" t="s">
        <v>11396</v>
      </c>
      <c r="F2387" t="s">
        <v>5</v>
      </c>
      <c r="G2387" t="s">
        <v>6</v>
      </c>
      <c r="L2387" t="s">
        <v>7</v>
      </c>
      <c r="M2387">
        <v>2015</v>
      </c>
      <c r="N2387" s="1">
        <v>42142</v>
      </c>
      <c r="O2387" t="s">
        <v>11397</v>
      </c>
      <c r="P2387">
        <v>1</v>
      </c>
      <c r="Q2387" t="s">
        <v>5911</v>
      </c>
      <c r="S2387">
        <v>217.95</v>
      </c>
      <c r="T2387">
        <v>250</v>
      </c>
      <c r="U2387">
        <v>190</v>
      </c>
      <c r="V2387" t="s">
        <v>329</v>
      </c>
      <c r="W2387" t="s">
        <v>330</v>
      </c>
      <c r="X2387" t="s">
        <v>331</v>
      </c>
      <c r="Y2387" t="s">
        <v>4770</v>
      </c>
      <c r="AF2387" t="s">
        <v>13</v>
      </c>
      <c r="AG2387" t="str">
        <f>HYPERLINK("https://doi.org/10.1515/9781474400282?locatt=mode:legacy")</f>
        <v>https://doi.org/10.1515/9781474400282?locatt=mode:legacy</v>
      </c>
      <c r="AH2387" t="str">
        <f>HYPERLINK("http://www.degruyter.com/isbn/9781474400282")</f>
        <v>http://www.degruyter.com/isbn/9781474400282</v>
      </c>
      <c r="AI2387" t="s">
        <v>34</v>
      </c>
      <c r="AL2387" t="s">
        <v>333</v>
      </c>
      <c r="AM2387">
        <v>1</v>
      </c>
      <c r="AN2387" s="2">
        <v>9781474400275</v>
      </c>
    </row>
    <row r="2388" spans="1:40" x14ac:dyDescent="0.3">
      <c r="A2388" t="s">
        <v>11398</v>
      </c>
      <c r="B2388" t="s">
        <v>1</v>
      </c>
      <c r="C2388" t="s">
        <v>11399</v>
      </c>
      <c r="E2388" t="s">
        <v>11400</v>
      </c>
      <c r="F2388" t="s">
        <v>5</v>
      </c>
      <c r="G2388" t="s">
        <v>6</v>
      </c>
      <c r="L2388" t="s">
        <v>7</v>
      </c>
      <c r="M2388">
        <v>2009</v>
      </c>
      <c r="N2388" s="1">
        <v>39954</v>
      </c>
      <c r="O2388" t="s">
        <v>11401</v>
      </c>
      <c r="P2388">
        <v>1</v>
      </c>
      <c r="Q2388" t="s">
        <v>6418</v>
      </c>
      <c r="S2388">
        <v>279.95</v>
      </c>
      <c r="T2388">
        <v>320</v>
      </c>
      <c r="U2388">
        <v>240</v>
      </c>
      <c r="V2388" t="s">
        <v>79</v>
      </c>
      <c r="W2388" t="s">
        <v>209</v>
      </c>
      <c r="X2388" t="s">
        <v>209</v>
      </c>
      <c r="Y2388" t="s">
        <v>510</v>
      </c>
      <c r="AF2388" t="s">
        <v>13</v>
      </c>
      <c r="AG2388" t="str">
        <f>HYPERLINK("https://doi.org/10.1515/9780748635054?locatt=mode:legacy")</f>
        <v>https://doi.org/10.1515/9780748635054?locatt=mode:legacy</v>
      </c>
      <c r="AH2388" t="str">
        <f>HYPERLINK("http://www.degruyter.com/isbn/9780748635054")</f>
        <v>http://www.degruyter.com/isbn/9780748635054</v>
      </c>
      <c r="AI2388" t="s">
        <v>68</v>
      </c>
      <c r="AL2388" t="s">
        <v>83</v>
      </c>
      <c r="AM2388">
        <v>1</v>
      </c>
      <c r="AN2388" s="2">
        <v>9780748635030</v>
      </c>
    </row>
    <row r="2389" spans="1:40" x14ac:dyDescent="0.3">
      <c r="A2389" t="s">
        <v>11402</v>
      </c>
      <c r="B2389" t="s">
        <v>1</v>
      </c>
      <c r="C2389" t="s">
        <v>11403</v>
      </c>
      <c r="D2389" t="s">
        <v>11404</v>
      </c>
      <c r="E2389" t="s">
        <v>11405</v>
      </c>
      <c r="F2389" t="s">
        <v>5</v>
      </c>
      <c r="G2389" t="s">
        <v>6</v>
      </c>
      <c r="L2389" t="s">
        <v>7</v>
      </c>
      <c r="M2389">
        <v>2020</v>
      </c>
      <c r="N2389" s="1">
        <v>44656</v>
      </c>
      <c r="O2389" t="s">
        <v>11406</v>
      </c>
      <c r="P2389">
        <v>1</v>
      </c>
      <c r="Q2389" t="s">
        <v>11407</v>
      </c>
      <c r="S2389">
        <v>243.95</v>
      </c>
      <c r="T2389">
        <v>280</v>
      </c>
      <c r="U2389">
        <v>210</v>
      </c>
      <c r="V2389" t="s">
        <v>329</v>
      </c>
      <c r="W2389" t="s">
        <v>330</v>
      </c>
      <c r="X2389" t="s">
        <v>331</v>
      </c>
      <c r="Y2389" t="s">
        <v>4770</v>
      </c>
      <c r="AF2389" t="s">
        <v>13</v>
      </c>
      <c r="AG2389" t="str">
        <f>HYPERLINK("https://doi.org/10.1515/9781474441056")</f>
        <v>https://doi.org/10.1515/9781474441056</v>
      </c>
      <c r="AH2389" t="str">
        <f>HYPERLINK("http://www.degruyter.com/isbn/9781474441056")</f>
        <v>http://www.degruyter.com/isbn/9781474441056</v>
      </c>
      <c r="AI2389" t="s">
        <v>14</v>
      </c>
      <c r="AL2389" t="s">
        <v>333</v>
      </c>
      <c r="AM2389">
        <v>1</v>
      </c>
      <c r="AN2389" s="2">
        <v>9781474441032</v>
      </c>
    </row>
    <row r="2390" spans="1:40" x14ac:dyDescent="0.3">
      <c r="A2390" t="s">
        <v>11408</v>
      </c>
      <c r="B2390" t="s">
        <v>1</v>
      </c>
      <c r="C2390" t="s">
        <v>11409</v>
      </c>
      <c r="E2390" t="s">
        <v>11410</v>
      </c>
      <c r="F2390" t="s">
        <v>5</v>
      </c>
      <c r="G2390" t="s">
        <v>6</v>
      </c>
      <c r="L2390" t="s">
        <v>7</v>
      </c>
      <c r="M2390">
        <v>2004</v>
      </c>
      <c r="N2390" s="1">
        <v>38187</v>
      </c>
      <c r="O2390" t="s">
        <v>11411</v>
      </c>
      <c r="P2390">
        <v>1</v>
      </c>
      <c r="Q2390" t="s">
        <v>6418</v>
      </c>
      <c r="S2390">
        <v>279.95</v>
      </c>
      <c r="T2390">
        <v>320</v>
      </c>
      <c r="U2390">
        <v>240</v>
      </c>
      <c r="V2390" t="s">
        <v>79</v>
      </c>
      <c r="W2390" t="s">
        <v>209</v>
      </c>
      <c r="X2390" t="s">
        <v>209</v>
      </c>
      <c r="Y2390" t="s">
        <v>510</v>
      </c>
      <c r="AF2390" t="s">
        <v>13</v>
      </c>
      <c r="AG2390" t="str">
        <f>HYPERLINK("https://doi.org/10.1515/9781474465489")</f>
        <v>https://doi.org/10.1515/9781474465489</v>
      </c>
      <c r="AH2390" t="str">
        <f>HYPERLINK("http://www.degruyter.com/isbn/9781474465489")</f>
        <v>http://www.degruyter.com/isbn/9781474465489</v>
      </c>
      <c r="AI2390" t="s">
        <v>68</v>
      </c>
      <c r="AL2390" t="s">
        <v>83</v>
      </c>
      <c r="AM2390">
        <v>1</v>
      </c>
      <c r="AN2390" s="2">
        <v>9780748618910</v>
      </c>
    </row>
    <row r="2391" spans="1:40" x14ac:dyDescent="0.3">
      <c r="A2391" t="s">
        <v>11412</v>
      </c>
      <c r="B2391" t="s">
        <v>1</v>
      </c>
      <c r="C2391" t="s">
        <v>11413</v>
      </c>
      <c r="D2391" t="s">
        <v>11414</v>
      </c>
      <c r="E2391" t="s">
        <v>11415</v>
      </c>
      <c r="F2391" t="s">
        <v>5</v>
      </c>
      <c r="G2391" t="s">
        <v>6</v>
      </c>
      <c r="L2391" t="s">
        <v>7</v>
      </c>
      <c r="M2391">
        <v>2019</v>
      </c>
      <c r="N2391" s="1">
        <v>44644</v>
      </c>
      <c r="O2391" t="s">
        <v>11416</v>
      </c>
      <c r="P2391">
        <v>1</v>
      </c>
      <c r="Q2391" t="s">
        <v>9611</v>
      </c>
      <c r="S2391">
        <v>253.95</v>
      </c>
      <c r="T2391">
        <v>290</v>
      </c>
      <c r="U2391">
        <v>220</v>
      </c>
      <c r="V2391" t="s">
        <v>20</v>
      </c>
      <c r="W2391" t="s">
        <v>21</v>
      </c>
      <c r="X2391" t="s">
        <v>458</v>
      </c>
      <c r="Y2391" t="s">
        <v>459</v>
      </c>
      <c r="AF2391" t="s">
        <v>13</v>
      </c>
      <c r="AG2391" t="str">
        <f>HYPERLINK("https://doi.org/10.1515/9781474458580")</f>
        <v>https://doi.org/10.1515/9781474458580</v>
      </c>
      <c r="AH2391" t="str">
        <f>HYPERLINK("http://www.degruyter.com/isbn/9781474458580")</f>
        <v>http://www.degruyter.com/isbn/9781474458580</v>
      </c>
      <c r="AI2391" t="s">
        <v>280</v>
      </c>
      <c r="AL2391" t="s">
        <v>15</v>
      </c>
      <c r="AM2391">
        <v>1</v>
      </c>
      <c r="AN2391" s="2">
        <v>9781474458566</v>
      </c>
    </row>
    <row r="2392" spans="1:40" x14ac:dyDescent="0.3">
      <c r="A2392" t="s">
        <v>11417</v>
      </c>
      <c r="B2392" t="s">
        <v>1</v>
      </c>
      <c r="C2392" t="s">
        <v>11418</v>
      </c>
      <c r="E2392" t="s">
        <v>11419</v>
      </c>
      <c r="F2392" t="s">
        <v>5</v>
      </c>
      <c r="G2392" t="s">
        <v>6</v>
      </c>
      <c r="L2392" t="s">
        <v>7</v>
      </c>
      <c r="M2392">
        <v>2019</v>
      </c>
      <c r="N2392" s="1">
        <v>44656</v>
      </c>
      <c r="O2392" t="s">
        <v>11420</v>
      </c>
      <c r="P2392">
        <v>1</v>
      </c>
      <c r="Q2392" t="s">
        <v>7863</v>
      </c>
      <c r="S2392">
        <v>227.95</v>
      </c>
      <c r="T2392">
        <v>260</v>
      </c>
      <c r="U2392">
        <v>200</v>
      </c>
      <c r="V2392" t="s">
        <v>42</v>
      </c>
      <c r="W2392" t="s">
        <v>107</v>
      </c>
      <c r="X2392" t="s">
        <v>108</v>
      </c>
      <c r="Y2392" t="s">
        <v>109</v>
      </c>
      <c r="AF2392" t="s">
        <v>13</v>
      </c>
      <c r="AG2392" t="str">
        <f>HYPERLINK("https://doi.org/10.1515/9781474430272")</f>
        <v>https://doi.org/10.1515/9781474430272</v>
      </c>
      <c r="AH2392" t="str">
        <f>HYPERLINK("http://www.degruyter.com/isbn/9781474430272")</f>
        <v>http://www.degruyter.com/isbn/9781474430272</v>
      </c>
      <c r="AI2392" t="s">
        <v>280</v>
      </c>
      <c r="AL2392" t="s">
        <v>47</v>
      </c>
      <c r="AM2392">
        <v>1</v>
      </c>
      <c r="AN2392" s="2">
        <v>9781474430258</v>
      </c>
    </row>
    <row r="2393" spans="1:40" x14ac:dyDescent="0.3">
      <c r="A2393" t="s">
        <v>11421</v>
      </c>
      <c r="B2393" t="s">
        <v>1</v>
      </c>
      <c r="C2393" t="s">
        <v>11422</v>
      </c>
      <c r="E2393" t="s">
        <v>11423</v>
      </c>
      <c r="F2393" t="s">
        <v>5</v>
      </c>
      <c r="G2393" t="s">
        <v>6</v>
      </c>
      <c r="L2393" t="s">
        <v>7</v>
      </c>
      <c r="M2393">
        <v>2021</v>
      </c>
      <c r="N2393" s="1">
        <v>44656</v>
      </c>
      <c r="O2393" t="s">
        <v>11424</v>
      </c>
      <c r="P2393">
        <v>1</v>
      </c>
      <c r="Q2393" t="s">
        <v>9611</v>
      </c>
      <c r="S2393">
        <v>217.95</v>
      </c>
      <c r="T2393">
        <v>250</v>
      </c>
      <c r="U2393">
        <v>190</v>
      </c>
      <c r="V2393" t="s">
        <v>20</v>
      </c>
      <c r="W2393" t="s">
        <v>21</v>
      </c>
      <c r="X2393" t="s">
        <v>458</v>
      </c>
      <c r="Y2393" t="s">
        <v>11425</v>
      </c>
      <c r="AF2393" t="s">
        <v>13</v>
      </c>
      <c r="AG2393" t="str">
        <f>HYPERLINK("https://doi.org/10.1515/9781474447522")</f>
        <v>https://doi.org/10.1515/9781474447522</v>
      </c>
      <c r="AH2393" t="str">
        <f>HYPERLINK("http://www.degruyter.com/isbn/9781474447522")</f>
        <v>http://www.degruyter.com/isbn/9781474447522</v>
      </c>
      <c r="AI2393" t="s">
        <v>473</v>
      </c>
      <c r="AL2393" t="s">
        <v>15</v>
      </c>
      <c r="AM2393">
        <v>1</v>
      </c>
      <c r="AN2393" s="2">
        <v>9781474447508</v>
      </c>
    </row>
    <row r="2394" spans="1:40" x14ac:dyDescent="0.3">
      <c r="A2394" t="s">
        <v>11426</v>
      </c>
      <c r="B2394" t="s">
        <v>1</v>
      </c>
      <c r="C2394" t="s">
        <v>11427</v>
      </c>
      <c r="D2394" t="s">
        <v>11428</v>
      </c>
      <c r="E2394" t="s">
        <v>11429</v>
      </c>
      <c r="F2394" t="s">
        <v>5</v>
      </c>
      <c r="G2394" t="s">
        <v>6</v>
      </c>
      <c r="L2394" t="s">
        <v>7</v>
      </c>
      <c r="M2394">
        <v>2020</v>
      </c>
      <c r="N2394" s="1">
        <v>44644</v>
      </c>
      <c r="O2394" t="s">
        <v>11430</v>
      </c>
      <c r="P2394">
        <v>1</v>
      </c>
      <c r="Q2394" t="s">
        <v>8081</v>
      </c>
      <c r="S2394">
        <v>217.95</v>
      </c>
      <c r="T2394">
        <v>250</v>
      </c>
      <c r="U2394">
        <v>190</v>
      </c>
      <c r="V2394" t="s">
        <v>58</v>
      </c>
      <c r="W2394" t="s">
        <v>11431</v>
      </c>
      <c r="X2394" t="s">
        <v>11432</v>
      </c>
      <c r="Y2394" t="s">
        <v>11433</v>
      </c>
      <c r="AF2394" t="s">
        <v>13</v>
      </c>
      <c r="AG2394" t="str">
        <f>HYPERLINK("https://doi.org/10.1515/9781474446983")</f>
        <v>https://doi.org/10.1515/9781474446983</v>
      </c>
      <c r="AH2394" t="str">
        <f>HYPERLINK("http://www.degruyter.com/isbn/9781474446983")</f>
        <v>http://www.degruyter.com/isbn/9781474446983</v>
      </c>
      <c r="AI2394" t="s">
        <v>14</v>
      </c>
      <c r="AL2394" t="s">
        <v>62</v>
      </c>
      <c r="AM2394">
        <v>1</v>
      </c>
      <c r="AN2394" s="2">
        <v>9781474446969</v>
      </c>
    </row>
    <row r="2395" spans="1:40" x14ac:dyDescent="0.3">
      <c r="A2395" t="s">
        <v>11434</v>
      </c>
      <c r="B2395" t="s">
        <v>1</v>
      </c>
      <c r="C2395" t="s">
        <v>11435</v>
      </c>
      <c r="D2395" t="s">
        <v>11436</v>
      </c>
      <c r="E2395" t="s">
        <v>11437</v>
      </c>
      <c r="F2395" t="s">
        <v>5</v>
      </c>
      <c r="G2395" t="s">
        <v>6</v>
      </c>
      <c r="L2395" t="s">
        <v>7</v>
      </c>
      <c r="M2395">
        <v>2010</v>
      </c>
      <c r="N2395" s="1">
        <v>40325</v>
      </c>
      <c r="O2395" t="s">
        <v>11438</v>
      </c>
      <c r="P2395">
        <v>1</v>
      </c>
      <c r="Q2395" t="s">
        <v>7174</v>
      </c>
      <c r="S2395">
        <v>227.95</v>
      </c>
      <c r="T2395">
        <v>260</v>
      </c>
      <c r="U2395">
        <v>200</v>
      </c>
      <c r="V2395" t="s">
        <v>42</v>
      </c>
      <c r="W2395" t="s">
        <v>116</v>
      </c>
      <c r="X2395" t="s">
        <v>116</v>
      </c>
      <c r="Y2395" t="s">
        <v>117</v>
      </c>
      <c r="AF2395" t="s">
        <v>13</v>
      </c>
      <c r="AG2395" t="str">
        <f>HYPERLINK("https://doi.org/10.1515/9780748642458")</f>
        <v>https://doi.org/10.1515/9780748642458</v>
      </c>
      <c r="AH2395" t="str">
        <f>HYPERLINK("http://www.degruyter.com/isbn/9780748642458")</f>
        <v>http://www.degruyter.com/isbn/9780748642458</v>
      </c>
      <c r="AI2395" t="s">
        <v>68</v>
      </c>
      <c r="AL2395" t="s">
        <v>47</v>
      </c>
      <c r="AM2395">
        <v>1</v>
      </c>
      <c r="AN2395" s="2">
        <v>9780748640089</v>
      </c>
    </row>
    <row r="2396" spans="1:40" x14ac:dyDescent="0.3">
      <c r="A2396" t="s">
        <v>11439</v>
      </c>
      <c r="B2396" t="s">
        <v>1</v>
      </c>
      <c r="C2396" t="s">
        <v>11440</v>
      </c>
      <c r="E2396" t="s">
        <v>11441</v>
      </c>
      <c r="F2396" t="s">
        <v>5</v>
      </c>
      <c r="G2396" t="s">
        <v>6</v>
      </c>
      <c r="L2396" t="s">
        <v>7</v>
      </c>
      <c r="M2396">
        <v>2019</v>
      </c>
      <c r="N2396" s="1">
        <v>44656</v>
      </c>
      <c r="O2396" t="s">
        <v>11442</v>
      </c>
      <c r="P2396">
        <v>1</v>
      </c>
      <c r="Q2396" t="s">
        <v>9611</v>
      </c>
      <c r="S2396">
        <v>227.95</v>
      </c>
      <c r="T2396">
        <v>260</v>
      </c>
      <c r="U2396">
        <v>200</v>
      </c>
      <c r="V2396" t="s">
        <v>20</v>
      </c>
      <c r="W2396" t="s">
        <v>470</v>
      </c>
      <c r="X2396" t="s">
        <v>1269</v>
      </c>
      <c r="Y2396" t="s">
        <v>1270</v>
      </c>
      <c r="AF2396" t="s">
        <v>13</v>
      </c>
      <c r="AG2396" t="str">
        <f>HYPERLINK("https://doi.org/10.1515/9781474436731?locatt=mode:legacy")</f>
        <v>https://doi.org/10.1515/9781474436731?locatt=mode:legacy</v>
      </c>
      <c r="AH2396" t="str">
        <f>HYPERLINK("http://www.degruyter.com/isbn/9781474436731")</f>
        <v>http://www.degruyter.com/isbn/9781474436731</v>
      </c>
      <c r="AI2396" t="s">
        <v>280</v>
      </c>
      <c r="AL2396" t="s">
        <v>15</v>
      </c>
      <c r="AM2396">
        <v>1</v>
      </c>
      <c r="AN2396" s="2">
        <v>9781474436717</v>
      </c>
    </row>
    <row r="2397" spans="1:40" x14ac:dyDescent="0.3">
      <c r="A2397" t="s">
        <v>11443</v>
      </c>
      <c r="B2397" t="s">
        <v>1</v>
      </c>
      <c r="C2397" t="s">
        <v>11444</v>
      </c>
      <c r="E2397" t="s">
        <v>11445</v>
      </c>
      <c r="F2397" t="s">
        <v>5</v>
      </c>
      <c r="G2397" t="s">
        <v>6</v>
      </c>
      <c r="L2397" t="s">
        <v>7</v>
      </c>
      <c r="M2397">
        <v>2014</v>
      </c>
      <c r="N2397" s="1">
        <v>41682</v>
      </c>
      <c r="O2397" t="s">
        <v>11446</v>
      </c>
      <c r="P2397">
        <v>1</v>
      </c>
      <c r="Q2397" t="s">
        <v>7095</v>
      </c>
      <c r="S2397">
        <v>253.95</v>
      </c>
      <c r="T2397">
        <v>290</v>
      </c>
      <c r="U2397">
        <v>220</v>
      </c>
      <c r="V2397" t="s">
        <v>79</v>
      </c>
      <c r="W2397" t="s">
        <v>209</v>
      </c>
      <c r="X2397" t="s">
        <v>209</v>
      </c>
      <c r="Y2397" t="s">
        <v>510</v>
      </c>
      <c r="AF2397" t="s">
        <v>13</v>
      </c>
      <c r="AG2397" t="str">
        <f>HYPERLINK("https://doi.org/10.1515/9780748678815")</f>
        <v>https://doi.org/10.1515/9780748678815</v>
      </c>
      <c r="AH2397" t="str">
        <f>HYPERLINK("http://www.degruyter.com/isbn/9780748678815")</f>
        <v>http://www.degruyter.com/isbn/9780748678815</v>
      </c>
      <c r="AI2397" t="s">
        <v>1247</v>
      </c>
      <c r="AL2397" t="s">
        <v>83</v>
      </c>
      <c r="AM2397">
        <v>1</v>
      </c>
      <c r="AN2397" s="2">
        <v>9780748678792</v>
      </c>
    </row>
    <row r="2398" spans="1:40" x14ac:dyDescent="0.3">
      <c r="A2398" t="s">
        <v>11447</v>
      </c>
      <c r="B2398" t="s">
        <v>1</v>
      </c>
      <c r="C2398" t="s">
        <v>11448</v>
      </c>
      <c r="E2398" t="s">
        <v>11449</v>
      </c>
      <c r="F2398" t="s">
        <v>5</v>
      </c>
      <c r="G2398" t="s">
        <v>6</v>
      </c>
      <c r="L2398" t="s">
        <v>7</v>
      </c>
      <c r="M2398">
        <v>2019</v>
      </c>
      <c r="N2398" s="1">
        <v>44656</v>
      </c>
      <c r="O2398" t="s">
        <v>11450</v>
      </c>
      <c r="P2398">
        <v>1</v>
      </c>
      <c r="Q2398" t="s">
        <v>6418</v>
      </c>
      <c r="S2398">
        <v>253.95</v>
      </c>
      <c r="T2398">
        <v>290</v>
      </c>
      <c r="U2398">
        <v>220</v>
      </c>
      <c r="V2398" t="s">
        <v>79</v>
      </c>
      <c r="W2398" t="s">
        <v>209</v>
      </c>
      <c r="X2398" t="s">
        <v>209</v>
      </c>
      <c r="Y2398" t="s">
        <v>699</v>
      </c>
      <c r="AF2398" t="s">
        <v>13</v>
      </c>
      <c r="AG2398" t="str">
        <f>HYPERLINK("https://doi.org/10.1515/9781474430517")</f>
        <v>https://doi.org/10.1515/9781474430517</v>
      </c>
      <c r="AH2398" t="str">
        <f>HYPERLINK("http://www.degruyter.com/isbn/9781474430517")</f>
        <v>http://www.degruyter.com/isbn/9781474430517</v>
      </c>
      <c r="AI2398" t="s">
        <v>280</v>
      </c>
      <c r="AL2398" t="s">
        <v>83</v>
      </c>
      <c r="AM2398">
        <v>1</v>
      </c>
      <c r="AN2398" s="2">
        <v>9781474430494</v>
      </c>
    </row>
    <row r="2399" spans="1:40" x14ac:dyDescent="0.3">
      <c r="A2399" t="s">
        <v>11451</v>
      </c>
      <c r="B2399" t="s">
        <v>1</v>
      </c>
      <c r="C2399" t="s">
        <v>11452</v>
      </c>
      <c r="D2399" t="s">
        <v>11453</v>
      </c>
      <c r="E2399" t="s">
        <v>11454</v>
      </c>
      <c r="F2399" t="s">
        <v>5</v>
      </c>
      <c r="G2399" t="s">
        <v>6</v>
      </c>
      <c r="L2399" t="s">
        <v>7</v>
      </c>
      <c r="M2399">
        <v>2021</v>
      </c>
      <c r="N2399" s="1">
        <v>44644</v>
      </c>
      <c r="O2399" t="s">
        <v>11455</v>
      </c>
      <c r="P2399">
        <v>1</v>
      </c>
      <c r="Q2399" t="s">
        <v>6829</v>
      </c>
      <c r="S2399">
        <v>217.95</v>
      </c>
      <c r="T2399">
        <v>250</v>
      </c>
      <c r="U2399">
        <v>190</v>
      </c>
      <c r="V2399" t="s">
        <v>9</v>
      </c>
      <c r="W2399" t="s">
        <v>10</v>
      </c>
      <c r="X2399" t="s">
        <v>596</v>
      </c>
      <c r="Y2399" t="s">
        <v>4327</v>
      </c>
      <c r="AF2399" t="s">
        <v>13</v>
      </c>
      <c r="AG2399" t="str">
        <f>HYPERLINK("https://doi.org/10.1515/9781474473972")</f>
        <v>https://doi.org/10.1515/9781474473972</v>
      </c>
      <c r="AH2399" t="str">
        <f>HYPERLINK("http://www.degruyter.com/isbn/9781474473972")</f>
        <v>http://www.degruyter.com/isbn/9781474473972</v>
      </c>
      <c r="AI2399" t="s">
        <v>216</v>
      </c>
      <c r="AL2399" t="s">
        <v>15</v>
      </c>
      <c r="AM2399">
        <v>1</v>
      </c>
      <c r="AN2399" s="2">
        <v>9781474473958</v>
      </c>
    </row>
    <row r="2400" spans="1:40" x14ac:dyDescent="0.3">
      <c r="A2400" t="s">
        <v>11456</v>
      </c>
      <c r="B2400" t="s">
        <v>1</v>
      </c>
      <c r="C2400" t="s">
        <v>11457</v>
      </c>
      <c r="D2400" t="s">
        <v>11458</v>
      </c>
      <c r="E2400" t="s">
        <v>11459</v>
      </c>
      <c r="F2400" t="s">
        <v>5</v>
      </c>
      <c r="G2400" t="s">
        <v>6</v>
      </c>
      <c r="L2400" t="s">
        <v>7</v>
      </c>
      <c r="M2400">
        <v>2001</v>
      </c>
      <c r="N2400" s="1">
        <v>44599</v>
      </c>
      <c r="O2400" t="s">
        <v>11460</v>
      </c>
      <c r="P2400">
        <v>1</v>
      </c>
      <c r="S2400">
        <v>217.95</v>
      </c>
      <c r="T2400">
        <v>250</v>
      </c>
      <c r="U2400">
        <v>190</v>
      </c>
      <c r="V2400" t="s">
        <v>42</v>
      </c>
      <c r="W2400" t="s">
        <v>116</v>
      </c>
      <c r="X2400" t="s">
        <v>116</v>
      </c>
      <c r="Y2400" t="s">
        <v>117</v>
      </c>
      <c r="AF2400" t="s">
        <v>13</v>
      </c>
      <c r="AG2400" t="str">
        <f>HYPERLINK("https://doi.org/10.1515/9781474464345")</f>
        <v>https://doi.org/10.1515/9781474464345</v>
      </c>
      <c r="AH2400" t="str">
        <f>HYPERLINK("http://www.degruyter.com/isbn/9781474464345")</f>
        <v>http://www.degruyter.com/isbn/9781474464345</v>
      </c>
      <c r="AI2400" t="s">
        <v>68</v>
      </c>
      <c r="AL2400" t="s">
        <v>47</v>
      </c>
      <c r="AM2400">
        <v>1</v>
      </c>
      <c r="AN2400" s="2">
        <v>9780748609369</v>
      </c>
    </row>
    <row r="2401" spans="1:40" x14ac:dyDescent="0.3">
      <c r="A2401" t="s">
        <v>11461</v>
      </c>
      <c r="B2401" t="s">
        <v>1</v>
      </c>
      <c r="C2401" t="s">
        <v>11462</v>
      </c>
      <c r="D2401" t="s">
        <v>11463</v>
      </c>
      <c r="E2401" t="s">
        <v>11464</v>
      </c>
      <c r="F2401" t="s">
        <v>5</v>
      </c>
      <c r="G2401" t="s">
        <v>6</v>
      </c>
      <c r="L2401" t="s">
        <v>7</v>
      </c>
      <c r="M2401">
        <v>2010</v>
      </c>
      <c r="N2401" s="1">
        <v>40372</v>
      </c>
      <c r="O2401" t="s">
        <v>11465</v>
      </c>
      <c r="P2401">
        <v>1</v>
      </c>
      <c r="Q2401" t="s">
        <v>7052</v>
      </c>
      <c r="S2401">
        <v>253.95</v>
      </c>
      <c r="T2401">
        <v>290</v>
      </c>
      <c r="U2401">
        <v>220</v>
      </c>
      <c r="V2401" t="s">
        <v>42</v>
      </c>
      <c r="W2401" t="s">
        <v>107</v>
      </c>
      <c r="X2401" t="s">
        <v>108</v>
      </c>
      <c r="Y2401" t="s">
        <v>221</v>
      </c>
      <c r="AF2401" t="s">
        <v>13</v>
      </c>
      <c r="AG2401" t="str">
        <f>HYPERLINK("https://doi.org/10.1515/9781474468480")</f>
        <v>https://doi.org/10.1515/9781474468480</v>
      </c>
      <c r="AH2401" t="str">
        <f>HYPERLINK("http://www.degruyter.com/isbn/9781474468480")</f>
        <v>http://www.degruyter.com/isbn/9781474468480</v>
      </c>
      <c r="AI2401" t="s">
        <v>68</v>
      </c>
      <c r="AL2401" t="s">
        <v>47</v>
      </c>
      <c r="AM2401">
        <v>1</v>
      </c>
      <c r="AN2401" s="2">
        <v>9780748640492</v>
      </c>
    </row>
    <row r="2402" spans="1:40" x14ac:dyDescent="0.3">
      <c r="A2402" t="s">
        <v>11466</v>
      </c>
      <c r="B2402" t="s">
        <v>1</v>
      </c>
      <c r="C2402" t="s">
        <v>11467</v>
      </c>
      <c r="D2402" t="s">
        <v>11468</v>
      </c>
      <c r="E2402" t="s">
        <v>11469</v>
      </c>
      <c r="F2402" t="s">
        <v>5</v>
      </c>
      <c r="G2402" t="s">
        <v>6</v>
      </c>
      <c r="L2402" t="s">
        <v>7</v>
      </c>
      <c r="M2402">
        <v>2014</v>
      </c>
      <c r="N2402" s="1">
        <v>41715</v>
      </c>
      <c r="O2402" t="s">
        <v>11470</v>
      </c>
      <c r="P2402">
        <v>1</v>
      </c>
      <c r="Q2402" t="s">
        <v>6606</v>
      </c>
      <c r="S2402">
        <v>253.95</v>
      </c>
      <c r="T2402">
        <v>290</v>
      </c>
      <c r="U2402">
        <v>220</v>
      </c>
      <c r="V2402" t="s">
        <v>79</v>
      </c>
      <c r="W2402" t="s">
        <v>209</v>
      </c>
      <c r="X2402" t="s">
        <v>209</v>
      </c>
      <c r="Y2402" t="s">
        <v>510</v>
      </c>
      <c r="AF2402" t="s">
        <v>13</v>
      </c>
      <c r="AG2402" t="str">
        <f>HYPERLINK("https://doi.org/10.1515/9780748684144")</f>
        <v>https://doi.org/10.1515/9780748684144</v>
      </c>
      <c r="AH2402" t="str">
        <f>HYPERLINK("http://www.degruyter.com/isbn/9780748684144")</f>
        <v>http://www.degruyter.com/isbn/9780748684144</v>
      </c>
      <c r="AI2402" t="s">
        <v>34</v>
      </c>
      <c r="AL2402" t="s">
        <v>83</v>
      </c>
      <c r="AM2402">
        <v>1</v>
      </c>
      <c r="AN2402" s="2">
        <v>9780748684137</v>
      </c>
    </row>
    <row r="2403" spans="1:40" x14ac:dyDescent="0.3">
      <c r="A2403" t="s">
        <v>11471</v>
      </c>
      <c r="B2403" t="s">
        <v>1</v>
      </c>
      <c r="C2403" t="s">
        <v>11472</v>
      </c>
      <c r="E2403" t="s">
        <v>11473</v>
      </c>
      <c r="F2403" t="s">
        <v>5</v>
      </c>
      <c r="G2403" t="s">
        <v>6</v>
      </c>
      <c r="L2403" t="s">
        <v>7</v>
      </c>
      <c r="M2403">
        <v>2010</v>
      </c>
      <c r="N2403" s="1">
        <v>40372</v>
      </c>
      <c r="O2403" t="s">
        <v>11474</v>
      </c>
      <c r="P2403">
        <v>1</v>
      </c>
      <c r="Q2403" t="s">
        <v>6437</v>
      </c>
      <c r="S2403">
        <v>217.95</v>
      </c>
      <c r="T2403">
        <v>250</v>
      </c>
      <c r="U2403">
        <v>190</v>
      </c>
      <c r="V2403" t="s">
        <v>58</v>
      </c>
      <c r="W2403" t="s">
        <v>59</v>
      </c>
      <c r="X2403" t="s">
        <v>60</v>
      </c>
      <c r="Y2403" t="s">
        <v>399</v>
      </c>
      <c r="AF2403" t="s">
        <v>13</v>
      </c>
      <c r="AG2403" t="str">
        <f>HYPERLINK("https://doi.org/10.1515/9780748631544")</f>
        <v>https://doi.org/10.1515/9780748631544</v>
      </c>
      <c r="AH2403" t="str">
        <f>HYPERLINK("http://www.degruyter.com/isbn/9780748631544")</f>
        <v>http://www.degruyter.com/isbn/9780748631544</v>
      </c>
      <c r="AI2403" t="s">
        <v>68</v>
      </c>
      <c r="AL2403" t="s">
        <v>62</v>
      </c>
      <c r="AM2403">
        <v>1</v>
      </c>
      <c r="AN2403" s="2">
        <v>9780748627509</v>
      </c>
    </row>
    <row r="2404" spans="1:40" x14ac:dyDescent="0.3">
      <c r="A2404" t="s">
        <v>11475</v>
      </c>
      <c r="B2404" t="s">
        <v>1</v>
      </c>
      <c r="C2404" t="s">
        <v>11476</v>
      </c>
      <c r="D2404" t="s">
        <v>11477</v>
      </c>
      <c r="E2404" t="s">
        <v>11478</v>
      </c>
      <c r="F2404" t="s">
        <v>5</v>
      </c>
      <c r="G2404" t="s">
        <v>6</v>
      </c>
      <c r="L2404" t="s">
        <v>7</v>
      </c>
      <c r="M2404">
        <v>2000</v>
      </c>
      <c r="N2404" s="1">
        <v>36600</v>
      </c>
      <c r="O2404" t="s">
        <v>11479</v>
      </c>
      <c r="P2404">
        <v>1</v>
      </c>
      <c r="Q2404" t="s">
        <v>11183</v>
      </c>
      <c r="S2404">
        <v>217.95</v>
      </c>
      <c r="T2404">
        <v>250</v>
      </c>
      <c r="U2404">
        <v>190</v>
      </c>
      <c r="V2404" t="s">
        <v>42</v>
      </c>
      <c r="W2404" t="s">
        <v>116</v>
      </c>
      <c r="X2404" t="s">
        <v>116</v>
      </c>
      <c r="Y2404" t="s">
        <v>117</v>
      </c>
      <c r="AF2404" t="s">
        <v>13</v>
      </c>
      <c r="AG2404" t="str">
        <f>HYPERLINK("https://doi.org/10.1515/9780748611164")</f>
        <v>https://doi.org/10.1515/9780748611164</v>
      </c>
      <c r="AH2404" t="str">
        <f>HYPERLINK("http://www.degruyter.com/isbn/9780748611164")</f>
        <v>http://www.degruyter.com/isbn/9780748611164</v>
      </c>
      <c r="AI2404" t="s">
        <v>68</v>
      </c>
      <c r="AL2404" t="s">
        <v>47</v>
      </c>
      <c r="AM2404">
        <v>1</v>
      </c>
      <c r="AN2404" s="2">
        <v>9780748611157</v>
      </c>
    </row>
    <row r="2405" spans="1:40" x14ac:dyDescent="0.3">
      <c r="A2405" t="s">
        <v>11480</v>
      </c>
      <c r="B2405" t="s">
        <v>1</v>
      </c>
      <c r="C2405" t="s">
        <v>6983</v>
      </c>
      <c r="D2405" t="s">
        <v>11481</v>
      </c>
      <c r="E2405" t="s">
        <v>6985</v>
      </c>
      <c r="F2405" t="s">
        <v>5</v>
      </c>
      <c r="G2405" t="s">
        <v>6</v>
      </c>
      <c r="L2405" t="s">
        <v>7</v>
      </c>
      <c r="M2405">
        <v>2019</v>
      </c>
      <c r="N2405" s="1">
        <v>44656</v>
      </c>
      <c r="O2405" t="s">
        <v>11482</v>
      </c>
      <c r="P2405">
        <v>1</v>
      </c>
      <c r="Q2405" t="s">
        <v>6987</v>
      </c>
      <c r="S2405">
        <v>227.95</v>
      </c>
      <c r="T2405">
        <v>260</v>
      </c>
      <c r="U2405">
        <v>200</v>
      </c>
      <c r="V2405" t="s">
        <v>20</v>
      </c>
      <c r="W2405" t="s">
        <v>21</v>
      </c>
      <c r="X2405" t="s">
        <v>11483</v>
      </c>
      <c r="Y2405" t="s">
        <v>11484</v>
      </c>
      <c r="AF2405" t="s">
        <v>13</v>
      </c>
      <c r="AG2405" t="str">
        <f>HYPERLINK("https://www.degruyter.com/isbn/9781474444590")</f>
        <v>https://www.degruyter.com/isbn/9781474444590</v>
      </c>
      <c r="AH2405" t="str">
        <f>HYPERLINK("http://www.degruyter.com/isbn/9781474444590")</f>
        <v>http://www.degruyter.com/isbn/9781474444590</v>
      </c>
      <c r="AI2405" t="s">
        <v>280</v>
      </c>
      <c r="AL2405" t="s">
        <v>15</v>
      </c>
      <c r="AM2405">
        <v>1</v>
      </c>
      <c r="AN2405" s="2">
        <v>9781474444576</v>
      </c>
    </row>
    <row r="2406" spans="1:40" x14ac:dyDescent="0.3">
      <c r="A2406" t="s">
        <v>11485</v>
      </c>
      <c r="B2406" t="s">
        <v>1</v>
      </c>
      <c r="C2406" t="s">
        <v>11486</v>
      </c>
      <c r="E2406" t="s">
        <v>11487</v>
      </c>
      <c r="F2406" t="s">
        <v>5</v>
      </c>
      <c r="G2406" t="s">
        <v>6</v>
      </c>
      <c r="K2406" t="s">
        <v>929</v>
      </c>
      <c r="L2406" t="s">
        <v>7</v>
      </c>
      <c r="M2406">
        <v>2018</v>
      </c>
      <c r="N2406" s="1">
        <v>43235</v>
      </c>
      <c r="O2406" t="s">
        <v>11488</v>
      </c>
      <c r="P2406">
        <v>1</v>
      </c>
      <c r="Q2406" t="s">
        <v>8096</v>
      </c>
      <c r="V2406" t="s">
        <v>42</v>
      </c>
      <c r="W2406" t="s">
        <v>116</v>
      </c>
      <c r="X2406" t="s">
        <v>116</v>
      </c>
      <c r="Y2406" t="s">
        <v>117</v>
      </c>
      <c r="AF2406" t="s">
        <v>13</v>
      </c>
      <c r="AG2406" t="str">
        <f>HYPERLINK("https://doi.org/10.1515/9781474416245?locatt=mode:legacy")</f>
        <v>https://doi.org/10.1515/9781474416245?locatt=mode:legacy</v>
      </c>
      <c r="AH2406" t="str">
        <f>HYPERLINK("http://www.degruyter.com/isbn/9781474416245")</f>
        <v>http://www.degruyter.com/isbn/9781474416245</v>
      </c>
      <c r="AI2406" t="s">
        <v>46</v>
      </c>
      <c r="AM2406">
        <v>1</v>
      </c>
      <c r="AN2406" s="2"/>
    </row>
    <row r="2407" spans="1:40" x14ac:dyDescent="0.3">
      <c r="A2407" t="s">
        <v>11489</v>
      </c>
      <c r="B2407" t="s">
        <v>1</v>
      </c>
      <c r="C2407" t="s">
        <v>11490</v>
      </c>
      <c r="E2407" t="s">
        <v>11491</v>
      </c>
      <c r="F2407" t="s">
        <v>5</v>
      </c>
      <c r="G2407" t="s">
        <v>6</v>
      </c>
      <c r="L2407" t="s">
        <v>7</v>
      </c>
      <c r="M2407">
        <v>2021</v>
      </c>
      <c r="N2407" s="1">
        <v>44656</v>
      </c>
      <c r="O2407" t="s">
        <v>2551</v>
      </c>
      <c r="P2407">
        <v>1</v>
      </c>
      <c r="Q2407" t="s">
        <v>6187</v>
      </c>
      <c r="S2407">
        <v>305.95</v>
      </c>
      <c r="T2407">
        <v>350</v>
      </c>
      <c r="U2407">
        <v>270</v>
      </c>
      <c r="V2407" t="s">
        <v>305</v>
      </c>
      <c r="W2407" t="s">
        <v>2129</v>
      </c>
      <c r="X2407" t="s">
        <v>9271</v>
      </c>
      <c r="Y2407" t="s">
        <v>9272</v>
      </c>
      <c r="AF2407" t="s">
        <v>13</v>
      </c>
      <c r="AG2407" t="str">
        <f>HYPERLINK("https://doi.org/10.1515/9781474474825")</f>
        <v>https://doi.org/10.1515/9781474474825</v>
      </c>
      <c r="AH2407" t="str">
        <f>HYPERLINK("http://www.degruyter.com/isbn/9781474474825")</f>
        <v>http://www.degruyter.com/isbn/9781474474825</v>
      </c>
      <c r="AI2407" t="s">
        <v>908</v>
      </c>
      <c r="AL2407" t="s">
        <v>308</v>
      </c>
      <c r="AM2407">
        <v>1</v>
      </c>
      <c r="AN2407" s="2">
        <v>9781474474764</v>
      </c>
    </row>
    <row r="2408" spans="1:40" x14ac:dyDescent="0.3">
      <c r="A2408" t="s">
        <v>11492</v>
      </c>
      <c r="B2408" t="s">
        <v>1</v>
      </c>
      <c r="C2408" t="s">
        <v>11493</v>
      </c>
      <c r="E2408" t="s">
        <v>11494</v>
      </c>
      <c r="F2408" t="s">
        <v>5</v>
      </c>
      <c r="G2408" t="s">
        <v>6</v>
      </c>
      <c r="L2408" t="s">
        <v>7</v>
      </c>
      <c r="M2408">
        <v>2004</v>
      </c>
      <c r="N2408" s="1">
        <v>44607</v>
      </c>
      <c r="O2408" t="s">
        <v>11495</v>
      </c>
      <c r="P2408">
        <v>1</v>
      </c>
      <c r="Q2408" t="s">
        <v>8048</v>
      </c>
      <c r="S2408">
        <v>217.95</v>
      </c>
      <c r="T2408">
        <v>250</v>
      </c>
      <c r="U2408">
        <v>190</v>
      </c>
      <c r="V2408" t="s">
        <v>58</v>
      </c>
      <c r="W2408" t="s">
        <v>59</v>
      </c>
      <c r="X2408" t="s">
        <v>278</v>
      </c>
      <c r="Y2408" t="s">
        <v>932</v>
      </c>
      <c r="AF2408" t="s">
        <v>13</v>
      </c>
      <c r="AG2408" t="str">
        <f>HYPERLINK("https://doi.org/10.1515/9781474468381")</f>
        <v>https://doi.org/10.1515/9781474468381</v>
      </c>
      <c r="AH2408" t="str">
        <f>HYPERLINK("http://www.degruyter.com/isbn/9781474468381")</f>
        <v>http://www.degruyter.com/isbn/9781474468381</v>
      </c>
      <c r="AI2408" t="s">
        <v>68</v>
      </c>
      <c r="AL2408" t="s">
        <v>62</v>
      </c>
      <c r="AM2408">
        <v>1</v>
      </c>
      <c r="AN2408" s="2">
        <v>9780748610587</v>
      </c>
    </row>
    <row r="2409" spans="1:40" x14ac:dyDescent="0.3">
      <c r="A2409" t="s">
        <v>11496</v>
      </c>
      <c r="B2409" t="s">
        <v>1</v>
      </c>
      <c r="C2409" t="s">
        <v>11497</v>
      </c>
      <c r="D2409" t="s">
        <v>11498</v>
      </c>
      <c r="E2409" t="s">
        <v>11499</v>
      </c>
      <c r="F2409" t="s">
        <v>5</v>
      </c>
      <c r="G2409" t="s">
        <v>6</v>
      </c>
      <c r="L2409" t="s">
        <v>7</v>
      </c>
      <c r="M2409">
        <v>1994</v>
      </c>
      <c r="N2409" s="1">
        <v>44719</v>
      </c>
      <c r="O2409" t="s">
        <v>11500</v>
      </c>
      <c r="P2409">
        <v>1</v>
      </c>
      <c r="Q2409" t="s">
        <v>11501</v>
      </c>
      <c r="S2409">
        <v>217.95</v>
      </c>
      <c r="T2409">
        <v>250</v>
      </c>
      <c r="U2409">
        <v>190</v>
      </c>
      <c r="V2409" t="s">
        <v>42</v>
      </c>
      <c r="W2409" t="s">
        <v>116</v>
      </c>
      <c r="X2409" t="s">
        <v>116</v>
      </c>
      <c r="Y2409" t="s">
        <v>586</v>
      </c>
      <c r="AF2409" t="s">
        <v>13</v>
      </c>
      <c r="AG2409" t="str">
        <f>HYPERLINK("https://www.degruyter.com/isbn/9781474472234")</f>
        <v>https://www.degruyter.com/isbn/9781474472234</v>
      </c>
      <c r="AH2409" t="str">
        <f>HYPERLINK("http://www.degruyter.com/isbn/9781474472234")</f>
        <v>http://www.degruyter.com/isbn/9781474472234</v>
      </c>
      <c r="AI2409" t="s">
        <v>24</v>
      </c>
      <c r="AL2409" t="s">
        <v>47</v>
      </c>
      <c r="AM2409">
        <v>1</v>
      </c>
      <c r="AN2409" s="2">
        <v>9781853310454</v>
      </c>
    </row>
    <row r="2410" spans="1:40" x14ac:dyDescent="0.3">
      <c r="A2410" t="s">
        <v>11502</v>
      </c>
      <c r="B2410" t="s">
        <v>1</v>
      </c>
      <c r="C2410" t="s">
        <v>11503</v>
      </c>
      <c r="D2410" t="s">
        <v>11504</v>
      </c>
      <c r="E2410" t="s">
        <v>11505</v>
      </c>
      <c r="F2410" t="s">
        <v>5</v>
      </c>
      <c r="G2410" t="s">
        <v>6</v>
      </c>
      <c r="L2410" t="s">
        <v>7</v>
      </c>
      <c r="M2410">
        <v>2017</v>
      </c>
      <c r="N2410" s="1">
        <v>42821</v>
      </c>
      <c r="O2410" t="s">
        <v>11506</v>
      </c>
      <c r="P2410">
        <v>1</v>
      </c>
      <c r="Q2410" t="s">
        <v>8859</v>
      </c>
      <c r="S2410">
        <v>253.95</v>
      </c>
      <c r="T2410">
        <v>290</v>
      </c>
      <c r="U2410">
        <v>220</v>
      </c>
      <c r="V2410" t="s">
        <v>20</v>
      </c>
      <c r="W2410" t="s">
        <v>21</v>
      </c>
      <c r="X2410" t="s">
        <v>11507</v>
      </c>
      <c r="Y2410" t="s">
        <v>11508</v>
      </c>
      <c r="AF2410" t="s">
        <v>13</v>
      </c>
      <c r="AG2410" t="str">
        <f>HYPERLINK("https://doi.org/10.1515/9780748680146")</f>
        <v>https://doi.org/10.1515/9780748680146</v>
      </c>
      <c r="AH2410" t="str">
        <f>HYPERLINK("http://www.degruyter.com/isbn/9780748680146")</f>
        <v>http://www.degruyter.com/isbn/9780748680146</v>
      </c>
      <c r="AI2410" t="s">
        <v>222</v>
      </c>
      <c r="AL2410" t="s">
        <v>15</v>
      </c>
      <c r="AM2410">
        <v>1</v>
      </c>
      <c r="AN2410" s="2">
        <v>9780748645657</v>
      </c>
    </row>
    <row r="2411" spans="1:40" x14ac:dyDescent="0.3">
      <c r="A2411" t="s">
        <v>11509</v>
      </c>
      <c r="B2411" t="s">
        <v>1</v>
      </c>
      <c r="C2411" t="s">
        <v>11510</v>
      </c>
      <c r="D2411" t="s">
        <v>11511</v>
      </c>
      <c r="E2411" t="s">
        <v>11512</v>
      </c>
      <c r="F2411" t="s">
        <v>5</v>
      </c>
      <c r="G2411" t="s">
        <v>6</v>
      </c>
      <c r="L2411" t="s">
        <v>7</v>
      </c>
      <c r="M2411">
        <v>2000</v>
      </c>
      <c r="N2411" s="1">
        <v>44607</v>
      </c>
      <c r="O2411" t="s">
        <v>11513</v>
      </c>
      <c r="P2411">
        <v>1</v>
      </c>
      <c r="Q2411" t="s">
        <v>7950</v>
      </c>
      <c r="S2411">
        <v>217.95</v>
      </c>
      <c r="T2411">
        <v>250</v>
      </c>
      <c r="U2411">
        <v>190</v>
      </c>
      <c r="V2411" t="s">
        <v>1155</v>
      </c>
      <c r="W2411" t="s">
        <v>11514</v>
      </c>
      <c r="X2411" t="s">
        <v>11514</v>
      </c>
      <c r="Y2411" t="s">
        <v>11515</v>
      </c>
      <c r="AF2411" t="s">
        <v>13</v>
      </c>
      <c r="AG2411" t="str">
        <f>HYPERLINK("https://doi.org/10.1515/9781474470780")</f>
        <v>https://doi.org/10.1515/9781474470780</v>
      </c>
      <c r="AH2411" t="str">
        <f>HYPERLINK("http://www.degruyter.com/isbn/9781474470780")</f>
        <v>http://www.degruyter.com/isbn/9781474470780</v>
      </c>
      <c r="AI2411" t="s">
        <v>68</v>
      </c>
      <c r="AL2411" t="s">
        <v>498</v>
      </c>
      <c r="AM2411">
        <v>1</v>
      </c>
      <c r="AN2411" s="2">
        <v>9780748614073</v>
      </c>
    </row>
    <row r="2412" spans="1:40" x14ac:dyDescent="0.3">
      <c r="A2412" t="s">
        <v>11516</v>
      </c>
      <c r="B2412" t="s">
        <v>1</v>
      </c>
      <c r="C2412" t="s">
        <v>11517</v>
      </c>
      <c r="D2412" t="s">
        <v>11518</v>
      </c>
      <c r="E2412" t="s">
        <v>11519</v>
      </c>
      <c r="F2412" t="s">
        <v>5</v>
      </c>
      <c r="G2412" t="s">
        <v>6</v>
      </c>
      <c r="L2412" t="s">
        <v>7</v>
      </c>
      <c r="M2412">
        <v>2012</v>
      </c>
      <c r="N2412" s="1">
        <v>41113</v>
      </c>
      <c r="O2412" t="s">
        <v>11520</v>
      </c>
      <c r="P2412">
        <v>1</v>
      </c>
      <c r="Q2412" t="s">
        <v>8587</v>
      </c>
      <c r="S2412">
        <v>253.95</v>
      </c>
      <c r="T2412">
        <v>290</v>
      </c>
      <c r="U2412">
        <v>220</v>
      </c>
      <c r="V2412" t="s">
        <v>20</v>
      </c>
      <c r="W2412" t="s">
        <v>21</v>
      </c>
      <c r="X2412" t="s">
        <v>458</v>
      </c>
      <c r="Y2412" t="s">
        <v>459</v>
      </c>
      <c r="AF2412" t="s">
        <v>13</v>
      </c>
      <c r="AG2412" t="str">
        <f>HYPERLINK("https://doi.org/10.1515/9780748645510")</f>
        <v>https://doi.org/10.1515/9780748645510</v>
      </c>
      <c r="AH2412" t="str">
        <f>HYPERLINK("http://www.degruyter.com/isbn/9780748645510")</f>
        <v>http://www.degruyter.com/isbn/9780748645510</v>
      </c>
      <c r="AI2412" t="s">
        <v>68</v>
      </c>
      <c r="AJ2412" t="s">
        <v>35</v>
      </c>
      <c r="AL2412" t="s">
        <v>1346</v>
      </c>
      <c r="AM2412">
        <v>1</v>
      </c>
      <c r="AN2412" s="2">
        <v>9780748645503</v>
      </c>
    </row>
    <row r="2413" spans="1:40" x14ac:dyDescent="0.3">
      <c r="A2413" t="s">
        <v>11521</v>
      </c>
      <c r="B2413" t="s">
        <v>1</v>
      </c>
      <c r="C2413" t="s">
        <v>11522</v>
      </c>
      <c r="D2413" t="s">
        <v>11523</v>
      </c>
      <c r="E2413" t="s">
        <v>11524</v>
      </c>
      <c r="F2413" t="s">
        <v>5</v>
      </c>
      <c r="G2413" t="s">
        <v>6</v>
      </c>
      <c r="L2413" t="s">
        <v>7</v>
      </c>
      <c r="M2413">
        <v>2020</v>
      </c>
      <c r="N2413" s="1">
        <v>44656</v>
      </c>
      <c r="O2413" t="s">
        <v>11525</v>
      </c>
      <c r="P2413">
        <v>1</v>
      </c>
      <c r="Q2413" t="s">
        <v>6665</v>
      </c>
      <c r="S2413">
        <v>217.95</v>
      </c>
      <c r="T2413">
        <v>250</v>
      </c>
      <c r="U2413">
        <v>190</v>
      </c>
      <c r="V2413" t="s">
        <v>9</v>
      </c>
      <c r="W2413" t="s">
        <v>10</v>
      </c>
      <c r="X2413" t="s">
        <v>11</v>
      </c>
      <c r="Y2413" t="s">
        <v>52</v>
      </c>
      <c r="AF2413" t="s">
        <v>13</v>
      </c>
      <c r="AG2413" t="str">
        <f>HYPERLINK("https://doi.org/10.1515/9781474413046")</f>
        <v>https://doi.org/10.1515/9781474413046</v>
      </c>
      <c r="AH2413" t="str">
        <f>HYPERLINK("http://www.degruyter.com/isbn/9781474413046")</f>
        <v>http://www.degruyter.com/isbn/9781474413046</v>
      </c>
      <c r="AI2413" t="s">
        <v>14</v>
      </c>
      <c r="AL2413" t="s">
        <v>15</v>
      </c>
      <c r="AM2413">
        <v>1</v>
      </c>
      <c r="AN2413" s="2">
        <v>9781474413039</v>
      </c>
    </row>
    <row r="2414" spans="1:40" x14ac:dyDescent="0.3">
      <c r="A2414" t="s">
        <v>11526</v>
      </c>
      <c r="B2414" t="s">
        <v>1</v>
      </c>
      <c r="C2414" t="s">
        <v>11527</v>
      </c>
      <c r="E2414" t="s">
        <v>11528</v>
      </c>
      <c r="F2414" t="s">
        <v>5</v>
      </c>
      <c r="G2414" t="s">
        <v>6</v>
      </c>
      <c r="L2414" t="s">
        <v>7</v>
      </c>
      <c r="M2414">
        <v>2010</v>
      </c>
      <c r="N2414" s="1">
        <v>40237</v>
      </c>
      <c r="O2414" t="s">
        <v>11529</v>
      </c>
      <c r="P2414">
        <v>1</v>
      </c>
      <c r="Q2414" t="s">
        <v>10501</v>
      </c>
      <c r="S2414">
        <v>261.95</v>
      </c>
      <c r="T2414">
        <v>300</v>
      </c>
      <c r="U2414">
        <v>230</v>
      </c>
      <c r="V2414" t="s">
        <v>20</v>
      </c>
      <c r="W2414" t="s">
        <v>21</v>
      </c>
      <c r="X2414" t="s">
        <v>575</v>
      </c>
      <c r="Y2414" t="s">
        <v>576</v>
      </c>
      <c r="AF2414" t="s">
        <v>13</v>
      </c>
      <c r="AG2414" t="str">
        <f>HYPERLINK("https://doi.org/10.1515/9780748630417")</f>
        <v>https://doi.org/10.1515/9780748630417</v>
      </c>
      <c r="AH2414" t="str">
        <f>HYPERLINK("http://www.degruyter.com/isbn/9780748630417")</f>
        <v>http://www.degruyter.com/isbn/9780748630417</v>
      </c>
      <c r="AI2414" t="s">
        <v>68</v>
      </c>
      <c r="AL2414" t="s">
        <v>15</v>
      </c>
      <c r="AM2414">
        <v>1</v>
      </c>
      <c r="AN2414" s="2">
        <v>9780748624300</v>
      </c>
    </row>
    <row r="2415" spans="1:40" x14ac:dyDescent="0.3">
      <c r="A2415" t="s">
        <v>11530</v>
      </c>
      <c r="B2415" t="s">
        <v>1</v>
      </c>
      <c r="C2415" t="s">
        <v>11531</v>
      </c>
      <c r="D2415" t="s">
        <v>11532</v>
      </c>
      <c r="E2415" t="s">
        <v>11533</v>
      </c>
      <c r="F2415" t="s">
        <v>5</v>
      </c>
      <c r="G2415" t="s">
        <v>6</v>
      </c>
      <c r="L2415" t="s">
        <v>7</v>
      </c>
      <c r="M2415">
        <v>2020</v>
      </c>
      <c r="N2415" s="1">
        <v>44644</v>
      </c>
      <c r="O2415" t="s">
        <v>11534</v>
      </c>
      <c r="P2415">
        <v>1</v>
      </c>
      <c r="Q2415" t="s">
        <v>6729</v>
      </c>
      <c r="S2415">
        <v>217.95</v>
      </c>
      <c r="T2415">
        <v>250</v>
      </c>
      <c r="U2415">
        <v>190</v>
      </c>
      <c r="V2415" t="s">
        <v>79</v>
      </c>
      <c r="W2415" t="s">
        <v>209</v>
      </c>
      <c r="X2415" t="s">
        <v>209</v>
      </c>
      <c r="Y2415" t="s">
        <v>1951</v>
      </c>
      <c r="AF2415" t="s">
        <v>13</v>
      </c>
      <c r="AG2415" t="str">
        <f>HYPERLINK("https://doi.org/10.1515/9781474434416")</f>
        <v>https://doi.org/10.1515/9781474434416</v>
      </c>
      <c r="AH2415" t="str">
        <f>HYPERLINK("http://www.degruyter.com/isbn/9781474434416")</f>
        <v>http://www.degruyter.com/isbn/9781474434416</v>
      </c>
      <c r="AI2415" t="s">
        <v>14</v>
      </c>
      <c r="AL2415" t="s">
        <v>83</v>
      </c>
      <c r="AM2415">
        <v>1</v>
      </c>
      <c r="AN2415" s="2">
        <v>9781474434393</v>
      </c>
    </row>
    <row r="2416" spans="1:40" x14ac:dyDescent="0.3">
      <c r="A2416" t="s">
        <v>11535</v>
      </c>
      <c r="B2416" t="s">
        <v>1</v>
      </c>
      <c r="C2416" t="s">
        <v>11536</v>
      </c>
      <c r="E2416" t="s">
        <v>11537</v>
      </c>
      <c r="F2416" t="s">
        <v>5</v>
      </c>
      <c r="G2416" t="s">
        <v>6</v>
      </c>
      <c r="L2416" t="s">
        <v>7</v>
      </c>
      <c r="M2416">
        <v>2019</v>
      </c>
      <c r="N2416" s="1">
        <v>44656</v>
      </c>
      <c r="O2416" t="s">
        <v>11538</v>
      </c>
      <c r="P2416">
        <v>1</v>
      </c>
      <c r="Q2416" t="s">
        <v>7733</v>
      </c>
      <c r="S2416">
        <v>253.95</v>
      </c>
      <c r="T2416">
        <v>290</v>
      </c>
      <c r="U2416">
        <v>220</v>
      </c>
      <c r="V2416" t="s">
        <v>79</v>
      </c>
      <c r="W2416" t="s">
        <v>734</v>
      </c>
      <c r="X2416" t="s">
        <v>734</v>
      </c>
      <c r="Y2416" t="s">
        <v>735</v>
      </c>
      <c r="AF2416" t="s">
        <v>13</v>
      </c>
      <c r="AG2416" t="str">
        <f>HYPERLINK("https://doi.org/10.1515/9781474414333")</f>
        <v>https://doi.org/10.1515/9781474414333</v>
      </c>
      <c r="AH2416" t="str">
        <f>HYPERLINK("http://www.degruyter.com/isbn/9781474414333")</f>
        <v>http://www.degruyter.com/isbn/9781474414333</v>
      </c>
      <c r="AI2416" t="s">
        <v>280</v>
      </c>
      <c r="AL2416" t="s">
        <v>83</v>
      </c>
      <c r="AM2416">
        <v>1</v>
      </c>
      <c r="AN2416" s="2">
        <v>9781474414302</v>
      </c>
    </row>
    <row r="2417" spans="1:40" x14ac:dyDescent="0.3">
      <c r="A2417" t="s">
        <v>11539</v>
      </c>
      <c r="B2417" t="s">
        <v>1</v>
      </c>
      <c r="C2417" t="s">
        <v>11540</v>
      </c>
      <c r="E2417" t="s">
        <v>11541</v>
      </c>
      <c r="F2417" t="s">
        <v>5</v>
      </c>
      <c r="G2417" t="s">
        <v>6</v>
      </c>
      <c r="L2417" t="s">
        <v>7</v>
      </c>
      <c r="M2417">
        <v>1997</v>
      </c>
      <c r="N2417" s="1">
        <v>44742</v>
      </c>
      <c r="O2417" t="s">
        <v>11542</v>
      </c>
      <c r="P2417">
        <v>1</v>
      </c>
      <c r="Q2417" t="s">
        <v>7266</v>
      </c>
      <c r="S2417">
        <v>227.95</v>
      </c>
      <c r="T2417">
        <v>260</v>
      </c>
      <c r="U2417">
        <v>200</v>
      </c>
      <c r="V2417" t="s">
        <v>42</v>
      </c>
      <c r="W2417" t="s">
        <v>116</v>
      </c>
      <c r="X2417" t="s">
        <v>116</v>
      </c>
      <c r="Y2417" t="s">
        <v>117</v>
      </c>
      <c r="AF2417" t="s">
        <v>13</v>
      </c>
      <c r="AG2417" t="str">
        <f>HYPERLINK("https://doi.org/10.1515/9780748698608")</f>
        <v>https://doi.org/10.1515/9780748698608</v>
      </c>
      <c r="AH2417" t="str">
        <f>HYPERLINK("http://www.degruyter.com/isbn/9780748698608")</f>
        <v>http://www.degruyter.com/isbn/9780748698608</v>
      </c>
      <c r="AI2417" t="s">
        <v>24</v>
      </c>
      <c r="AL2417" t="s">
        <v>47</v>
      </c>
      <c r="AM2417">
        <v>1</v>
      </c>
      <c r="AN2417" s="2">
        <v>9780748605736</v>
      </c>
    </row>
    <row r="2418" spans="1:40" x14ac:dyDescent="0.3">
      <c r="A2418" t="s">
        <v>11543</v>
      </c>
      <c r="B2418" t="s">
        <v>1</v>
      </c>
      <c r="C2418" t="s">
        <v>11544</v>
      </c>
      <c r="E2418" t="s">
        <v>11545</v>
      </c>
      <c r="F2418" t="s">
        <v>5</v>
      </c>
      <c r="G2418" t="s">
        <v>6</v>
      </c>
      <c r="L2418" t="s">
        <v>7</v>
      </c>
      <c r="M2418">
        <v>1995</v>
      </c>
      <c r="N2418" s="1">
        <v>44895</v>
      </c>
      <c r="O2418" t="s">
        <v>8827</v>
      </c>
      <c r="P2418">
        <v>1</v>
      </c>
      <c r="Q2418" t="s">
        <v>7266</v>
      </c>
      <c r="S2418">
        <v>227.95</v>
      </c>
      <c r="T2418">
        <v>260</v>
      </c>
      <c r="U2418">
        <v>200</v>
      </c>
      <c r="V2418" t="s">
        <v>42</v>
      </c>
      <c r="W2418" t="s">
        <v>116</v>
      </c>
      <c r="X2418" t="s">
        <v>116</v>
      </c>
      <c r="Y2418" t="s">
        <v>117</v>
      </c>
      <c r="AF2418" t="s">
        <v>13</v>
      </c>
      <c r="AH2418" t="str">
        <f>HYPERLINK("http://www.degruyter.com/isbn/9781474433051")</f>
        <v>http://www.degruyter.com/isbn/9781474433051</v>
      </c>
      <c r="AI2418" t="s">
        <v>24</v>
      </c>
      <c r="AL2418" t="s">
        <v>47</v>
      </c>
      <c r="AM2418">
        <v>1</v>
      </c>
      <c r="AN2418" s="2">
        <v>9780748605378</v>
      </c>
    </row>
    <row r="2419" spans="1:40" x14ac:dyDescent="0.3">
      <c r="A2419" t="s">
        <v>11546</v>
      </c>
      <c r="B2419" t="s">
        <v>1</v>
      </c>
      <c r="C2419" t="s">
        <v>11547</v>
      </c>
      <c r="D2419" t="s">
        <v>11548</v>
      </c>
      <c r="E2419" t="s">
        <v>11549</v>
      </c>
      <c r="F2419" t="s">
        <v>5</v>
      </c>
      <c r="G2419" t="s">
        <v>6</v>
      </c>
      <c r="L2419" t="s">
        <v>7</v>
      </c>
      <c r="M2419">
        <v>2016</v>
      </c>
      <c r="N2419" s="1">
        <v>42388</v>
      </c>
      <c r="O2419" t="s">
        <v>11550</v>
      </c>
      <c r="P2419">
        <v>1</v>
      </c>
      <c r="Q2419" t="s">
        <v>6539</v>
      </c>
      <c r="S2419">
        <v>217.95</v>
      </c>
      <c r="T2419">
        <v>250</v>
      </c>
      <c r="U2419">
        <v>190</v>
      </c>
      <c r="V2419" t="s">
        <v>42</v>
      </c>
      <c r="W2419" t="s">
        <v>116</v>
      </c>
      <c r="X2419" t="s">
        <v>116</v>
      </c>
      <c r="Y2419" t="s">
        <v>117</v>
      </c>
      <c r="AF2419" t="s">
        <v>13</v>
      </c>
      <c r="AG2419" t="str">
        <f>HYPERLINK("https://doi.org/10.1515/9780748699568")</f>
        <v>https://doi.org/10.1515/9780748699568</v>
      </c>
      <c r="AH2419" t="str">
        <f>HYPERLINK("http://www.degruyter.com/isbn/9780748699568")</f>
        <v>http://www.degruyter.com/isbn/9780748699568</v>
      </c>
      <c r="AI2419" t="s">
        <v>180</v>
      </c>
      <c r="AL2419" t="s">
        <v>47</v>
      </c>
      <c r="AM2419">
        <v>1</v>
      </c>
      <c r="AN2419" s="2">
        <v>9780748699551</v>
      </c>
    </row>
    <row r="2420" spans="1:40" x14ac:dyDescent="0.3">
      <c r="A2420" t="s">
        <v>11551</v>
      </c>
      <c r="B2420" t="s">
        <v>1</v>
      </c>
      <c r="C2420" t="s">
        <v>11552</v>
      </c>
      <c r="D2420" t="s">
        <v>5027</v>
      </c>
      <c r="E2420" t="s">
        <v>11553</v>
      </c>
      <c r="F2420" t="s">
        <v>5</v>
      </c>
      <c r="G2420" t="s">
        <v>6</v>
      </c>
      <c r="L2420" t="s">
        <v>7</v>
      </c>
      <c r="M2420">
        <v>2021</v>
      </c>
      <c r="N2420" s="1">
        <v>44644</v>
      </c>
      <c r="O2420" t="s">
        <v>11554</v>
      </c>
      <c r="P2420">
        <v>1</v>
      </c>
      <c r="Q2420" t="s">
        <v>6539</v>
      </c>
      <c r="S2420">
        <v>217.95</v>
      </c>
      <c r="T2420">
        <v>250</v>
      </c>
      <c r="U2420">
        <v>190</v>
      </c>
      <c r="V2420" t="s">
        <v>305</v>
      </c>
      <c r="W2420" t="s">
        <v>306</v>
      </c>
      <c r="X2420" t="s">
        <v>306</v>
      </c>
      <c r="Y2420" t="s">
        <v>1689</v>
      </c>
      <c r="AF2420" t="s">
        <v>13</v>
      </c>
      <c r="AG2420" t="str">
        <f>HYPERLINK("https://doi.org/10.1515/9781474475389")</f>
        <v>https://doi.org/10.1515/9781474475389</v>
      </c>
      <c r="AH2420" t="str">
        <f>HYPERLINK("http://www.degruyter.com/isbn/9781474475389")</f>
        <v>http://www.degruyter.com/isbn/9781474475389</v>
      </c>
      <c r="AI2420" t="s">
        <v>216</v>
      </c>
      <c r="AL2420" t="s">
        <v>308</v>
      </c>
      <c r="AM2420">
        <v>1</v>
      </c>
      <c r="AN2420" s="2">
        <v>9781474475365</v>
      </c>
    </row>
    <row r="2421" spans="1:40" x14ac:dyDescent="0.3">
      <c r="A2421" t="s">
        <v>11555</v>
      </c>
      <c r="B2421" t="s">
        <v>1</v>
      </c>
      <c r="C2421" t="s">
        <v>11556</v>
      </c>
      <c r="D2421" t="s">
        <v>11557</v>
      </c>
      <c r="E2421" t="s">
        <v>11558</v>
      </c>
      <c r="F2421" t="s">
        <v>5</v>
      </c>
      <c r="G2421" t="s">
        <v>6</v>
      </c>
      <c r="L2421" t="s">
        <v>7</v>
      </c>
      <c r="M2421">
        <v>2016</v>
      </c>
      <c r="N2421" s="1">
        <v>42640</v>
      </c>
      <c r="O2421" t="s">
        <v>11559</v>
      </c>
      <c r="P2421">
        <v>1</v>
      </c>
      <c r="Q2421" t="s">
        <v>8962</v>
      </c>
      <c r="S2421">
        <v>217.95</v>
      </c>
      <c r="T2421">
        <v>250</v>
      </c>
      <c r="U2421">
        <v>190</v>
      </c>
      <c r="V2421" t="s">
        <v>20</v>
      </c>
      <c r="W2421" t="s">
        <v>21</v>
      </c>
      <c r="X2421" t="s">
        <v>458</v>
      </c>
      <c r="Y2421" t="s">
        <v>459</v>
      </c>
      <c r="AF2421" t="s">
        <v>13</v>
      </c>
      <c r="AG2421" t="str">
        <f>HYPERLINK("https://doi.org/10.1515/9781474413732?locatt=mode:legacy")</f>
        <v>https://doi.org/10.1515/9781474413732?locatt=mode:legacy</v>
      </c>
      <c r="AH2421" t="str">
        <f>HYPERLINK("http://www.degruyter.com/isbn/9781474413732")</f>
        <v>http://www.degruyter.com/isbn/9781474413732</v>
      </c>
      <c r="AI2421" t="s">
        <v>180</v>
      </c>
      <c r="AL2421" t="s">
        <v>15</v>
      </c>
      <c r="AM2421">
        <v>1</v>
      </c>
      <c r="AN2421" s="2">
        <v>9781474413725</v>
      </c>
    </row>
    <row r="2422" spans="1:40" x14ac:dyDescent="0.3">
      <c r="A2422" t="s">
        <v>11560</v>
      </c>
      <c r="B2422" t="s">
        <v>1</v>
      </c>
      <c r="C2422" t="s">
        <v>11561</v>
      </c>
      <c r="D2422" t="s">
        <v>11562</v>
      </c>
      <c r="E2422" t="s">
        <v>11563</v>
      </c>
      <c r="F2422" t="s">
        <v>5</v>
      </c>
      <c r="G2422" t="s">
        <v>6</v>
      </c>
      <c r="L2422" t="s">
        <v>7</v>
      </c>
      <c r="M2422">
        <v>2010</v>
      </c>
      <c r="N2422" s="1">
        <v>40508</v>
      </c>
      <c r="O2422" t="s">
        <v>11564</v>
      </c>
      <c r="P2422">
        <v>1</v>
      </c>
      <c r="Q2422" t="s">
        <v>7738</v>
      </c>
      <c r="S2422">
        <v>227.95</v>
      </c>
      <c r="T2422">
        <v>260</v>
      </c>
      <c r="U2422">
        <v>200</v>
      </c>
      <c r="V2422" t="s">
        <v>98</v>
      </c>
      <c r="W2422" t="s">
        <v>99</v>
      </c>
      <c r="X2422" t="s">
        <v>386</v>
      </c>
      <c r="Y2422" t="s">
        <v>387</v>
      </c>
      <c r="AF2422" t="s">
        <v>13</v>
      </c>
      <c r="AG2422" t="str">
        <f>HYPERLINK("https://doi.org/10.1515/9780748629374")</f>
        <v>https://doi.org/10.1515/9780748629374</v>
      </c>
      <c r="AH2422" t="str">
        <f>HYPERLINK("http://www.degruyter.com/isbn/9780748629374")</f>
        <v>http://www.degruyter.com/isbn/9780748629374</v>
      </c>
      <c r="AI2422" t="s">
        <v>68</v>
      </c>
      <c r="AL2422" t="s">
        <v>102</v>
      </c>
      <c r="AM2422">
        <v>1</v>
      </c>
      <c r="AN2422" s="2">
        <v>9780748621163</v>
      </c>
    </row>
    <row r="2423" spans="1:40" x14ac:dyDescent="0.3">
      <c r="A2423" t="s">
        <v>11565</v>
      </c>
      <c r="B2423" t="s">
        <v>1</v>
      </c>
      <c r="C2423" t="s">
        <v>11566</v>
      </c>
      <c r="D2423" t="s">
        <v>11567</v>
      </c>
      <c r="E2423" t="s">
        <v>11568</v>
      </c>
      <c r="F2423" t="s">
        <v>5</v>
      </c>
      <c r="G2423" t="s">
        <v>6</v>
      </c>
      <c r="L2423" t="s">
        <v>7</v>
      </c>
      <c r="M2423">
        <v>2012</v>
      </c>
      <c r="N2423" s="1">
        <v>41093</v>
      </c>
      <c r="O2423" t="s">
        <v>11569</v>
      </c>
      <c r="P2423">
        <v>1</v>
      </c>
      <c r="Q2423" t="s">
        <v>6606</v>
      </c>
      <c r="S2423">
        <v>253.95</v>
      </c>
      <c r="T2423">
        <v>290</v>
      </c>
      <c r="U2423">
        <v>220</v>
      </c>
      <c r="V2423" t="s">
        <v>79</v>
      </c>
      <c r="W2423" t="s">
        <v>209</v>
      </c>
      <c r="X2423" t="s">
        <v>209</v>
      </c>
      <c r="Y2423" t="s">
        <v>510</v>
      </c>
      <c r="AF2423" t="s">
        <v>13</v>
      </c>
      <c r="AG2423" t="str">
        <f>HYPERLINK("https://www.degruyter.com/isbn/9780748645633")</f>
        <v>https://www.degruyter.com/isbn/9780748645633</v>
      </c>
      <c r="AH2423" t="str">
        <f>HYPERLINK("http://www.degruyter.com/isbn/9780748645633")</f>
        <v>http://www.degruyter.com/isbn/9780748645633</v>
      </c>
      <c r="AI2423" t="s">
        <v>68</v>
      </c>
      <c r="AL2423" t="s">
        <v>83</v>
      </c>
      <c r="AM2423">
        <v>1</v>
      </c>
      <c r="AN2423" s="2">
        <v>9780748645626</v>
      </c>
    </row>
    <row r="2424" spans="1:40" x14ac:dyDescent="0.3">
      <c r="A2424" t="s">
        <v>11570</v>
      </c>
      <c r="B2424" t="s">
        <v>1</v>
      </c>
      <c r="C2424" t="s">
        <v>11571</v>
      </c>
      <c r="D2424" t="s">
        <v>11572</v>
      </c>
      <c r="E2424" t="s">
        <v>11573</v>
      </c>
      <c r="F2424" t="s">
        <v>5</v>
      </c>
      <c r="G2424" t="s">
        <v>6</v>
      </c>
      <c r="L2424" t="s">
        <v>7</v>
      </c>
      <c r="M2424">
        <v>2018</v>
      </c>
      <c r="N2424" s="1">
        <v>44656</v>
      </c>
      <c r="O2424" t="s">
        <v>11574</v>
      </c>
      <c r="P2424">
        <v>1</v>
      </c>
      <c r="Q2424" t="s">
        <v>8096</v>
      </c>
      <c r="S2424">
        <v>227.95</v>
      </c>
      <c r="T2424">
        <v>260</v>
      </c>
      <c r="U2424">
        <v>200</v>
      </c>
      <c r="V2424" t="s">
        <v>42</v>
      </c>
      <c r="W2424" t="s">
        <v>107</v>
      </c>
      <c r="X2424" t="s">
        <v>108</v>
      </c>
      <c r="Y2424" t="s">
        <v>109</v>
      </c>
      <c r="AF2424" t="s">
        <v>13</v>
      </c>
      <c r="AG2424" t="str">
        <f>HYPERLINK("https://doi.org/10.1515/9781474439633")</f>
        <v>https://doi.org/10.1515/9781474439633</v>
      </c>
      <c r="AH2424" t="str">
        <f>HYPERLINK("http://www.degruyter.com/isbn/9781474439633")</f>
        <v>http://www.degruyter.com/isbn/9781474439633</v>
      </c>
      <c r="AI2424" t="s">
        <v>46</v>
      </c>
      <c r="AL2424" t="s">
        <v>47</v>
      </c>
      <c r="AM2424">
        <v>1</v>
      </c>
      <c r="AN2424" s="2">
        <v>9781474439619</v>
      </c>
    </row>
    <row r="2425" spans="1:40" x14ac:dyDescent="0.3">
      <c r="A2425" t="s">
        <v>11575</v>
      </c>
      <c r="B2425" t="s">
        <v>1</v>
      </c>
      <c r="C2425" t="s">
        <v>11576</v>
      </c>
      <c r="D2425" t="s">
        <v>11577</v>
      </c>
      <c r="E2425" t="s">
        <v>11578</v>
      </c>
      <c r="F2425" t="s">
        <v>5</v>
      </c>
      <c r="G2425" t="s">
        <v>6</v>
      </c>
      <c r="L2425" t="s">
        <v>7</v>
      </c>
      <c r="M2425">
        <v>2017</v>
      </c>
      <c r="N2425" s="1">
        <v>42785</v>
      </c>
      <c r="O2425" t="s">
        <v>11579</v>
      </c>
      <c r="P2425">
        <v>1</v>
      </c>
      <c r="Q2425" t="s">
        <v>8859</v>
      </c>
      <c r="S2425">
        <v>227.95</v>
      </c>
      <c r="T2425">
        <v>260</v>
      </c>
      <c r="U2425">
        <v>200</v>
      </c>
      <c r="V2425" t="s">
        <v>20</v>
      </c>
      <c r="W2425" t="s">
        <v>21</v>
      </c>
      <c r="X2425" t="s">
        <v>22</v>
      </c>
      <c r="Y2425" t="s">
        <v>23</v>
      </c>
      <c r="AF2425" t="s">
        <v>13</v>
      </c>
      <c r="AG2425" t="str">
        <f>HYPERLINK("https://doi.org/10.1515/9781474402125")</f>
        <v>https://doi.org/10.1515/9781474402125</v>
      </c>
      <c r="AH2425" t="str">
        <f>HYPERLINK("http://www.degruyter.com/isbn/9781474402125")</f>
        <v>http://www.degruyter.com/isbn/9781474402125</v>
      </c>
      <c r="AI2425" t="s">
        <v>222</v>
      </c>
      <c r="AL2425" t="s">
        <v>15</v>
      </c>
      <c r="AM2425">
        <v>1</v>
      </c>
      <c r="AN2425" s="2">
        <v>9781474402118</v>
      </c>
    </row>
    <row r="2426" spans="1:40" x14ac:dyDescent="0.3">
      <c r="A2426" t="s">
        <v>11580</v>
      </c>
      <c r="B2426" t="s">
        <v>1</v>
      </c>
      <c r="C2426" t="s">
        <v>11581</v>
      </c>
      <c r="E2426" t="s">
        <v>11582</v>
      </c>
      <c r="F2426" t="s">
        <v>5</v>
      </c>
      <c r="G2426" t="s">
        <v>6</v>
      </c>
      <c r="L2426" t="s">
        <v>7</v>
      </c>
      <c r="M2426">
        <v>2016</v>
      </c>
      <c r="N2426" s="1">
        <v>42621</v>
      </c>
      <c r="O2426" t="s">
        <v>11583</v>
      </c>
      <c r="P2426">
        <v>1</v>
      </c>
      <c r="Q2426" t="s">
        <v>5754</v>
      </c>
      <c r="S2426">
        <v>253.95</v>
      </c>
      <c r="T2426">
        <v>290</v>
      </c>
      <c r="U2426">
        <v>220</v>
      </c>
      <c r="V2426" t="s">
        <v>79</v>
      </c>
      <c r="W2426" t="s">
        <v>123</v>
      </c>
      <c r="X2426" t="s">
        <v>123</v>
      </c>
      <c r="Y2426" t="s">
        <v>124</v>
      </c>
      <c r="AF2426" t="s">
        <v>13</v>
      </c>
      <c r="AG2426" t="str">
        <f>HYPERLINK("https://doi.org/10.1515/9781474416764?locatt=mode:legacy")</f>
        <v>https://doi.org/10.1515/9781474416764?locatt=mode:legacy</v>
      </c>
      <c r="AH2426" t="str">
        <f>HYPERLINK("http://www.degruyter.com/isbn/9781474416764")</f>
        <v>http://www.degruyter.com/isbn/9781474416764</v>
      </c>
      <c r="AI2426" t="s">
        <v>180</v>
      </c>
      <c r="AL2426" t="s">
        <v>83</v>
      </c>
      <c r="AM2426">
        <v>1</v>
      </c>
      <c r="AN2426" s="2">
        <v>9781474416740</v>
      </c>
    </row>
    <row r="2427" spans="1:40" x14ac:dyDescent="0.3">
      <c r="A2427" t="s">
        <v>11584</v>
      </c>
      <c r="B2427" t="s">
        <v>1</v>
      </c>
      <c r="C2427" t="s">
        <v>11585</v>
      </c>
      <c r="D2427" t="s">
        <v>11586</v>
      </c>
      <c r="E2427" t="s">
        <v>11587</v>
      </c>
      <c r="F2427" t="s">
        <v>5</v>
      </c>
      <c r="G2427" t="s">
        <v>6</v>
      </c>
      <c r="L2427" t="s">
        <v>7</v>
      </c>
      <c r="M2427">
        <v>2009</v>
      </c>
      <c r="N2427" s="1">
        <v>39979</v>
      </c>
      <c r="O2427" t="s">
        <v>11588</v>
      </c>
      <c r="P2427">
        <v>1</v>
      </c>
      <c r="Q2427" t="s">
        <v>6929</v>
      </c>
      <c r="S2427">
        <v>217.95</v>
      </c>
      <c r="T2427">
        <v>250</v>
      </c>
      <c r="U2427">
        <v>190</v>
      </c>
      <c r="V2427" t="s">
        <v>20</v>
      </c>
      <c r="W2427" t="s">
        <v>21</v>
      </c>
      <c r="X2427" t="s">
        <v>3919</v>
      </c>
      <c r="Y2427" t="s">
        <v>4359</v>
      </c>
      <c r="AF2427" t="s">
        <v>13</v>
      </c>
      <c r="AG2427" t="str">
        <f>HYPERLINK("https://doi.org/10.1515/9781474471336?locatt=mode:legacy")</f>
        <v>https://doi.org/10.1515/9781474471336?locatt=mode:legacy</v>
      </c>
      <c r="AH2427" t="str">
        <f>HYPERLINK("http://www.degruyter.com/isbn/9781474471336")</f>
        <v>http://www.degruyter.com/isbn/9781474471336</v>
      </c>
      <c r="AI2427" t="s">
        <v>68</v>
      </c>
      <c r="AL2427" t="s">
        <v>15</v>
      </c>
      <c r="AM2427">
        <v>1</v>
      </c>
      <c r="AN2427" s="2">
        <v>9780748638956</v>
      </c>
    </row>
    <row r="2428" spans="1:40" x14ac:dyDescent="0.3">
      <c r="A2428" t="s">
        <v>11589</v>
      </c>
      <c r="B2428" t="s">
        <v>1</v>
      </c>
      <c r="C2428" t="s">
        <v>11590</v>
      </c>
      <c r="E2428" t="s">
        <v>11591</v>
      </c>
      <c r="F2428" t="s">
        <v>5</v>
      </c>
      <c r="G2428" t="s">
        <v>6</v>
      </c>
      <c r="L2428" t="s">
        <v>7</v>
      </c>
      <c r="M2428">
        <v>2007</v>
      </c>
      <c r="N2428" s="1">
        <v>39108</v>
      </c>
      <c r="O2428" t="s">
        <v>5422</v>
      </c>
      <c r="P2428">
        <v>1</v>
      </c>
      <c r="Q2428" t="s">
        <v>7027</v>
      </c>
      <c r="S2428">
        <v>217.95</v>
      </c>
      <c r="T2428">
        <v>250</v>
      </c>
      <c r="U2428">
        <v>190</v>
      </c>
      <c r="V2428" t="s">
        <v>98</v>
      </c>
      <c r="W2428" t="s">
        <v>99</v>
      </c>
      <c r="X2428" t="s">
        <v>100</v>
      </c>
      <c r="Y2428" t="s">
        <v>937</v>
      </c>
      <c r="AF2428" t="s">
        <v>13</v>
      </c>
      <c r="AG2428" t="str">
        <f>HYPERLINK("https://doi.org/10.1515/9780748629961")</f>
        <v>https://doi.org/10.1515/9780748629961</v>
      </c>
      <c r="AH2428" t="str">
        <f>HYPERLINK("http://www.degruyter.com/isbn/9780748629961")</f>
        <v>http://www.degruyter.com/isbn/9780748629961</v>
      </c>
      <c r="AI2428" t="s">
        <v>68</v>
      </c>
      <c r="AL2428" t="s">
        <v>102</v>
      </c>
      <c r="AM2428">
        <v>1</v>
      </c>
      <c r="AN2428" s="2">
        <v>9780748623167</v>
      </c>
    </row>
    <row r="2429" spans="1:40" x14ac:dyDescent="0.3">
      <c r="A2429" t="s">
        <v>11592</v>
      </c>
      <c r="B2429" t="s">
        <v>1</v>
      </c>
      <c r="C2429" t="s">
        <v>11593</v>
      </c>
      <c r="E2429" t="s">
        <v>11594</v>
      </c>
      <c r="F2429" t="s">
        <v>5</v>
      </c>
      <c r="G2429" t="s">
        <v>6</v>
      </c>
      <c r="L2429" t="s">
        <v>7</v>
      </c>
      <c r="M2429">
        <v>2015</v>
      </c>
      <c r="N2429" s="1">
        <v>42235</v>
      </c>
      <c r="O2429" t="s">
        <v>11595</v>
      </c>
      <c r="P2429">
        <v>1</v>
      </c>
      <c r="Q2429" t="s">
        <v>7622</v>
      </c>
      <c r="S2429">
        <v>209.95</v>
      </c>
      <c r="T2429">
        <v>240</v>
      </c>
      <c r="U2429">
        <v>180</v>
      </c>
      <c r="V2429" t="s">
        <v>98</v>
      </c>
      <c r="W2429" t="s">
        <v>99</v>
      </c>
      <c r="X2429" t="s">
        <v>386</v>
      </c>
      <c r="Y2429" t="s">
        <v>387</v>
      </c>
      <c r="AF2429" t="s">
        <v>13</v>
      </c>
      <c r="AG2429" t="str">
        <f>HYPERLINK("https://doi.org/10.1515/9780748692651")</f>
        <v>https://doi.org/10.1515/9780748692651</v>
      </c>
      <c r="AH2429" t="str">
        <f>HYPERLINK("http://www.degruyter.com/isbn/9780748692651")</f>
        <v>http://www.degruyter.com/isbn/9780748692651</v>
      </c>
      <c r="AI2429" t="s">
        <v>34</v>
      </c>
      <c r="AL2429" t="s">
        <v>102</v>
      </c>
      <c r="AM2429">
        <v>1</v>
      </c>
      <c r="AN2429" s="2">
        <v>9780748692637</v>
      </c>
    </row>
    <row r="2430" spans="1:40" x14ac:dyDescent="0.3">
      <c r="A2430" t="s">
        <v>11596</v>
      </c>
      <c r="B2430" t="s">
        <v>1</v>
      </c>
      <c r="C2430" t="s">
        <v>11597</v>
      </c>
      <c r="E2430" t="s">
        <v>11598</v>
      </c>
      <c r="F2430" t="s">
        <v>5</v>
      </c>
      <c r="G2430" t="s">
        <v>6</v>
      </c>
      <c r="L2430" t="s">
        <v>7</v>
      </c>
      <c r="M2430">
        <v>2019</v>
      </c>
      <c r="N2430" s="1">
        <v>44644</v>
      </c>
      <c r="O2430" t="s">
        <v>11599</v>
      </c>
      <c r="P2430">
        <v>1</v>
      </c>
      <c r="Q2430" t="s">
        <v>6539</v>
      </c>
      <c r="S2430">
        <v>217.95</v>
      </c>
      <c r="T2430">
        <v>250</v>
      </c>
      <c r="U2430">
        <v>190</v>
      </c>
      <c r="V2430" t="s">
        <v>42</v>
      </c>
      <c r="W2430" t="s">
        <v>107</v>
      </c>
      <c r="X2430" t="s">
        <v>108</v>
      </c>
      <c r="Y2430" t="s">
        <v>109</v>
      </c>
      <c r="AF2430" t="s">
        <v>13</v>
      </c>
      <c r="AG2430" t="str">
        <f>HYPERLINK("https://doi.org/10.1515/9781474447263?locatt=mode:legacy")</f>
        <v>https://doi.org/10.1515/9781474447263?locatt=mode:legacy</v>
      </c>
      <c r="AH2430" t="str">
        <f>HYPERLINK("http://www.degruyter.com/isbn/9781474447263")</f>
        <v>http://www.degruyter.com/isbn/9781474447263</v>
      </c>
      <c r="AI2430" t="s">
        <v>280</v>
      </c>
      <c r="AL2430" t="s">
        <v>47</v>
      </c>
      <c r="AM2430">
        <v>1</v>
      </c>
      <c r="AN2430" s="2">
        <v>9781474447249</v>
      </c>
    </row>
    <row r="2431" spans="1:40" x14ac:dyDescent="0.3">
      <c r="A2431" t="s">
        <v>11600</v>
      </c>
      <c r="B2431" t="s">
        <v>1</v>
      </c>
      <c r="C2431" t="s">
        <v>11601</v>
      </c>
      <c r="D2431" t="s">
        <v>11602</v>
      </c>
      <c r="E2431" t="s">
        <v>11603</v>
      </c>
      <c r="F2431" t="s">
        <v>5</v>
      </c>
      <c r="G2431" t="s">
        <v>6</v>
      </c>
      <c r="L2431" t="s">
        <v>7</v>
      </c>
      <c r="M2431">
        <v>2015</v>
      </c>
      <c r="N2431" s="1">
        <v>42359</v>
      </c>
      <c r="O2431" t="s">
        <v>11604</v>
      </c>
      <c r="P2431">
        <v>1</v>
      </c>
      <c r="Q2431" t="s">
        <v>10034</v>
      </c>
      <c r="S2431">
        <v>217.95</v>
      </c>
      <c r="T2431">
        <v>250</v>
      </c>
      <c r="U2431">
        <v>190</v>
      </c>
      <c r="V2431" t="s">
        <v>20</v>
      </c>
      <c r="W2431" t="s">
        <v>21</v>
      </c>
      <c r="X2431" t="s">
        <v>22</v>
      </c>
      <c r="Y2431" t="s">
        <v>489</v>
      </c>
      <c r="AF2431" t="s">
        <v>13</v>
      </c>
      <c r="AG2431" t="str">
        <f>HYPERLINK("https://doi.org/10.1515/9781474407441")</f>
        <v>https://doi.org/10.1515/9781474407441</v>
      </c>
      <c r="AH2431" t="str">
        <f>HYPERLINK("http://www.degruyter.com/isbn/9781474407441")</f>
        <v>http://www.degruyter.com/isbn/9781474407441</v>
      </c>
      <c r="AI2431" t="s">
        <v>34</v>
      </c>
      <c r="AL2431" t="s">
        <v>15</v>
      </c>
      <c r="AM2431">
        <v>1</v>
      </c>
      <c r="AN2431" s="2">
        <v>9781474407434</v>
      </c>
    </row>
    <row r="2432" spans="1:40" x14ac:dyDescent="0.3">
      <c r="A2432" t="s">
        <v>11605</v>
      </c>
      <c r="B2432" t="s">
        <v>1</v>
      </c>
      <c r="C2432" t="s">
        <v>11606</v>
      </c>
      <c r="D2432" t="s">
        <v>11607</v>
      </c>
      <c r="E2432" t="s">
        <v>11608</v>
      </c>
      <c r="F2432" t="s">
        <v>5</v>
      </c>
      <c r="G2432" t="s">
        <v>6</v>
      </c>
      <c r="L2432" t="s">
        <v>7</v>
      </c>
      <c r="M2432">
        <v>2020</v>
      </c>
      <c r="N2432" s="1">
        <v>44644</v>
      </c>
      <c r="O2432" t="s">
        <v>11609</v>
      </c>
      <c r="P2432">
        <v>1</v>
      </c>
      <c r="Q2432" t="s">
        <v>6606</v>
      </c>
      <c r="S2432">
        <v>217.95</v>
      </c>
      <c r="T2432">
        <v>250</v>
      </c>
      <c r="U2432">
        <v>190</v>
      </c>
      <c r="V2432" t="s">
        <v>79</v>
      </c>
      <c r="W2432" t="s">
        <v>123</v>
      </c>
      <c r="X2432" t="s">
        <v>123</v>
      </c>
      <c r="Y2432" t="s">
        <v>124</v>
      </c>
      <c r="AF2432" t="s">
        <v>13</v>
      </c>
      <c r="AG2432" t="str">
        <f>HYPERLINK("https://doi.org/10.1515/9781474443418")</f>
        <v>https://doi.org/10.1515/9781474443418</v>
      </c>
      <c r="AH2432" t="str">
        <f>HYPERLINK("http://www.degruyter.com/isbn/9781474443418")</f>
        <v>http://www.degruyter.com/isbn/9781474443418</v>
      </c>
      <c r="AI2432" t="s">
        <v>14</v>
      </c>
      <c r="AL2432" t="s">
        <v>83</v>
      </c>
      <c r="AM2432">
        <v>1</v>
      </c>
      <c r="AN2432" s="2">
        <v>9781474443395</v>
      </c>
    </row>
    <row r="2433" spans="1:40" x14ac:dyDescent="0.3">
      <c r="A2433" t="s">
        <v>11610</v>
      </c>
      <c r="B2433" t="s">
        <v>1</v>
      </c>
      <c r="C2433" t="s">
        <v>11611</v>
      </c>
      <c r="E2433" t="s">
        <v>11612</v>
      </c>
      <c r="F2433" t="s">
        <v>5</v>
      </c>
      <c r="G2433" t="s">
        <v>6</v>
      </c>
      <c r="L2433" t="s">
        <v>7</v>
      </c>
      <c r="M2433">
        <v>2008</v>
      </c>
      <c r="N2433" s="1">
        <v>39555</v>
      </c>
      <c r="O2433" t="s">
        <v>11613</v>
      </c>
      <c r="P2433">
        <v>1</v>
      </c>
      <c r="Q2433" t="s">
        <v>8412</v>
      </c>
      <c r="S2433">
        <v>209.95</v>
      </c>
      <c r="T2433">
        <v>240</v>
      </c>
      <c r="U2433">
        <v>180</v>
      </c>
      <c r="V2433" t="s">
        <v>42</v>
      </c>
      <c r="W2433" t="s">
        <v>43</v>
      </c>
      <c r="X2433" t="s">
        <v>178</v>
      </c>
      <c r="Y2433" t="s">
        <v>1745</v>
      </c>
      <c r="AF2433" t="s">
        <v>13</v>
      </c>
      <c r="AG2433" t="str">
        <f>HYPERLINK("https://doi.org/10.1515/9780748629916")</f>
        <v>https://doi.org/10.1515/9780748629916</v>
      </c>
      <c r="AH2433" t="str">
        <f>HYPERLINK("http://www.degruyter.com/isbn/9780748629916")</f>
        <v>http://www.degruyter.com/isbn/9780748629916</v>
      </c>
      <c r="AI2433" t="s">
        <v>68</v>
      </c>
      <c r="AL2433" t="s">
        <v>47</v>
      </c>
      <c r="AM2433">
        <v>1</v>
      </c>
      <c r="AN2433" s="2">
        <v>9780748623013</v>
      </c>
    </row>
    <row r="2434" spans="1:40" x14ac:dyDescent="0.3">
      <c r="A2434" t="s">
        <v>11614</v>
      </c>
      <c r="B2434" t="s">
        <v>1</v>
      </c>
      <c r="C2434" t="s">
        <v>11615</v>
      </c>
      <c r="D2434" t="s">
        <v>11616</v>
      </c>
      <c r="E2434" t="s">
        <v>11617</v>
      </c>
      <c r="F2434" t="s">
        <v>5</v>
      </c>
      <c r="G2434" t="s">
        <v>6</v>
      </c>
      <c r="L2434" t="s">
        <v>7</v>
      </c>
      <c r="M2434">
        <v>2013</v>
      </c>
      <c r="N2434" s="1">
        <v>41440</v>
      </c>
      <c r="O2434" t="s">
        <v>11618</v>
      </c>
      <c r="P2434">
        <v>1</v>
      </c>
      <c r="Q2434" t="s">
        <v>7362</v>
      </c>
      <c r="S2434">
        <v>243.95</v>
      </c>
      <c r="T2434">
        <v>280</v>
      </c>
      <c r="U2434">
        <v>210</v>
      </c>
      <c r="V2434" t="s">
        <v>58</v>
      </c>
      <c r="W2434" t="s">
        <v>59</v>
      </c>
      <c r="X2434" t="s">
        <v>60</v>
      </c>
      <c r="Y2434" t="s">
        <v>73</v>
      </c>
      <c r="AF2434" t="s">
        <v>13</v>
      </c>
      <c r="AG2434" t="str">
        <f>HYPERLINK("https://doi.org/10.1515/9780748654680")</f>
        <v>https://doi.org/10.1515/9780748654680</v>
      </c>
      <c r="AH2434" t="str">
        <f>HYPERLINK("http://www.degruyter.com/isbn/9780748654680")</f>
        <v>http://www.degruyter.com/isbn/9780748654680</v>
      </c>
      <c r="AI2434" t="s">
        <v>68</v>
      </c>
      <c r="AL2434" t="s">
        <v>62</v>
      </c>
      <c r="AM2434">
        <v>1</v>
      </c>
      <c r="AN2434" s="2">
        <v>9780748654673</v>
      </c>
    </row>
    <row r="2435" spans="1:40" x14ac:dyDescent="0.3">
      <c r="A2435" t="s">
        <v>11619</v>
      </c>
      <c r="B2435" t="s">
        <v>1</v>
      </c>
      <c r="C2435" t="s">
        <v>11620</v>
      </c>
      <c r="E2435" t="s">
        <v>11621</v>
      </c>
      <c r="F2435" t="s">
        <v>5</v>
      </c>
      <c r="G2435" t="s">
        <v>6</v>
      </c>
      <c r="L2435" t="s">
        <v>7</v>
      </c>
      <c r="M2435">
        <v>2017</v>
      </c>
      <c r="N2435" s="1">
        <v>42975</v>
      </c>
      <c r="O2435" t="s">
        <v>6796</v>
      </c>
      <c r="P2435">
        <v>1</v>
      </c>
      <c r="Q2435" t="s">
        <v>6797</v>
      </c>
      <c r="S2435">
        <v>417.95</v>
      </c>
      <c r="T2435">
        <v>480</v>
      </c>
      <c r="U2435">
        <v>370</v>
      </c>
      <c r="V2435" t="s">
        <v>79</v>
      </c>
      <c r="W2435" t="s">
        <v>209</v>
      </c>
      <c r="X2435" t="s">
        <v>209</v>
      </c>
      <c r="Y2435" t="s">
        <v>510</v>
      </c>
      <c r="AF2435" t="s">
        <v>13</v>
      </c>
      <c r="AG2435" t="str">
        <f>HYPERLINK("https://doi.org/10.1515/9780748643394")</f>
        <v>https://doi.org/10.1515/9780748643394</v>
      </c>
      <c r="AH2435" t="str">
        <f>HYPERLINK("http://www.degruyter.com/isbn/9780748643394")</f>
        <v>http://www.degruyter.com/isbn/9780748643394</v>
      </c>
      <c r="AI2435" t="s">
        <v>222</v>
      </c>
      <c r="AL2435" t="s">
        <v>83</v>
      </c>
      <c r="AM2435">
        <v>1</v>
      </c>
      <c r="AN2435" s="2">
        <v>9780748643387</v>
      </c>
    </row>
    <row r="2436" spans="1:40" x14ac:dyDescent="0.3">
      <c r="A2436" t="s">
        <v>11622</v>
      </c>
      <c r="B2436" t="s">
        <v>1</v>
      </c>
      <c r="C2436" t="s">
        <v>11623</v>
      </c>
      <c r="E2436" t="s">
        <v>11624</v>
      </c>
      <c r="F2436" t="s">
        <v>5</v>
      </c>
      <c r="G2436" t="s">
        <v>6</v>
      </c>
      <c r="L2436" t="s">
        <v>7</v>
      </c>
      <c r="M2436">
        <v>2012</v>
      </c>
      <c r="N2436" s="1">
        <v>41080</v>
      </c>
      <c r="O2436" t="s">
        <v>1885</v>
      </c>
      <c r="P2436">
        <v>1</v>
      </c>
      <c r="Q2436" t="s">
        <v>7047</v>
      </c>
      <c r="S2436">
        <v>227.95</v>
      </c>
      <c r="T2436">
        <v>260</v>
      </c>
      <c r="U2436">
        <v>200</v>
      </c>
      <c r="V2436" t="s">
        <v>42</v>
      </c>
      <c r="W2436" t="s">
        <v>107</v>
      </c>
      <c r="X2436" t="s">
        <v>108</v>
      </c>
      <c r="Y2436" t="s">
        <v>109</v>
      </c>
      <c r="AF2436" t="s">
        <v>13</v>
      </c>
      <c r="AG2436" t="str">
        <f>HYPERLINK("https://doi.org/10.1515/9780748644452")</f>
        <v>https://doi.org/10.1515/9780748644452</v>
      </c>
      <c r="AH2436" t="str">
        <f>HYPERLINK("http://www.degruyter.com/isbn/9780748644452")</f>
        <v>http://www.degruyter.com/isbn/9780748644452</v>
      </c>
      <c r="AI2436" t="s">
        <v>68</v>
      </c>
      <c r="AL2436" t="s">
        <v>47</v>
      </c>
      <c r="AM2436">
        <v>1</v>
      </c>
      <c r="AN2436" s="2">
        <v>9780748644322</v>
      </c>
    </row>
    <row r="2437" spans="1:40" x14ac:dyDescent="0.3">
      <c r="A2437" t="s">
        <v>11625</v>
      </c>
      <c r="B2437" t="s">
        <v>1</v>
      </c>
      <c r="C2437" t="s">
        <v>11626</v>
      </c>
      <c r="E2437" t="s">
        <v>11627</v>
      </c>
      <c r="F2437" t="s">
        <v>5</v>
      </c>
      <c r="G2437" t="s">
        <v>6</v>
      </c>
      <c r="L2437" t="s">
        <v>7</v>
      </c>
      <c r="M2437">
        <v>2009</v>
      </c>
      <c r="N2437" s="1">
        <v>39997</v>
      </c>
      <c r="O2437" t="s">
        <v>11628</v>
      </c>
      <c r="P2437">
        <v>1</v>
      </c>
      <c r="Q2437" t="s">
        <v>7047</v>
      </c>
      <c r="S2437">
        <v>227.95</v>
      </c>
      <c r="T2437">
        <v>260</v>
      </c>
      <c r="U2437">
        <v>200</v>
      </c>
      <c r="V2437" t="s">
        <v>42</v>
      </c>
      <c r="W2437" t="s">
        <v>107</v>
      </c>
      <c r="X2437" t="s">
        <v>108</v>
      </c>
      <c r="Y2437" t="s">
        <v>109</v>
      </c>
      <c r="AF2437" t="s">
        <v>13</v>
      </c>
      <c r="AG2437" t="str">
        <f>HYPERLINK("https://doi.org/10.1515/9780748636952")</f>
        <v>https://doi.org/10.1515/9780748636952</v>
      </c>
      <c r="AH2437" t="str">
        <f>HYPERLINK("http://www.degruyter.com/isbn/9780748636952")</f>
        <v>http://www.degruyter.com/isbn/9780748636952</v>
      </c>
      <c r="AI2437" t="s">
        <v>68</v>
      </c>
      <c r="AL2437" t="s">
        <v>47</v>
      </c>
      <c r="AM2437">
        <v>1</v>
      </c>
      <c r="AN2437" s="2">
        <v>9780748636938</v>
      </c>
    </row>
    <row r="2438" spans="1:40" x14ac:dyDescent="0.3">
      <c r="A2438" t="s">
        <v>11629</v>
      </c>
      <c r="B2438" t="s">
        <v>1</v>
      </c>
      <c r="C2438" t="s">
        <v>11630</v>
      </c>
      <c r="D2438" t="s">
        <v>11631</v>
      </c>
      <c r="E2438" t="s">
        <v>11632</v>
      </c>
      <c r="F2438" t="s">
        <v>5</v>
      </c>
      <c r="G2438" t="s">
        <v>6</v>
      </c>
      <c r="L2438" t="s">
        <v>7</v>
      </c>
      <c r="M2438">
        <v>2019</v>
      </c>
      <c r="N2438" s="1">
        <v>44656</v>
      </c>
      <c r="O2438" t="s">
        <v>11633</v>
      </c>
      <c r="P2438">
        <v>1</v>
      </c>
      <c r="Q2438" t="s">
        <v>6876</v>
      </c>
      <c r="S2438">
        <v>253.95</v>
      </c>
      <c r="T2438">
        <v>290</v>
      </c>
      <c r="U2438">
        <v>220</v>
      </c>
      <c r="V2438" t="s">
        <v>42</v>
      </c>
      <c r="W2438" t="s">
        <v>161</v>
      </c>
      <c r="X2438" t="s">
        <v>162</v>
      </c>
      <c r="Y2438" t="s">
        <v>393</v>
      </c>
      <c r="AF2438" t="s">
        <v>13</v>
      </c>
      <c r="AG2438" t="str">
        <f>HYPERLINK("https://doi.org/10.1515/9781474434010")</f>
        <v>https://doi.org/10.1515/9781474434010</v>
      </c>
      <c r="AH2438" t="str">
        <f>HYPERLINK("http://www.degruyter.com/isbn/9781474434010")</f>
        <v>http://www.degruyter.com/isbn/9781474434010</v>
      </c>
      <c r="AI2438" t="s">
        <v>280</v>
      </c>
      <c r="AL2438" t="s">
        <v>47</v>
      </c>
      <c r="AM2438">
        <v>1</v>
      </c>
      <c r="AN2438" s="2">
        <v>9781474433990</v>
      </c>
    </row>
    <row r="2439" spans="1:40" x14ac:dyDescent="0.3">
      <c r="A2439" t="s">
        <v>11634</v>
      </c>
      <c r="B2439" t="s">
        <v>1</v>
      </c>
      <c r="C2439" t="s">
        <v>11635</v>
      </c>
      <c r="D2439" t="s">
        <v>11636</v>
      </c>
      <c r="E2439" t="s">
        <v>11637</v>
      </c>
      <c r="F2439" t="s">
        <v>5</v>
      </c>
      <c r="G2439" t="s">
        <v>6</v>
      </c>
      <c r="L2439" t="s">
        <v>7</v>
      </c>
      <c r="M2439">
        <v>2017</v>
      </c>
      <c r="N2439" s="1">
        <v>42824</v>
      </c>
      <c r="O2439" t="s">
        <v>11638</v>
      </c>
      <c r="P2439">
        <v>1</v>
      </c>
      <c r="Q2439" t="s">
        <v>8702</v>
      </c>
      <c r="S2439">
        <v>261.95</v>
      </c>
      <c r="T2439">
        <v>300</v>
      </c>
      <c r="U2439">
        <v>230</v>
      </c>
      <c r="V2439" t="s">
        <v>79</v>
      </c>
      <c r="W2439" t="s">
        <v>734</v>
      </c>
      <c r="X2439" t="s">
        <v>734</v>
      </c>
      <c r="Y2439" t="s">
        <v>735</v>
      </c>
      <c r="AF2439" t="s">
        <v>13</v>
      </c>
      <c r="AG2439" t="str">
        <f>HYPERLINK("https://doi.org/10.1515/9781474415927")</f>
        <v>https://doi.org/10.1515/9781474415927</v>
      </c>
      <c r="AH2439" t="str">
        <f>HYPERLINK("http://www.degruyter.com/isbn/9781474415927")</f>
        <v>http://www.degruyter.com/isbn/9781474415927</v>
      </c>
      <c r="AI2439" t="s">
        <v>222</v>
      </c>
      <c r="AL2439" t="s">
        <v>83</v>
      </c>
      <c r="AM2439">
        <v>1</v>
      </c>
      <c r="AN2439" s="2">
        <v>9781474415910</v>
      </c>
    </row>
    <row r="2440" spans="1:40" x14ac:dyDescent="0.3">
      <c r="A2440" t="s">
        <v>11639</v>
      </c>
      <c r="B2440" t="s">
        <v>1</v>
      </c>
      <c r="C2440" t="s">
        <v>11640</v>
      </c>
      <c r="E2440" t="s">
        <v>11641</v>
      </c>
      <c r="F2440" t="s">
        <v>5</v>
      </c>
      <c r="G2440" t="s">
        <v>6</v>
      </c>
      <c r="L2440" t="s">
        <v>7</v>
      </c>
      <c r="M2440">
        <v>2012</v>
      </c>
      <c r="N2440" s="1">
        <v>41040</v>
      </c>
      <c r="O2440" t="s">
        <v>11642</v>
      </c>
      <c r="P2440">
        <v>1</v>
      </c>
      <c r="Q2440" t="s">
        <v>7047</v>
      </c>
      <c r="S2440">
        <v>191.95</v>
      </c>
      <c r="T2440">
        <v>220</v>
      </c>
      <c r="U2440">
        <v>170</v>
      </c>
      <c r="V2440" t="s">
        <v>42</v>
      </c>
      <c r="W2440" t="s">
        <v>107</v>
      </c>
      <c r="X2440" t="s">
        <v>108</v>
      </c>
      <c r="Y2440" t="s">
        <v>109</v>
      </c>
      <c r="AF2440" t="s">
        <v>13</v>
      </c>
      <c r="AG2440" t="str">
        <f>HYPERLINK("https://doi.org/10.1515/9780748655144")</f>
        <v>https://doi.org/10.1515/9780748655144</v>
      </c>
      <c r="AH2440" t="str">
        <f>HYPERLINK("http://www.degruyter.com/isbn/9780748655144")</f>
        <v>http://www.degruyter.com/isbn/9780748655144</v>
      </c>
      <c r="AI2440" t="s">
        <v>68</v>
      </c>
      <c r="AL2440" t="s">
        <v>47</v>
      </c>
      <c r="AM2440">
        <v>1</v>
      </c>
      <c r="AN2440" s="2">
        <v>9780748641246</v>
      </c>
    </row>
    <row r="2441" spans="1:40" x14ac:dyDescent="0.3">
      <c r="A2441" t="s">
        <v>11643</v>
      </c>
      <c r="B2441" t="s">
        <v>1</v>
      </c>
      <c r="C2441" t="s">
        <v>11644</v>
      </c>
      <c r="E2441" t="s">
        <v>11645</v>
      </c>
      <c r="F2441" t="s">
        <v>5</v>
      </c>
      <c r="G2441" t="s">
        <v>6</v>
      </c>
      <c r="L2441" t="s">
        <v>7</v>
      </c>
      <c r="M2441">
        <v>2006</v>
      </c>
      <c r="N2441" s="1">
        <v>38765</v>
      </c>
      <c r="O2441" t="s">
        <v>11646</v>
      </c>
      <c r="P2441">
        <v>1</v>
      </c>
      <c r="Q2441" t="s">
        <v>6820</v>
      </c>
      <c r="S2441">
        <v>217.95</v>
      </c>
      <c r="T2441">
        <v>250</v>
      </c>
      <c r="U2441">
        <v>190</v>
      </c>
      <c r="V2441" t="s">
        <v>305</v>
      </c>
      <c r="W2441" t="s">
        <v>2566</v>
      </c>
      <c r="X2441" t="s">
        <v>2567</v>
      </c>
      <c r="Y2441" t="s">
        <v>2833</v>
      </c>
      <c r="AF2441" t="s">
        <v>13</v>
      </c>
      <c r="AG2441" t="str">
        <f>HYPERLINK("https://doi.org/10.1515/9780748626472")</f>
        <v>https://doi.org/10.1515/9780748626472</v>
      </c>
      <c r="AH2441" t="str">
        <f>HYPERLINK("http://www.degruyter.com/isbn/9780748626472")</f>
        <v>http://www.degruyter.com/isbn/9780748626472</v>
      </c>
      <c r="AI2441" t="s">
        <v>68</v>
      </c>
      <c r="AL2441" t="s">
        <v>308</v>
      </c>
      <c r="AM2441">
        <v>1</v>
      </c>
      <c r="AN2441" s="2">
        <v>9780748616954</v>
      </c>
    </row>
    <row r="2442" spans="1:40" x14ac:dyDescent="0.3">
      <c r="A2442" t="s">
        <v>11647</v>
      </c>
      <c r="B2442" t="s">
        <v>1</v>
      </c>
      <c r="C2442" t="s">
        <v>11648</v>
      </c>
      <c r="D2442" t="s">
        <v>11649</v>
      </c>
      <c r="E2442" t="s">
        <v>11650</v>
      </c>
      <c r="F2442" t="s">
        <v>5</v>
      </c>
      <c r="G2442" t="s">
        <v>6</v>
      </c>
      <c r="L2442" t="s">
        <v>7</v>
      </c>
      <c r="M2442">
        <v>2015</v>
      </c>
      <c r="N2442" s="1">
        <v>42212</v>
      </c>
      <c r="O2442" t="s">
        <v>10084</v>
      </c>
      <c r="P2442">
        <v>1</v>
      </c>
      <c r="Q2442" t="s">
        <v>6659</v>
      </c>
      <c r="S2442">
        <v>253.95</v>
      </c>
      <c r="T2442">
        <v>290</v>
      </c>
      <c r="U2442">
        <v>220</v>
      </c>
      <c r="V2442" t="s">
        <v>268</v>
      </c>
      <c r="W2442" t="s">
        <v>705</v>
      </c>
      <c r="X2442" t="s">
        <v>706</v>
      </c>
      <c r="Y2442" t="s">
        <v>707</v>
      </c>
      <c r="AF2442" t="s">
        <v>13</v>
      </c>
      <c r="AG2442" t="str">
        <f>HYPERLINK("https://doi.org/10.1515/9780748682140")</f>
        <v>https://doi.org/10.1515/9780748682140</v>
      </c>
      <c r="AH2442" t="str">
        <f>HYPERLINK("http://www.degruyter.com/isbn/9780748682140")</f>
        <v>http://www.degruyter.com/isbn/9780748682140</v>
      </c>
      <c r="AI2442" t="s">
        <v>11651</v>
      </c>
      <c r="AL2442" t="s">
        <v>272</v>
      </c>
      <c r="AM2442">
        <v>1</v>
      </c>
      <c r="AN2442" s="2">
        <v>9780748682133</v>
      </c>
    </row>
    <row r="2443" spans="1:40" x14ac:dyDescent="0.3">
      <c r="A2443" t="s">
        <v>11652</v>
      </c>
      <c r="B2443" t="s">
        <v>1</v>
      </c>
      <c r="C2443" t="s">
        <v>11653</v>
      </c>
      <c r="D2443" t="s">
        <v>11654</v>
      </c>
      <c r="E2443" t="s">
        <v>11655</v>
      </c>
      <c r="F2443" t="s">
        <v>5</v>
      </c>
      <c r="G2443" t="s">
        <v>6</v>
      </c>
      <c r="L2443" t="s">
        <v>7</v>
      </c>
      <c r="M2443">
        <v>2016</v>
      </c>
      <c r="N2443" s="1">
        <v>42538</v>
      </c>
      <c r="O2443" t="s">
        <v>10186</v>
      </c>
      <c r="P2443">
        <v>1</v>
      </c>
      <c r="Q2443" t="s">
        <v>6876</v>
      </c>
      <c r="S2443">
        <v>217.95</v>
      </c>
      <c r="T2443">
        <v>250</v>
      </c>
      <c r="U2443">
        <v>190</v>
      </c>
      <c r="V2443" t="s">
        <v>20</v>
      </c>
      <c r="W2443" t="s">
        <v>21</v>
      </c>
      <c r="X2443" t="s">
        <v>458</v>
      </c>
      <c r="Y2443" t="s">
        <v>1816</v>
      </c>
      <c r="AF2443" t="s">
        <v>13</v>
      </c>
      <c r="AG2443" t="str">
        <f>HYPERLINK("https://doi.org/10.1515/9781474405799")</f>
        <v>https://doi.org/10.1515/9781474405799</v>
      </c>
      <c r="AH2443" t="str">
        <f>HYPERLINK("http://www.degruyter.com/isbn/9781474405799")</f>
        <v>http://www.degruyter.com/isbn/9781474405799</v>
      </c>
      <c r="AI2443" t="s">
        <v>180</v>
      </c>
      <c r="AL2443" t="s">
        <v>15</v>
      </c>
      <c r="AM2443">
        <v>1</v>
      </c>
      <c r="AN2443" s="2">
        <v>9780748641321</v>
      </c>
    </row>
    <row r="2444" spans="1:40" x14ac:dyDescent="0.3">
      <c r="A2444" t="s">
        <v>11656</v>
      </c>
      <c r="B2444" t="s">
        <v>1</v>
      </c>
      <c r="C2444" t="s">
        <v>11657</v>
      </c>
      <c r="D2444" t="s">
        <v>11658</v>
      </c>
      <c r="E2444" t="s">
        <v>11659</v>
      </c>
      <c r="F2444" t="s">
        <v>5</v>
      </c>
      <c r="G2444" t="s">
        <v>6</v>
      </c>
      <c r="L2444" t="s">
        <v>7</v>
      </c>
      <c r="M2444">
        <v>2015</v>
      </c>
      <c r="N2444" s="1">
        <v>42141</v>
      </c>
      <c r="O2444" t="s">
        <v>11660</v>
      </c>
      <c r="P2444">
        <v>1</v>
      </c>
      <c r="Q2444" t="s">
        <v>6539</v>
      </c>
      <c r="S2444">
        <v>217.95</v>
      </c>
      <c r="T2444">
        <v>250</v>
      </c>
      <c r="U2444">
        <v>190</v>
      </c>
      <c r="V2444" t="s">
        <v>42</v>
      </c>
      <c r="W2444" t="s">
        <v>116</v>
      </c>
      <c r="X2444" t="s">
        <v>116</v>
      </c>
      <c r="Y2444" t="s">
        <v>117</v>
      </c>
      <c r="AF2444" t="s">
        <v>13</v>
      </c>
      <c r="AG2444" t="str">
        <f>HYPERLINK("https://doi.org/10.1515/9780748690930?locatt=mode:legacy")</f>
        <v>https://doi.org/10.1515/9780748690930?locatt=mode:legacy</v>
      </c>
      <c r="AH2444" t="str">
        <f>HYPERLINK("http://www.degruyter.com/isbn/9780748690930")</f>
        <v>http://www.degruyter.com/isbn/9780748690930</v>
      </c>
      <c r="AI2444" t="s">
        <v>34</v>
      </c>
      <c r="AL2444" t="s">
        <v>47</v>
      </c>
      <c r="AM2444">
        <v>1</v>
      </c>
      <c r="AN2444" s="2">
        <v>9780748690923</v>
      </c>
    </row>
    <row r="2445" spans="1:40" x14ac:dyDescent="0.3">
      <c r="A2445" t="s">
        <v>11661</v>
      </c>
      <c r="B2445" t="s">
        <v>1</v>
      </c>
      <c r="C2445" t="s">
        <v>11662</v>
      </c>
      <c r="D2445" t="s">
        <v>11663</v>
      </c>
      <c r="E2445" t="s">
        <v>11664</v>
      </c>
      <c r="F2445" t="s">
        <v>5</v>
      </c>
      <c r="G2445" t="s">
        <v>6</v>
      </c>
      <c r="L2445" t="s">
        <v>7</v>
      </c>
      <c r="M2445">
        <v>2016</v>
      </c>
      <c r="N2445" s="1">
        <v>42550</v>
      </c>
      <c r="O2445" t="s">
        <v>11665</v>
      </c>
      <c r="P2445">
        <v>1</v>
      </c>
      <c r="Q2445" t="s">
        <v>7423</v>
      </c>
      <c r="S2445">
        <v>217.95</v>
      </c>
      <c r="T2445">
        <v>250</v>
      </c>
      <c r="U2445">
        <v>190</v>
      </c>
      <c r="V2445" t="s">
        <v>98</v>
      </c>
      <c r="W2445" t="s">
        <v>99</v>
      </c>
      <c r="X2445" t="s">
        <v>100</v>
      </c>
      <c r="Y2445" t="s">
        <v>937</v>
      </c>
      <c r="AF2445" t="s">
        <v>13</v>
      </c>
      <c r="AG2445" t="str">
        <f>HYPERLINK("https://doi.org/10.1515/9781474411691")</f>
        <v>https://doi.org/10.1515/9781474411691</v>
      </c>
      <c r="AH2445" t="str">
        <f>HYPERLINK("http://www.degruyter.com/isbn/9781474411691")</f>
        <v>http://www.degruyter.com/isbn/9781474411691</v>
      </c>
      <c r="AI2445" t="s">
        <v>180</v>
      </c>
      <c r="AL2445" t="s">
        <v>102</v>
      </c>
      <c r="AM2445">
        <v>1</v>
      </c>
      <c r="AN2445" s="2">
        <v>9781474411684</v>
      </c>
    </row>
    <row r="2446" spans="1:40" x14ac:dyDescent="0.3">
      <c r="A2446" t="s">
        <v>11666</v>
      </c>
      <c r="B2446" t="s">
        <v>1</v>
      </c>
      <c r="C2446" t="s">
        <v>11667</v>
      </c>
      <c r="E2446" t="s">
        <v>11668</v>
      </c>
      <c r="F2446" t="s">
        <v>5</v>
      </c>
      <c r="G2446" t="s">
        <v>6</v>
      </c>
      <c r="L2446" t="s">
        <v>7</v>
      </c>
      <c r="M2446">
        <v>2002</v>
      </c>
      <c r="N2446" s="1">
        <v>44607</v>
      </c>
      <c r="O2446" t="s">
        <v>11669</v>
      </c>
      <c r="P2446">
        <v>1</v>
      </c>
      <c r="Q2446" t="s">
        <v>6815</v>
      </c>
      <c r="S2446">
        <v>217.95</v>
      </c>
      <c r="T2446">
        <v>250</v>
      </c>
      <c r="U2446">
        <v>190</v>
      </c>
      <c r="V2446" t="s">
        <v>305</v>
      </c>
      <c r="W2446" t="s">
        <v>2566</v>
      </c>
      <c r="X2446" t="s">
        <v>10944</v>
      </c>
      <c r="Y2446" t="s">
        <v>11670</v>
      </c>
      <c r="AF2446" t="s">
        <v>13</v>
      </c>
      <c r="AG2446" t="str">
        <f>HYPERLINK("https://doi.org/10.1515/9781474473521")</f>
        <v>https://doi.org/10.1515/9781474473521</v>
      </c>
      <c r="AH2446" t="str">
        <f>HYPERLINK("http://www.degruyter.com/isbn/9781474473521")</f>
        <v>http://www.degruyter.com/isbn/9781474473521</v>
      </c>
      <c r="AI2446" t="s">
        <v>68</v>
      </c>
      <c r="AL2446" t="s">
        <v>308</v>
      </c>
      <c r="AM2446">
        <v>1</v>
      </c>
      <c r="AN2446" s="2">
        <v>9781853312038</v>
      </c>
    </row>
    <row r="2447" spans="1:40" x14ac:dyDescent="0.3">
      <c r="A2447" t="s">
        <v>11671</v>
      </c>
      <c r="B2447" t="s">
        <v>1</v>
      </c>
      <c r="C2447" t="s">
        <v>11672</v>
      </c>
      <c r="E2447" t="s">
        <v>11673</v>
      </c>
      <c r="F2447" t="s">
        <v>5</v>
      </c>
      <c r="G2447" t="s">
        <v>6</v>
      </c>
      <c r="L2447" t="s">
        <v>7</v>
      </c>
      <c r="M2447">
        <v>2010</v>
      </c>
      <c r="N2447" s="1">
        <v>40355</v>
      </c>
      <c r="O2447" t="s">
        <v>11674</v>
      </c>
      <c r="P2447">
        <v>1</v>
      </c>
      <c r="Q2447" t="s">
        <v>6606</v>
      </c>
      <c r="S2447">
        <v>253.95</v>
      </c>
      <c r="T2447">
        <v>290</v>
      </c>
      <c r="U2447">
        <v>220</v>
      </c>
      <c r="V2447" t="s">
        <v>79</v>
      </c>
      <c r="W2447" t="s">
        <v>209</v>
      </c>
      <c r="X2447" t="s">
        <v>209</v>
      </c>
      <c r="Y2447" t="s">
        <v>510</v>
      </c>
      <c r="AF2447" t="s">
        <v>13</v>
      </c>
      <c r="AG2447" t="str">
        <f>HYPERLINK("https://doi.org/10.1515/9780748641635?locatt=mode:legacy")</f>
        <v>https://doi.org/10.1515/9780748641635?locatt=mode:legacy</v>
      </c>
      <c r="AH2447" t="str">
        <f>HYPERLINK("http://www.degruyter.com/isbn/9780748641635")</f>
        <v>http://www.degruyter.com/isbn/9780748641635</v>
      </c>
      <c r="AI2447" t="s">
        <v>68</v>
      </c>
      <c r="AL2447" t="s">
        <v>83</v>
      </c>
      <c r="AM2447">
        <v>1</v>
      </c>
      <c r="AN2447" s="2">
        <v>9780748638000</v>
      </c>
    </row>
    <row r="2448" spans="1:40" x14ac:dyDescent="0.3">
      <c r="A2448" t="s">
        <v>11675</v>
      </c>
      <c r="B2448" t="s">
        <v>1</v>
      </c>
      <c r="C2448" t="s">
        <v>11676</v>
      </c>
      <c r="D2448" t="s">
        <v>11677</v>
      </c>
      <c r="E2448" t="s">
        <v>11678</v>
      </c>
      <c r="F2448" t="s">
        <v>5</v>
      </c>
      <c r="G2448" t="s">
        <v>6</v>
      </c>
      <c r="L2448" t="s">
        <v>7</v>
      </c>
      <c r="M2448">
        <v>2014</v>
      </c>
      <c r="N2448" s="1">
        <v>41737</v>
      </c>
      <c r="O2448" t="s">
        <v>11679</v>
      </c>
      <c r="P2448">
        <v>1</v>
      </c>
      <c r="Q2448" t="s">
        <v>7238</v>
      </c>
      <c r="S2448">
        <v>227.95</v>
      </c>
      <c r="T2448">
        <v>260</v>
      </c>
      <c r="U2448">
        <v>200</v>
      </c>
      <c r="V2448" t="s">
        <v>329</v>
      </c>
      <c r="W2448" t="s">
        <v>330</v>
      </c>
      <c r="X2448" t="s">
        <v>331</v>
      </c>
      <c r="Y2448" t="s">
        <v>4770</v>
      </c>
      <c r="AF2448" t="s">
        <v>13</v>
      </c>
      <c r="AG2448" t="str">
        <f>HYPERLINK("https://doi.org/10.1515/9780748691272")</f>
        <v>https://doi.org/10.1515/9780748691272</v>
      </c>
      <c r="AH2448" t="str">
        <f>HYPERLINK("http://www.degruyter.com/isbn/9780748691272")</f>
        <v>http://www.degruyter.com/isbn/9780748691272</v>
      </c>
      <c r="AI2448" t="s">
        <v>34</v>
      </c>
      <c r="AL2448" t="s">
        <v>333</v>
      </c>
      <c r="AM2448">
        <v>1</v>
      </c>
      <c r="AN2448" s="2">
        <v>9780748691265</v>
      </c>
    </row>
    <row r="2449" spans="1:40" x14ac:dyDescent="0.3">
      <c r="A2449" t="s">
        <v>11680</v>
      </c>
      <c r="B2449" t="s">
        <v>1</v>
      </c>
      <c r="C2449" t="s">
        <v>11681</v>
      </c>
      <c r="E2449" t="s">
        <v>11682</v>
      </c>
      <c r="F2449" t="s">
        <v>5</v>
      </c>
      <c r="G2449" t="s">
        <v>6</v>
      </c>
      <c r="L2449" t="s">
        <v>7</v>
      </c>
      <c r="M2449">
        <v>2021</v>
      </c>
      <c r="N2449" s="1">
        <v>44644</v>
      </c>
      <c r="O2449" t="s">
        <v>11683</v>
      </c>
      <c r="P2449">
        <v>1</v>
      </c>
      <c r="Q2449" t="s">
        <v>6729</v>
      </c>
      <c r="S2449">
        <v>217.95</v>
      </c>
      <c r="T2449">
        <v>250</v>
      </c>
      <c r="U2449">
        <v>190</v>
      </c>
      <c r="V2449" t="s">
        <v>79</v>
      </c>
      <c r="W2449" t="s">
        <v>734</v>
      </c>
      <c r="X2449" t="s">
        <v>734</v>
      </c>
      <c r="Y2449" t="s">
        <v>735</v>
      </c>
      <c r="AF2449" t="s">
        <v>13</v>
      </c>
      <c r="AG2449" t="str">
        <f>HYPERLINK("https://doi.org/10.1515/9781474485890")</f>
        <v>https://doi.org/10.1515/9781474485890</v>
      </c>
      <c r="AH2449" t="str">
        <f>HYPERLINK("http://www.degruyter.com/isbn/9781474485890")</f>
        <v>http://www.degruyter.com/isbn/9781474485890</v>
      </c>
      <c r="AI2449" t="s">
        <v>11684</v>
      </c>
      <c r="AL2449" t="s">
        <v>83</v>
      </c>
      <c r="AM2449">
        <v>1</v>
      </c>
      <c r="AN2449" s="2">
        <v>9781474485869</v>
      </c>
    </row>
    <row r="2450" spans="1:40" x14ac:dyDescent="0.3">
      <c r="A2450" t="s">
        <v>11685</v>
      </c>
      <c r="B2450" t="s">
        <v>1</v>
      </c>
      <c r="C2450" t="s">
        <v>11686</v>
      </c>
      <c r="D2450" t="s">
        <v>11687</v>
      </c>
      <c r="E2450" t="s">
        <v>11688</v>
      </c>
      <c r="F2450" t="s">
        <v>5</v>
      </c>
      <c r="G2450" t="s">
        <v>6</v>
      </c>
      <c r="K2450" t="s">
        <v>929</v>
      </c>
      <c r="L2450" t="s">
        <v>7</v>
      </c>
      <c r="M2450">
        <v>2019</v>
      </c>
      <c r="N2450" s="1">
        <v>43800</v>
      </c>
      <c r="O2450" t="s">
        <v>11689</v>
      </c>
      <c r="P2450">
        <v>1</v>
      </c>
      <c r="Q2450" t="s">
        <v>7059</v>
      </c>
      <c r="V2450" t="s">
        <v>9</v>
      </c>
      <c r="W2450" t="s">
        <v>10</v>
      </c>
      <c r="X2450" t="s">
        <v>44</v>
      </c>
      <c r="Y2450" t="s">
        <v>7060</v>
      </c>
      <c r="AF2450" t="s">
        <v>13</v>
      </c>
      <c r="AG2450" t="str">
        <f>HYPERLINK("https://doi.org/10.1515/9781474431095")</f>
        <v>https://doi.org/10.1515/9781474431095</v>
      </c>
      <c r="AH2450" t="str">
        <f>HYPERLINK("http://www.degruyter.com/isbn/9781474431095")</f>
        <v>http://www.degruyter.com/isbn/9781474431095</v>
      </c>
      <c r="AI2450" t="s">
        <v>280</v>
      </c>
      <c r="AM2450">
        <v>1</v>
      </c>
      <c r="AN2450" s="2"/>
    </row>
    <row r="2451" spans="1:40" x14ac:dyDescent="0.3">
      <c r="A2451" t="s">
        <v>11690</v>
      </c>
      <c r="B2451" t="s">
        <v>1</v>
      </c>
      <c r="C2451" t="s">
        <v>11691</v>
      </c>
      <c r="D2451" t="s">
        <v>11692</v>
      </c>
      <c r="E2451" t="s">
        <v>11693</v>
      </c>
      <c r="F2451" t="s">
        <v>5</v>
      </c>
      <c r="G2451" t="s">
        <v>6</v>
      </c>
      <c r="L2451" t="s">
        <v>7</v>
      </c>
      <c r="M2451">
        <v>2008</v>
      </c>
      <c r="N2451" s="1">
        <v>39532</v>
      </c>
      <c r="O2451" t="s">
        <v>1318</v>
      </c>
      <c r="P2451">
        <v>1</v>
      </c>
      <c r="Q2451" t="s">
        <v>6785</v>
      </c>
      <c r="S2451">
        <v>217.95</v>
      </c>
      <c r="T2451">
        <v>250</v>
      </c>
      <c r="U2451">
        <v>190</v>
      </c>
      <c r="V2451" t="s">
        <v>58</v>
      </c>
      <c r="W2451" t="s">
        <v>59</v>
      </c>
      <c r="X2451" t="s">
        <v>60</v>
      </c>
      <c r="Y2451" t="s">
        <v>73</v>
      </c>
      <c r="AF2451" t="s">
        <v>13</v>
      </c>
      <c r="AG2451" t="str">
        <f>HYPERLINK("https://doi.org/10.1515/9780748633661?locatt=mode:legacy")</f>
        <v>https://doi.org/10.1515/9780748633661?locatt=mode:legacy</v>
      </c>
      <c r="AH2451" t="str">
        <f>HYPERLINK("http://www.degruyter.com/isbn/9780748633661")</f>
        <v>http://www.degruyter.com/isbn/9780748633661</v>
      </c>
      <c r="AI2451" t="s">
        <v>68</v>
      </c>
      <c r="AL2451" t="s">
        <v>62</v>
      </c>
      <c r="AM2451">
        <v>1</v>
      </c>
      <c r="AN2451" s="2">
        <v>9780748633654</v>
      </c>
    </row>
    <row r="2452" spans="1:40" x14ac:dyDescent="0.3">
      <c r="A2452" t="s">
        <v>11694</v>
      </c>
      <c r="B2452" t="s">
        <v>1</v>
      </c>
      <c r="C2452" t="s">
        <v>11695</v>
      </c>
      <c r="D2452" t="s">
        <v>4112</v>
      </c>
      <c r="E2452" t="s">
        <v>11696</v>
      </c>
      <c r="F2452" t="s">
        <v>5</v>
      </c>
      <c r="G2452" t="s">
        <v>6</v>
      </c>
      <c r="L2452" t="s">
        <v>7</v>
      </c>
      <c r="M2452">
        <v>2020</v>
      </c>
      <c r="N2452" s="1">
        <v>44644</v>
      </c>
      <c r="O2452" t="s">
        <v>545</v>
      </c>
      <c r="P2452">
        <v>1</v>
      </c>
      <c r="Q2452" t="s">
        <v>7449</v>
      </c>
      <c r="S2452">
        <v>209.95</v>
      </c>
      <c r="T2452">
        <v>240</v>
      </c>
      <c r="U2452">
        <v>180</v>
      </c>
      <c r="V2452" t="s">
        <v>79</v>
      </c>
      <c r="W2452" t="s">
        <v>123</v>
      </c>
      <c r="X2452" t="s">
        <v>123</v>
      </c>
      <c r="Y2452" t="s">
        <v>124</v>
      </c>
      <c r="AF2452" t="s">
        <v>13</v>
      </c>
      <c r="AG2452" t="str">
        <f>HYPERLINK("https://doi.org/10.1515/9781474456531")</f>
        <v>https://doi.org/10.1515/9781474456531</v>
      </c>
      <c r="AH2452" t="str">
        <f>HYPERLINK("http://www.degruyter.com/isbn/9781474456531")</f>
        <v>http://www.degruyter.com/isbn/9781474456531</v>
      </c>
      <c r="AI2452" t="s">
        <v>14</v>
      </c>
      <c r="AL2452" t="s">
        <v>83</v>
      </c>
      <c r="AM2452">
        <v>1</v>
      </c>
      <c r="AN2452" s="2">
        <v>9781474456517</v>
      </c>
    </row>
    <row r="2453" spans="1:40" x14ac:dyDescent="0.3">
      <c r="A2453" t="s">
        <v>11697</v>
      </c>
      <c r="B2453" t="s">
        <v>1</v>
      </c>
      <c r="C2453" t="s">
        <v>11698</v>
      </c>
      <c r="D2453" t="s">
        <v>11699</v>
      </c>
      <c r="E2453" t="s">
        <v>11700</v>
      </c>
      <c r="F2453" t="s">
        <v>5</v>
      </c>
      <c r="G2453" t="s">
        <v>6</v>
      </c>
      <c r="L2453" t="s">
        <v>7</v>
      </c>
      <c r="M2453">
        <v>2005</v>
      </c>
      <c r="N2453" s="1">
        <v>38524</v>
      </c>
      <c r="O2453" t="s">
        <v>11701</v>
      </c>
      <c r="P2453">
        <v>1</v>
      </c>
      <c r="Q2453" t="s">
        <v>6929</v>
      </c>
      <c r="S2453">
        <v>217.95</v>
      </c>
      <c r="T2453">
        <v>250</v>
      </c>
      <c r="U2453">
        <v>190</v>
      </c>
      <c r="V2453" t="s">
        <v>297</v>
      </c>
      <c r="W2453" t="s">
        <v>1925</v>
      </c>
      <c r="X2453" t="s">
        <v>1925</v>
      </c>
      <c r="Y2453" t="s">
        <v>1926</v>
      </c>
      <c r="AF2453" t="s">
        <v>13</v>
      </c>
      <c r="AG2453" t="str">
        <f>HYPERLINK("https://doi.org/10.1515/9781474472753")</f>
        <v>https://doi.org/10.1515/9781474472753</v>
      </c>
      <c r="AH2453" t="str">
        <f>HYPERLINK("http://www.degruyter.com/isbn/9781474472753")</f>
        <v>http://www.degruyter.com/isbn/9781474472753</v>
      </c>
      <c r="AI2453" t="s">
        <v>68</v>
      </c>
      <c r="AJ2453" t="s">
        <v>35</v>
      </c>
      <c r="AL2453" t="s">
        <v>718</v>
      </c>
      <c r="AM2453">
        <v>1</v>
      </c>
      <c r="AN2453" s="2">
        <v>9780748622856</v>
      </c>
    </row>
    <row r="2454" spans="1:40" x14ac:dyDescent="0.3">
      <c r="A2454" t="s">
        <v>11702</v>
      </c>
      <c r="B2454" t="s">
        <v>1</v>
      </c>
      <c r="C2454" t="s">
        <v>11703</v>
      </c>
      <c r="D2454" t="s">
        <v>11704</v>
      </c>
      <c r="E2454" t="s">
        <v>11705</v>
      </c>
      <c r="F2454" t="s">
        <v>5</v>
      </c>
      <c r="G2454" t="s">
        <v>6</v>
      </c>
      <c r="L2454" t="s">
        <v>7</v>
      </c>
      <c r="M2454">
        <v>2020</v>
      </c>
      <c r="N2454" s="1">
        <v>44656</v>
      </c>
      <c r="O2454" t="s">
        <v>11706</v>
      </c>
      <c r="P2454">
        <v>1</v>
      </c>
      <c r="Q2454" t="s">
        <v>10362</v>
      </c>
      <c r="S2454">
        <v>217.95</v>
      </c>
      <c r="T2454">
        <v>250</v>
      </c>
      <c r="U2454">
        <v>190</v>
      </c>
      <c r="V2454" t="s">
        <v>305</v>
      </c>
      <c r="W2454" t="s">
        <v>306</v>
      </c>
      <c r="X2454" t="s">
        <v>306</v>
      </c>
      <c r="Y2454" t="s">
        <v>2057</v>
      </c>
      <c r="AF2454" t="s">
        <v>13</v>
      </c>
      <c r="AG2454" t="str">
        <f>HYPERLINK("https://doi.org/10.1515/9781474428798?locatt=mode:legacy")</f>
        <v>https://doi.org/10.1515/9781474428798?locatt=mode:legacy</v>
      </c>
      <c r="AH2454" t="str">
        <f>HYPERLINK("http://www.degruyter.com/isbn/9781474428798")</f>
        <v>http://www.degruyter.com/isbn/9781474428798</v>
      </c>
      <c r="AI2454" t="s">
        <v>3672</v>
      </c>
      <c r="AL2454" t="s">
        <v>308</v>
      </c>
      <c r="AM2454">
        <v>1</v>
      </c>
      <c r="AN2454" s="2">
        <v>9781474428774</v>
      </c>
    </row>
    <row r="2455" spans="1:40" x14ac:dyDescent="0.3">
      <c r="A2455" t="s">
        <v>11707</v>
      </c>
      <c r="B2455" t="s">
        <v>1</v>
      </c>
      <c r="C2455" t="s">
        <v>11708</v>
      </c>
      <c r="E2455" t="s">
        <v>11709</v>
      </c>
      <c r="F2455" t="s">
        <v>5</v>
      </c>
      <c r="G2455" t="s">
        <v>6</v>
      </c>
      <c r="L2455" t="s">
        <v>7</v>
      </c>
      <c r="M2455">
        <v>2020</v>
      </c>
      <c r="N2455" s="1">
        <v>44644</v>
      </c>
      <c r="O2455" t="s">
        <v>11710</v>
      </c>
      <c r="P2455">
        <v>1</v>
      </c>
      <c r="Q2455" t="s">
        <v>6606</v>
      </c>
      <c r="S2455">
        <v>217.95</v>
      </c>
      <c r="T2455">
        <v>250</v>
      </c>
      <c r="U2455">
        <v>190</v>
      </c>
      <c r="V2455" t="s">
        <v>79</v>
      </c>
      <c r="W2455" t="s">
        <v>123</v>
      </c>
      <c r="X2455" t="s">
        <v>123</v>
      </c>
      <c r="Y2455" t="s">
        <v>124</v>
      </c>
      <c r="AF2455" t="s">
        <v>13</v>
      </c>
      <c r="AG2455" t="str">
        <f>HYPERLINK("https://doi.org/10.1515/9781474449007?locatt=mode:legacy")</f>
        <v>https://doi.org/10.1515/9781474449007?locatt=mode:legacy</v>
      </c>
      <c r="AH2455" t="str">
        <f>HYPERLINK("http://www.degruyter.com/isbn/9781474449007")</f>
        <v>http://www.degruyter.com/isbn/9781474449007</v>
      </c>
      <c r="AI2455" t="s">
        <v>14</v>
      </c>
      <c r="AL2455" t="s">
        <v>83</v>
      </c>
      <c r="AM2455">
        <v>1</v>
      </c>
      <c r="AN2455" s="2">
        <v>9781474448987</v>
      </c>
    </row>
    <row r="2456" spans="1:40" x14ac:dyDescent="0.3">
      <c r="A2456" t="s">
        <v>11711</v>
      </c>
      <c r="B2456" t="s">
        <v>1</v>
      </c>
      <c r="C2456" t="s">
        <v>11712</v>
      </c>
      <c r="D2456" t="s">
        <v>11713</v>
      </c>
      <c r="E2456" t="s">
        <v>11714</v>
      </c>
      <c r="F2456" t="s">
        <v>5</v>
      </c>
      <c r="G2456" t="s">
        <v>6</v>
      </c>
      <c r="L2456" t="s">
        <v>7</v>
      </c>
      <c r="M2456">
        <v>2007</v>
      </c>
      <c r="N2456" s="1">
        <v>39335</v>
      </c>
      <c r="O2456" t="s">
        <v>614</v>
      </c>
      <c r="P2456">
        <v>1</v>
      </c>
      <c r="Q2456" t="s">
        <v>8048</v>
      </c>
      <c r="S2456">
        <v>279.95</v>
      </c>
      <c r="T2456">
        <v>320</v>
      </c>
      <c r="U2456">
        <v>240</v>
      </c>
      <c r="V2456" t="s">
        <v>79</v>
      </c>
      <c r="W2456" t="s">
        <v>123</v>
      </c>
      <c r="X2456" t="s">
        <v>123</v>
      </c>
      <c r="Y2456" t="s">
        <v>124</v>
      </c>
      <c r="AF2456" t="s">
        <v>13</v>
      </c>
      <c r="AG2456" t="str">
        <f>HYPERLINK("https://doi.org/10.1515/9780748632237")</f>
        <v>https://doi.org/10.1515/9780748632237</v>
      </c>
      <c r="AH2456" t="str">
        <f>HYPERLINK("http://www.degruyter.com/isbn/9780748632237")</f>
        <v>http://www.degruyter.com/isbn/9780748632237</v>
      </c>
      <c r="AI2456" t="s">
        <v>68</v>
      </c>
      <c r="AL2456" t="s">
        <v>83</v>
      </c>
      <c r="AM2456">
        <v>1</v>
      </c>
      <c r="AN2456" s="2">
        <v>9780748632701</v>
      </c>
    </row>
    <row r="2457" spans="1:40" x14ac:dyDescent="0.3">
      <c r="A2457" t="s">
        <v>11715</v>
      </c>
      <c r="B2457" t="s">
        <v>1</v>
      </c>
      <c r="C2457" t="s">
        <v>11716</v>
      </c>
      <c r="E2457" t="s">
        <v>11717</v>
      </c>
      <c r="F2457" t="s">
        <v>5</v>
      </c>
      <c r="G2457" t="s">
        <v>6</v>
      </c>
      <c r="L2457" t="s">
        <v>7</v>
      </c>
      <c r="M2457">
        <v>2006</v>
      </c>
      <c r="N2457" s="1">
        <v>38856</v>
      </c>
      <c r="O2457" t="s">
        <v>11718</v>
      </c>
      <c r="P2457">
        <v>1</v>
      </c>
      <c r="Q2457" t="s">
        <v>7225</v>
      </c>
      <c r="S2457">
        <v>217.95</v>
      </c>
      <c r="T2457">
        <v>250</v>
      </c>
      <c r="U2457">
        <v>190</v>
      </c>
      <c r="V2457" t="s">
        <v>98</v>
      </c>
      <c r="W2457" t="s">
        <v>99</v>
      </c>
      <c r="X2457" t="s">
        <v>100</v>
      </c>
      <c r="Y2457" t="s">
        <v>7253</v>
      </c>
      <c r="AF2457" t="s">
        <v>13</v>
      </c>
      <c r="AG2457" t="str">
        <f>HYPERLINK("https://doi.org/10.1515/9780748626892")</f>
        <v>https://doi.org/10.1515/9780748626892</v>
      </c>
      <c r="AH2457" t="str">
        <f>HYPERLINK("http://www.degruyter.com/isbn/9780748626892")</f>
        <v>http://www.degruyter.com/isbn/9780748626892</v>
      </c>
      <c r="AI2457" t="s">
        <v>68</v>
      </c>
      <c r="AL2457" t="s">
        <v>102</v>
      </c>
      <c r="AM2457">
        <v>1</v>
      </c>
      <c r="AN2457" s="2">
        <v>9780748621118</v>
      </c>
    </row>
    <row r="2458" spans="1:40" x14ac:dyDescent="0.3">
      <c r="A2458" t="s">
        <v>11719</v>
      </c>
      <c r="B2458" t="s">
        <v>1</v>
      </c>
      <c r="C2458" t="s">
        <v>11720</v>
      </c>
      <c r="E2458" t="s">
        <v>11721</v>
      </c>
      <c r="F2458" t="s">
        <v>5</v>
      </c>
      <c r="G2458" t="s">
        <v>6</v>
      </c>
      <c r="L2458" t="s">
        <v>7</v>
      </c>
      <c r="M2458">
        <v>2014</v>
      </c>
      <c r="N2458" s="1">
        <v>41836</v>
      </c>
      <c r="O2458" t="s">
        <v>11722</v>
      </c>
      <c r="P2458">
        <v>1</v>
      </c>
      <c r="Q2458" t="s">
        <v>7052</v>
      </c>
      <c r="S2458">
        <v>217.95</v>
      </c>
      <c r="T2458">
        <v>250</v>
      </c>
      <c r="U2458">
        <v>190</v>
      </c>
      <c r="V2458" t="s">
        <v>42</v>
      </c>
      <c r="W2458" t="s">
        <v>107</v>
      </c>
      <c r="X2458" t="s">
        <v>108</v>
      </c>
      <c r="Y2458" t="s">
        <v>221</v>
      </c>
      <c r="AF2458" t="s">
        <v>13</v>
      </c>
      <c r="AG2458" t="str">
        <f>HYPERLINK("https://doi.org/10.1515/9780748684625")</f>
        <v>https://doi.org/10.1515/9780748684625</v>
      </c>
      <c r="AH2458" t="str">
        <f>HYPERLINK("http://www.degruyter.com/isbn/9780748684625")</f>
        <v>http://www.degruyter.com/isbn/9780748684625</v>
      </c>
      <c r="AI2458" t="s">
        <v>34</v>
      </c>
      <c r="AL2458" t="s">
        <v>47</v>
      </c>
      <c r="AM2458">
        <v>1</v>
      </c>
      <c r="AN2458" s="2">
        <v>9780748684618</v>
      </c>
    </row>
    <row r="2459" spans="1:40" x14ac:dyDescent="0.3">
      <c r="A2459" t="s">
        <v>11723</v>
      </c>
      <c r="B2459" t="s">
        <v>1</v>
      </c>
      <c r="C2459" t="s">
        <v>11724</v>
      </c>
      <c r="D2459" t="s">
        <v>11725</v>
      </c>
      <c r="E2459" t="s">
        <v>11726</v>
      </c>
      <c r="F2459" t="s">
        <v>5</v>
      </c>
      <c r="G2459" t="s">
        <v>6</v>
      </c>
      <c r="L2459" t="s">
        <v>7</v>
      </c>
      <c r="M2459">
        <v>2011</v>
      </c>
      <c r="N2459" s="1">
        <v>40771</v>
      </c>
      <c r="O2459" t="s">
        <v>11727</v>
      </c>
      <c r="P2459">
        <v>1</v>
      </c>
      <c r="Q2459" t="s">
        <v>6606</v>
      </c>
      <c r="S2459">
        <v>227.95</v>
      </c>
      <c r="T2459">
        <v>260</v>
      </c>
      <c r="U2459">
        <v>200</v>
      </c>
      <c r="V2459" t="s">
        <v>79</v>
      </c>
      <c r="W2459" t="s">
        <v>209</v>
      </c>
      <c r="X2459" t="s">
        <v>209</v>
      </c>
      <c r="Y2459" t="s">
        <v>510</v>
      </c>
      <c r="AF2459" t="s">
        <v>13</v>
      </c>
      <c r="AG2459" t="str">
        <f>HYPERLINK("https://doi.org/10.1515/9780748643608")</f>
        <v>https://doi.org/10.1515/9780748643608</v>
      </c>
      <c r="AH2459" t="str">
        <f>HYPERLINK("http://www.degruyter.com/isbn/9780748643608")</f>
        <v>http://www.degruyter.com/isbn/9780748643608</v>
      </c>
      <c r="AI2459" t="s">
        <v>68</v>
      </c>
      <c r="AL2459" t="s">
        <v>83</v>
      </c>
      <c r="AM2459">
        <v>1</v>
      </c>
      <c r="AN2459" s="2">
        <v>9780748643592</v>
      </c>
    </row>
    <row r="2460" spans="1:40" x14ac:dyDescent="0.3">
      <c r="A2460" t="s">
        <v>11728</v>
      </c>
      <c r="B2460" t="s">
        <v>1</v>
      </c>
      <c r="C2460" t="s">
        <v>11729</v>
      </c>
      <c r="D2460" t="s">
        <v>11730</v>
      </c>
      <c r="E2460" t="s">
        <v>11731</v>
      </c>
      <c r="F2460" t="s">
        <v>5</v>
      </c>
      <c r="G2460" t="s">
        <v>6</v>
      </c>
      <c r="L2460" t="s">
        <v>7</v>
      </c>
      <c r="M2460">
        <v>2019</v>
      </c>
      <c r="N2460" s="1">
        <v>44656</v>
      </c>
      <c r="O2460" t="s">
        <v>11732</v>
      </c>
      <c r="P2460">
        <v>1</v>
      </c>
      <c r="Q2460" t="s">
        <v>9604</v>
      </c>
      <c r="S2460">
        <v>217.95</v>
      </c>
      <c r="T2460">
        <v>250</v>
      </c>
      <c r="U2460">
        <v>190</v>
      </c>
      <c r="V2460" t="s">
        <v>58</v>
      </c>
      <c r="W2460" t="s">
        <v>59</v>
      </c>
      <c r="X2460" t="s">
        <v>60</v>
      </c>
      <c r="Y2460" t="s">
        <v>1171</v>
      </c>
      <c r="AF2460" t="s">
        <v>13</v>
      </c>
      <c r="AG2460" t="str">
        <f>HYPERLINK("https://doi.org/10.1515/9781474450249?locatt=mode:legacy")</f>
        <v>https://doi.org/10.1515/9781474450249?locatt=mode:legacy</v>
      </c>
      <c r="AH2460" t="str">
        <f>HYPERLINK("http://www.degruyter.com/isbn/9781474450249")</f>
        <v>http://www.degruyter.com/isbn/9781474450249</v>
      </c>
      <c r="AI2460" t="s">
        <v>280</v>
      </c>
      <c r="AL2460" t="s">
        <v>62</v>
      </c>
      <c r="AM2460">
        <v>1</v>
      </c>
      <c r="AN2460" s="2">
        <v>9781474450225</v>
      </c>
    </row>
    <row r="2461" spans="1:40" x14ac:dyDescent="0.3">
      <c r="A2461" t="s">
        <v>11733</v>
      </c>
      <c r="B2461" t="s">
        <v>1</v>
      </c>
      <c r="C2461" t="s">
        <v>224</v>
      </c>
      <c r="D2461" t="s">
        <v>7030</v>
      </c>
      <c r="E2461" t="s">
        <v>225</v>
      </c>
      <c r="F2461" t="s">
        <v>5</v>
      </c>
      <c r="G2461" t="s">
        <v>6</v>
      </c>
      <c r="L2461" t="s">
        <v>7</v>
      </c>
      <c r="M2461">
        <v>2009</v>
      </c>
      <c r="N2461" s="1">
        <v>39879</v>
      </c>
      <c r="O2461" t="s">
        <v>11734</v>
      </c>
      <c r="P2461">
        <v>1</v>
      </c>
      <c r="Q2461" t="s">
        <v>7033</v>
      </c>
      <c r="S2461">
        <v>253.95</v>
      </c>
      <c r="T2461">
        <v>290</v>
      </c>
      <c r="U2461">
        <v>220</v>
      </c>
      <c r="V2461" t="s">
        <v>79</v>
      </c>
      <c r="W2461" t="s">
        <v>227</v>
      </c>
      <c r="X2461" t="s">
        <v>228</v>
      </c>
      <c r="Y2461" t="s">
        <v>229</v>
      </c>
      <c r="AF2461" t="s">
        <v>13</v>
      </c>
      <c r="AG2461" t="str">
        <f>HYPERLINK("https://doi.org/10.1515/9780748631681")</f>
        <v>https://doi.org/10.1515/9780748631681</v>
      </c>
      <c r="AH2461" t="str">
        <f>HYPERLINK("http://www.degruyter.com/isbn/9780748631681")</f>
        <v>http://www.degruyter.com/isbn/9780748631681</v>
      </c>
      <c r="AI2461" t="s">
        <v>68</v>
      </c>
      <c r="AL2461" t="s">
        <v>83</v>
      </c>
      <c r="AM2461">
        <v>1</v>
      </c>
      <c r="AN2461" s="2">
        <v>9780748627783</v>
      </c>
    </row>
    <row r="2462" spans="1:40" x14ac:dyDescent="0.3">
      <c r="A2462" t="s">
        <v>11735</v>
      </c>
      <c r="B2462" t="s">
        <v>1</v>
      </c>
      <c r="C2462" t="s">
        <v>11736</v>
      </c>
      <c r="D2462" t="s">
        <v>11737</v>
      </c>
      <c r="E2462" t="s">
        <v>11738</v>
      </c>
      <c r="F2462" t="s">
        <v>5</v>
      </c>
      <c r="G2462" t="s">
        <v>6</v>
      </c>
      <c r="L2462" t="s">
        <v>7</v>
      </c>
      <c r="M2462">
        <v>2010</v>
      </c>
      <c r="N2462" s="1">
        <v>40359</v>
      </c>
      <c r="O2462" t="s">
        <v>11739</v>
      </c>
      <c r="P2462">
        <v>1</v>
      </c>
      <c r="Q2462" t="s">
        <v>8650</v>
      </c>
      <c r="S2462">
        <v>217.95</v>
      </c>
      <c r="T2462">
        <v>250</v>
      </c>
      <c r="U2462">
        <v>190</v>
      </c>
      <c r="V2462" t="s">
        <v>20</v>
      </c>
      <c r="W2462" t="s">
        <v>21</v>
      </c>
      <c r="X2462" t="s">
        <v>575</v>
      </c>
      <c r="Y2462" t="s">
        <v>576</v>
      </c>
      <c r="AF2462" t="s">
        <v>13</v>
      </c>
      <c r="AG2462" t="str">
        <f>HYPERLINK("https://doi.org/10.1515/9780748642670")</f>
        <v>https://doi.org/10.1515/9780748642670</v>
      </c>
      <c r="AH2462" t="str">
        <f>HYPERLINK("http://www.degruyter.com/isbn/9780748642670")</f>
        <v>http://www.degruyter.com/isbn/9780748642670</v>
      </c>
      <c r="AI2462" t="s">
        <v>68</v>
      </c>
      <c r="AL2462" t="s">
        <v>15</v>
      </c>
      <c r="AM2462">
        <v>1</v>
      </c>
      <c r="AN2462" s="2">
        <v>9780748640324</v>
      </c>
    </row>
    <row r="2463" spans="1:40" x14ac:dyDescent="0.3">
      <c r="A2463" t="s">
        <v>11740</v>
      </c>
      <c r="B2463" t="s">
        <v>1</v>
      </c>
      <c r="C2463" t="s">
        <v>11741</v>
      </c>
      <c r="E2463" t="s">
        <v>11742</v>
      </c>
      <c r="F2463" t="s">
        <v>5</v>
      </c>
      <c r="G2463" t="s">
        <v>6</v>
      </c>
      <c r="L2463" t="s">
        <v>7</v>
      </c>
      <c r="M2463">
        <v>2007</v>
      </c>
      <c r="N2463" s="1">
        <v>39381</v>
      </c>
      <c r="O2463" t="s">
        <v>6377</v>
      </c>
      <c r="P2463">
        <v>1</v>
      </c>
      <c r="Q2463" t="s">
        <v>8910</v>
      </c>
      <c r="S2463">
        <v>253.95</v>
      </c>
      <c r="T2463">
        <v>290</v>
      </c>
      <c r="U2463">
        <v>220</v>
      </c>
      <c r="V2463" t="s">
        <v>58</v>
      </c>
      <c r="W2463" t="s">
        <v>59</v>
      </c>
      <c r="X2463" t="s">
        <v>60</v>
      </c>
      <c r="Y2463" t="s">
        <v>145</v>
      </c>
      <c r="AF2463" t="s">
        <v>13</v>
      </c>
      <c r="AG2463" t="str">
        <f>HYPERLINK("https://doi.org/10.1515/9780748631025")</f>
        <v>https://doi.org/10.1515/9780748631025</v>
      </c>
      <c r="AH2463" t="str">
        <f>HYPERLINK("http://www.degruyter.com/isbn/9780748631025")</f>
        <v>http://www.degruyter.com/isbn/9780748631025</v>
      </c>
      <c r="AI2463" t="s">
        <v>68</v>
      </c>
      <c r="AL2463" t="s">
        <v>62</v>
      </c>
      <c r="AM2463">
        <v>1</v>
      </c>
      <c r="AN2463" s="2">
        <v>9780748625543</v>
      </c>
    </row>
    <row r="2464" spans="1:40" x14ac:dyDescent="0.3">
      <c r="A2464" t="s">
        <v>11743</v>
      </c>
      <c r="B2464" t="s">
        <v>1</v>
      </c>
      <c r="C2464" t="s">
        <v>11744</v>
      </c>
      <c r="E2464" t="s">
        <v>11745</v>
      </c>
      <c r="F2464" t="s">
        <v>5</v>
      </c>
      <c r="G2464" t="s">
        <v>6</v>
      </c>
      <c r="L2464" t="s">
        <v>7</v>
      </c>
      <c r="M2464">
        <v>2011</v>
      </c>
      <c r="N2464" s="1">
        <v>40625</v>
      </c>
      <c r="O2464" t="s">
        <v>545</v>
      </c>
      <c r="P2464">
        <v>1</v>
      </c>
      <c r="Q2464" t="s">
        <v>8942</v>
      </c>
      <c r="S2464">
        <v>217.95</v>
      </c>
      <c r="T2464">
        <v>250</v>
      </c>
      <c r="U2464">
        <v>190</v>
      </c>
      <c r="V2464" t="s">
        <v>79</v>
      </c>
      <c r="W2464" t="s">
        <v>209</v>
      </c>
      <c r="X2464" t="s">
        <v>209</v>
      </c>
      <c r="Y2464" t="s">
        <v>1951</v>
      </c>
      <c r="AF2464" t="s">
        <v>13</v>
      </c>
      <c r="AG2464" t="str">
        <f>HYPERLINK("https://doi.org/10.1515/9780748646005")</f>
        <v>https://doi.org/10.1515/9780748646005</v>
      </c>
      <c r="AH2464" t="str">
        <f>HYPERLINK("http://www.degruyter.com/isbn/9780748646005")</f>
        <v>http://www.degruyter.com/isbn/9780748646005</v>
      </c>
      <c r="AI2464" t="s">
        <v>68</v>
      </c>
      <c r="AL2464" t="s">
        <v>83</v>
      </c>
      <c r="AM2464">
        <v>1</v>
      </c>
      <c r="AN2464" s="2">
        <v>9780748640058</v>
      </c>
    </row>
    <row r="2465" spans="1:40" x14ac:dyDescent="0.3">
      <c r="A2465" t="s">
        <v>11746</v>
      </c>
      <c r="B2465" t="s">
        <v>1</v>
      </c>
      <c r="C2465" t="s">
        <v>11747</v>
      </c>
      <c r="D2465" t="s">
        <v>9283</v>
      </c>
      <c r="E2465" t="s">
        <v>11748</v>
      </c>
      <c r="F2465" t="s">
        <v>5</v>
      </c>
      <c r="G2465" t="s">
        <v>6</v>
      </c>
      <c r="L2465" t="s">
        <v>7</v>
      </c>
      <c r="M2465">
        <v>2011</v>
      </c>
      <c r="N2465" s="1">
        <v>40679</v>
      </c>
      <c r="O2465" t="s">
        <v>11749</v>
      </c>
      <c r="P2465">
        <v>1</v>
      </c>
      <c r="Q2465" t="s">
        <v>9286</v>
      </c>
      <c r="S2465">
        <v>191.95</v>
      </c>
      <c r="T2465">
        <v>220</v>
      </c>
      <c r="U2465">
        <v>170</v>
      </c>
      <c r="V2465" t="s">
        <v>42</v>
      </c>
      <c r="W2465" t="s">
        <v>740</v>
      </c>
      <c r="X2465" t="s">
        <v>741</v>
      </c>
      <c r="Y2465" t="s">
        <v>742</v>
      </c>
      <c r="AF2465" t="s">
        <v>13</v>
      </c>
      <c r="AG2465" t="str">
        <f>HYPERLINK("https://doi.org/10.1515/9780748646319")</f>
        <v>https://doi.org/10.1515/9780748646319</v>
      </c>
      <c r="AH2465" t="str">
        <f>HYPERLINK("http://www.degruyter.com/isbn/9780748646319")</f>
        <v>http://www.degruyter.com/isbn/9780748646319</v>
      </c>
      <c r="AI2465" t="s">
        <v>68</v>
      </c>
      <c r="AL2465" t="s">
        <v>47</v>
      </c>
      <c r="AM2465">
        <v>1</v>
      </c>
      <c r="AN2465" s="2">
        <v>9780748639564</v>
      </c>
    </row>
    <row r="2466" spans="1:40" x14ac:dyDescent="0.3">
      <c r="A2466" t="s">
        <v>11750</v>
      </c>
      <c r="B2466" t="s">
        <v>1</v>
      </c>
      <c r="C2466" t="s">
        <v>11751</v>
      </c>
      <c r="D2466" t="s">
        <v>11752</v>
      </c>
      <c r="E2466" t="s">
        <v>11753</v>
      </c>
      <c r="F2466" t="s">
        <v>5</v>
      </c>
      <c r="G2466" t="s">
        <v>6</v>
      </c>
      <c r="L2466" t="s">
        <v>7</v>
      </c>
      <c r="M2466">
        <v>2012</v>
      </c>
      <c r="N2466" s="1">
        <v>41044</v>
      </c>
      <c r="O2466" t="s">
        <v>11538</v>
      </c>
      <c r="P2466">
        <v>1</v>
      </c>
      <c r="Q2466" t="s">
        <v>6606</v>
      </c>
      <c r="S2466">
        <v>243.95</v>
      </c>
      <c r="T2466">
        <v>280</v>
      </c>
      <c r="U2466">
        <v>210</v>
      </c>
      <c r="V2466" t="s">
        <v>79</v>
      </c>
      <c r="W2466" t="s">
        <v>209</v>
      </c>
      <c r="X2466" t="s">
        <v>209</v>
      </c>
      <c r="Y2466" t="s">
        <v>510</v>
      </c>
      <c r="AF2466" t="s">
        <v>13</v>
      </c>
      <c r="AG2466" t="str">
        <f>HYPERLINK("https://doi.org/10.1515/9780748645312")</f>
        <v>https://doi.org/10.1515/9780748645312</v>
      </c>
      <c r="AH2466" t="str">
        <f>HYPERLINK("http://www.degruyter.com/isbn/9780748645312")</f>
        <v>http://www.degruyter.com/isbn/9780748645312</v>
      </c>
      <c r="AI2466" t="s">
        <v>68</v>
      </c>
      <c r="AL2466" t="s">
        <v>83</v>
      </c>
      <c r="AM2466">
        <v>1</v>
      </c>
      <c r="AN2466" s="2">
        <v>9780748645305</v>
      </c>
    </row>
    <row r="2467" spans="1:40" x14ac:dyDescent="0.3">
      <c r="A2467" t="s">
        <v>11754</v>
      </c>
      <c r="B2467" t="s">
        <v>1</v>
      </c>
      <c r="C2467" t="s">
        <v>11755</v>
      </c>
      <c r="E2467" t="s">
        <v>11756</v>
      </c>
      <c r="F2467" t="s">
        <v>5</v>
      </c>
      <c r="G2467" t="s">
        <v>6</v>
      </c>
      <c r="L2467" t="s">
        <v>7</v>
      </c>
      <c r="M2467">
        <v>2010</v>
      </c>
      <c r="N2467" s="1">
        <v>40434</v>
      </c>
      <c r="O2467" t="s">
        <v>11757</v>
      </c>
      <c r="P2467">
        <v>1</v>
      </c>
      <c r="Q2467" t="s">
        <v>10987</v>
      </c>
      <c r="S2467">
        <v>243.95</v>
      </c>
      <c r="T2467">
        <v>280</v>
      </c>
      <c r="U2467">
        <v>210</v>
      </c>
      <c r="V2467" t="s">
        <v>79</v>
      </c>
      <c r="W2467" t="s">
        <v>209</v>
      </c>
      <c r="X2467" t="s">
        <v>209</v>
      </c>
      <c r="Y2467" t="s">
        <v>510</v>
      </c>
      <c r="AF2467" t="s">
        <v>13</v>
      </c>
      <c r="AG2467" t="str">
        <f>HYPERLINK("https://doi.org/10.1515/9780748643301")</f>
        <v>https://doi.org/10.1515/9780748643301</v>
      </c>
      <c r="AH2467" t="str">
        <f>HYPERLINK("http://www.degruyter.com/isbn/9780748643301")</f>
        <v>http://www.degruyter.com/isbn/9780748643301</v>
      </c>
      <c r="AI2467" t="s">
        <v>68</v>
      </c>
      <c r="AL2467" t="s">
        <v>83</v>
      </c>
      <c r="AM2467">
        <v>1</v>
      </c>
      <c r="AN2467" s="2">
        <v>9780748635375</v>
      </c>
    </row>
    <row r="2468" spans="1:40" x14ac:dyDescent="0.3">
      <c r="A2468" t="s">
        <v>11758</v>
      </c>
      <c r="B2468" t="s">
        <v>1</v>
      </c>
      <c r="C2468" t="s">
        <v>11759</v>
      </c>
      <c r="D2468" t="s">
        <v>11760</v>
      </c>
      <c r="E2468" t="s">
        <v>10088</v>
      </c>
      <c r="F2468" t="s">
        <v>5</v>
      </c>
      <c r="G2468" t="s">
        <v>6</v>
      </c>
      <c r="L2468" t="s">
        <v>7</v>
      </c>
      <c r="M2468">
        <v>2007</v>
      </c>
      <c r="N2468" s="1">
        <v>39409</v>
      </c>
      <c r="O2468" t="s">
        <v>11761</v>
      </c>
      <c r="P2468">
        <v>1</v>
      </c>
      <c r="Q2468" t="s">
        <v>10090</v>
      </c>
      <c r="S2468">
        <v>417.95</v>
      </c>
      <c r="T2468">
        <v>480</v>
      </c>
      <c r="U2468">
        <v>370</v>
      </c>
      <c r="V2468" t="s">
        <v>42</v>
      </c>
      <c r="W2468" t="s">
        <v>116</v>
      </c>
      <c r="X2468" t="s">
        <v>116</v>
      </c>
      <c r="Y2468" t="s">
        <v>3967</v>
      </c>
      <c r="AF2468" t="s">
        <v>13</v>
      </c>
      <c r="AG2468" t="str">
        <f>HYPERLINK("https://www.degruyter.com/isbn/9780748628810")</f>
        <v>https://www.degruyter.com/isbn/9780748628810</v>
      </c>
      <c r="AH2468" t="str">
        <f>HYPERLINK("http://www.degruyter.com/isbn/9780748628810")</f>
        <v>http://www.degruyter.com/isbn/9780748628810</v>
      </c>
      <c r="AI2468" t="s">
        <v>68</v>
      </c>
      <c r="AL2468" t="s">
        <v>47</v>
      </c>
      <c r="AM2468">
        <v>1</v>
      </c>
      <c r="AN2468" s="2">
        <v>9780748617791</v>
      </c>
    </row>
    <row r="2469" spans="1:40" x14ac:dyDescent="0.3">
      <c r="A2469" t="s">
        <v>11762</v>
      </c>
      <c r="B2469" t="s">
        <v>1</v>
      </c>
      <c r="C2469" t="s">
        <v>11763</v>
      </c>
      <c r="D2469" t="s">
        <v>11764</v>
      </c>
      <c r="E2469" t="s">
        <v>11765</v>
      </c>
      <c r="F2469" t="s">
        <v>5</v>
      </c>
      <c r="G2469" t="s">
        <v>6</v>
      </c>
      <c r="L2469" t="s">
        <v>7</v>
      </c>
      <c r="M2469">
        <v>2017</v>
      </c>
      <c r="N2469" s="1">
        <v>42874</v>
      </c>
      <c r="O2469" t="s">
        <v>11766</v>
      </c>
      <c r="P2469">
        <v>1</v>
      </c>
      <c r="Q2469" t="s">
        <v>6779</v>
      </c>
      <c r="S2469">
        <v>217.95</v>
      </c>
      <c r="T2469">
        <v>250</v>
      </c>
      <c r="U2469">
        <v>190</v>
      </c>
      <c r="V2469" t="s">
        <v>9</v>
      </c>
      <c r="W2469" t="s">
        <v>10</v>
      </c>
      <c r="X2469" t="s">
        <v>11</v>
      </c>
      <c r="Y2469" t="s">
        <v>52</v>
      </c>
      <c r="AF2469" t="s">
        <v>13</v>
      </c>
      <c r="AG2469" t="str">
        <f>HYPERLINK("https://doi.org/10.1515/9780748696338?locatt=mode:legacy")</f>
        <v>https://doi.org/10.1515/9780748696338?locatt=mode:legacy</v>
      </c>
      <c r="AH2469" t="str">
        <f>HYPERLINK("http://www.degruyter.com/isbn/9780748696338")</f>
        <v>http://www.degruyter.com/isbn/9780748696338</v>
      </c>
      <c r="AI2469" t="s">
        <v>222</v>
      </c>
      <c r="AL2469" t="s">
        <v>15</v>
      </c>
      <c r="AM2469">
        <v>1</v>
      </c>
      <c r="AN2469" s="2">
        <v>9780748696321</v>
      </c>
    </row>
    <row r="2470" spans="1:40" x14ac:dyDescent="0.3">
      <c r="A2470" t="s">
        <v>11767</v>
      </c>
      <c r="B2470" t="s">
        <v>1</v>
      </c>
      <c r="C2470" t="s">
        <v>11768</v>
      </c>
      <c r="D2470" t="s">
        <v>11769</v>
      </c>
      <c r="E2470" t="s">
        <v>11770</v>
      </c>
      <c r="F2470" t="s">
        <v>5</v>
      </c>
      <c r="G2470" t="s">
        <v>6</v>
      </c>
      <c r="L2470" t="s">
        <v>7</v>
      </c>
      <c r="M2470">
        <v>2018</v>
      </c>
      <c r="N2470" s="1">
        <v>44644</v>
      </c>
      <c r="O2470" t="s">
        <v>11771</v>
      </c>
      <c r="P2470">
        <v>1</v>
      </c>
      <c r="Q2470" t="s">
        <v>11772</v>
      </c>
      <c r="S2470">
        <v>243.95</v>
      </c>
      <c r="T2470">
        <v>280</v>
      </c>
      <c r="U2470">
        <v>210</v>
      </c>
      <c r="V2470" t="s">
        <v>42</v>
      </c>
      <c r="W2470" t="s">
        <v>107</v>
      </c>
      <c r="X2470" t="s">
        <v>108</v>
      </c>
      <c r="Y2470" t="s">
        <v>952</v>
      </c>
      <c r="AF2470" t="s">
        <v>13</v>
      </c>
      <c r="AG2470" t="str">
        <f>HYPERLINK("https://doi.org/10.1515/9781474425209?locatt=mode:legacy")</f>
        <v>https://doi.org/10.1515/9781474425209?locatt=mode:legacy</v>
      </c>
      <c r="AH2470" t="str">
        <f>HYPERLINK("http://www.degruyter.com/isbn/9781474425209")</f>
        <v>http://www.degruyter.com/isbn/9781474425209</v>
      </c>
      <c r="AI2470" t="s">
        <v>46</v>
      </c>
      <c r="AL2470" t="s">
        <v>47</v>
      </c>
      <c r="AM2470">
        <v>1</v>
      </c>
      <c r="AN2470" s="2">
        <v>9781474425193</v>
      </c>
    </row>
    <row r="2471" spans="1:40" x14ac:dyDescent="0.3">
      <c r="A2471" t="s">
        <v>11773</v>
      </c>
      <c r="B2471" t="s">
        <v>1</v>
      </c>
      <c r="C2471" t="s">
        <v>11774</v>
      </c>
      <c r="E2471" t="s">
        <v>11775</v>
      </c>
      <c r="F2471" t="s">
        <v>5</v>
      </c>
      <c r="G2471" t="s">
        <v>6</v>
      </c>
      <c r="L2471" t="s">
        <v>7</v>
      </c>
      <c r="M2471">
        <v>2005</v>
      </c>
      <c r="N2471" s="1">
        <v>38614</v>
      </c>
      <c r="O2471" t="s">
        <v>11776</v>
      </c>
      <c r="P2471">
        <v>1</v>
      </c>
      <c r="Q2471" t="s">
        <v>6820</v>
      </c>
      <c r="S2471">
        <v>217.95</v>
      </c>
      <c r="T2471">
        <v>250</v>
      </c>
      <c r="U2471">
        <v>190</v>
      </c>
      <c r="V2471" t="s">
        <v>58</v>
      </c>
      <c r="W2471" t="s">
        <v>1135</v>
      </c>
      <c r="X2471" t="s">
        <v>11777</v>
      </c>
      <c r="Y2471" t="s">
        <v>11778</v>
      </c>
      <c r="AF2471" t="s">
        <v>13</v>
      </c>
      <c r="AG2471" t="str">
        <f>HYPERLINK("https://doi.org/10.1515/9780748626205")</f>
        <v>https://doi.org/10.1515/9780748626205</v>
      </c>
      <c r="AH2471" t="str">
        <f>HYPERLINK("http://www.degruyter.com/isbn/9780748626205")</f>
        <v>http://www.degruyter.com/isbn/9780748626205</v>
      </c>
      <c r="AI2471" t="s">
        <v>68</v>
      </c>
      <c r="AL2471" t="s">
        <v>62</v>
      </c>
      <c r="AM2471">
        <v>1</v>
      </c>
      <c r="AN2471" s="2">
        <v>9780748621392</v>
      </c>
    </row>
    <row r="2472" spans="1:40" x14ac:dyDescent="0.3">
      <c r="A2472" t="s">
        <v>11779</v>
      </c>
      <c r="B2472" t="s">
        <v>1</v>
      </c>
      <c r="C2472" t="s">
        <v>11780</v>
      </c>
      <c r="D2472" t="s">
        <v>7030</v>
      </c>
      <c r="E2472" t="s">
        <v>11781</v>
      </c>
      <c r="F2472" t="s">
        <v>5</v>
      </c>
      <c r="G2472" t="s">
        <v>6</v>
      </c>
      <c r="L2472" t="s">
        <v>7</v>
      </c>
      <c r="M2472">
        <v>2010</v>
      </c>
      <c r="N2472" s="1">
        <v>40375</v>
      </c>
      <c r="O2472" t="s">
        <v>11782</v>
      </c>
      <c r="P2472">
        <v>1</v>
      </c>
      <c r="Q2472" t="s">
        <v>7033</v>
      </c>
      <c r="S2472">
        <v>253.95</v>
      </c>
      <c r="T2472">
        <v>290</v>
      </c>
      <c r="U2472">
        <v>220</v>
      </c>
      <c r="V2472" t="s">
        <v>79</v>
      </c>
      <c r="W2472" t="s">
        <v>209</v>
      </c>
      <c r="X2472" t="s">
        <v>209</v>
      </c>
      <c r="Y2472" t="s">
        <v>510</v>
      </c>
      <c r="AF2472" t="s">
        <v>13</v>
      </c>
      <c r="AG2472" t="str">
        <f>HYPERLINK("https://doi.org/10.1515/9780748634811")</f>
        <v>https://doi.org/10.1515/9780748634811</v>
      </c>
      <c r="AH2472" t="str">
        <f>HYPERLINK("http://www.degruyter.com/isbn/9780748634811")</f>
        <v>http://www.degruyter.com/isbn/9780748634811</v>
      </c>
      <c r="AI2472" t="s">
        <v>68</v>
      </c>
      <c r="AL2472" t="s">
        <v>83</v>
      </c>
      <c r="AM2472">
        <v>1</v>
      </c>
      <c r="AN2472" s="2">
        <v>9780748634798</v>
      </c>
    </row>
    <row r="2473" spans="1:40" x14ac:dyDescent="0.3">
      <c r="A2473" t="s">
        <v>11783</v>
      </c>
      <c r="B2473" t="s">
        <v>1</v>
      </c>
      <c r="C2473" t="s">
        <v>11784</v>
      </c>
      <c r="E2473" t="s">
        <v>11785</v>
      </c>
      <c r="F2473" t="s">
        <v>5</v>
      </c>
      <c r="G2473" t="s">
        <v>6</v>
      </c>
      <c r="L2473" t="s">
        <v>7</v>
      </c>
      <c r="M2473">
        <v>2014</v>
      </c>
      <c r="N2473" s="1">
        <v>41947</v>
      </c>
      <c r="O2473" t="s">
        <v>11786</v>
      </c>
      <c r="P2473">
        <v>1</v>
      </c>
      <c r="Q2473" t="s">
        <v>8942</v>
      </c>
      <c r="S2473">
        <v>253.95</v>
      </c>
      <c r="T2473">
        <v>290</v>
      </c>
      <c r="U2473">
        <v>220</v>
      </c>
      <c r="V2473" t="s">
        <v>79</v>
      </c>
      <c r="W2473" t="s">
        <v>734</v>
      </c>
      <c r="X2473" t="s">
        <v>734</v>
      </c>
      <c r="Y2473" t="s">
        <v>735</v>
      </c>
      <c r="AF2473" t="s">
        <v>13</v>
      </c>
      <c r="AG2473" t="str">
        <f>HYPERLINK("https://doi.org/10.1515/9780748695584")</f>
        <v>https://doi.org/10.1515/9780748695584</v>
      </c>
      <c r="AH2473" t="str">
        <f>HYPERLINK("http://www.degruyter.com/isbn/9780748695584")</f>
        <v>http://www.degruyter.com/isbn/9780748695584</v>
      </c>
      <c r="AI2473" t="s">
        <v>34</v>
      </c>
      <c r="AL2473" t="s">
        <v>83</v>
      </c>
      <c r="AM2473">
        <v>1</v>
      </c>
      <c r="AN2473" s="2">
        <v>9780748695553</v>
      </c>
    </row>
    <row r="2474" spans="1:40" x14ac:dyDescent="0.3">
      <c r="A2474" t="s">
        <v>11787</v>
      </c>
      <c r="B2474" t="s">
        <v>1</v>
      </c>
      <c r="C2474" t="s">
        <v>11788</v>
      </c>
      <c r="E2474" t="s">
        <v>11789</v>
      </c>
      <c r="F2474" t="s">
        <v>5</v>
      </c>
      <c r="G2474" t="s">
        <v>6</v>
      </c>
      <c r="L2474" t="s">
        <v>7</v>
      </c>
      <c r="M2474">
        <v>2018</v>
      </c>
      <c r="N2474" s="1">
        <v>44656</v>
      </c>
      <c r="O2474" t="s">
        <v>11790</v>
      </c>
      <c r="P2474">
        <v>1</v>
      </c>
      <c r="Q2474" t="s">
        <v>7019</v>
      </c>
      <c r="S2474">
        <v>217.95</v>
      </c>
      <c r="T2474">
        <v>250</v>
      </c>
      <c r="U2474">
        <v>190</v>
      </c>
      <c r="V2474" t="s">
        <v>42</v>
      </c>
      <c r="W2474" t="s">
        <v>107</v>
      </c>
      <c r="X2474" t="s">
        <v>108</v>
      </c>
      <c r="Y2474" t="s">
        <v>109</v>
      </c>
      <c r="AF2474" t="s">
        <v>13</v>
      </c>
      <c r="AG2474" t="str">
        <f>HYPERLINK("https://doi.org/10.1515/9781474421317")</f>
        <v>https://doi.org/10.1515/9781474421317</v>
      </c>
      <c r="AH2474" t="str">
        <f>HYPERLINK("http://www.degruyter.com/isbn/9781474421317")</f>
        <v>http://www.degruyter.com/isbn/9781474421317</v>
      </c>
      <c r="AI2474" t="s">
        <v>46</v>
      </c>
      <c r="AL2474" t="s">
        <v>47</v>
      </c>
      <c r="AM2474">
        <v>1</v>
      </c>
      <c r="AN2474" s="2">
        <v>9781474421300</v>
      </c>
    </row>
    <row r="2475" spans="1:40" x14ac:dyDescent="0.3">
      <c r="A2475" t="s">
        <v>11791</v>
      </c>
      <c r="B2475" t="s">
        <v>1</v>
      </c>
      <c r="C2475" t="s">
        <v>11792</v>
      </c>
      <c r="D2475" t="s">
        <v>11793</v>
      </c>
      <c r="E2475" t="s">
        <v>11794</v>
      </c>
      <c r="F2475" t="s">
        <v>5</v>
      </c>
      <c r="G2475" t="s">
        <v>6</v>
      </c>
      <c r="L2475" t="s">
        <v>7</v>
      </c>
      <c r="M2475">
        <v>1995</v>
      </c>
      <c r="N2475" s="1">
        <v>44592</v>
      </c>
      <c r="O2475" t="s">
        <v>11795</v>
      </c>
      <c r="P2475">
        <v>1</v>
      </c>
      <c r="Q2475" t="s">
        <v>6929</v>
      </c>
      <c r="S2475">
        <v>217.95</v>
      </c>
      <c r="T2475">
        <v>250</v>
      </c>
      <c r="U2475">
        <v>190</v>
      </c>
      <c r="V2475" t="s">
        <v>20</v>
      </c>
      <c r="W2475" t="s">
        <v>21</v>
      </c>
      <c r="X2475" t="s">
        <v>3919</v>
      </c>
      <c r="Y2475" t="s">
        <v>4359</v>
      </c>
      <c r="AF2475" t="s">
        <v>13</v>
      </c>
      <c r="AG2475" t="str">
        <f>HYPERLINK("https://doi.org/10.1515/9781474473699")</f>
        <v>https://doi.org/10.1515/9781474473699</v>
      </c>
      <c r="AH2475" t="str">
        <f>HYPERLINK("http://www.degruyter.com/isbn/9781474473699")</f>
        <v>http://www.degruyter.com/isbn/9781474473699</v>
      </c>
      <c r="AI2475" t="s">
        <v>24</v>
      </c>
      <c r="AL2475" t="s">
        <v>15</v>
      </c>
      <c r="AM2475">
        <v>1</v>
      </c>
      <c r="AN2475" s="2">
        <v>9780748605927</v>
      </c>
    </row>
    <row r="2476" spans="1:40" x14ac:dyDescent="0.3">
      <c r="A2476" t="s">
        <v>11796</v>
      </c>
      <c r="B2476" t="s">
        <v>1</v>
      </c>
      <c r="C2476" t="s">
        <v>11797</v>
      </c>
      <c r="D2476" t="s">
        <v>11798</v>
      </c>
      <c r="E2476" t="s">
        <v>11799</v>
      </c>
      <c r="F2476" t="s">
        <v>5</v>
      </c>
      <c r="G2476" t="s">
        <v>6</v>
      </c>
      <c r="L2476" t="s">
        <v>7</v>
      </c>
      <c r="M2476">
        <v>2007</v>
      </c>
      <c r="N2476" s="1">
        <v>39190</v>
      </c>
      <c r="O2476" t="s">
        <v>7610</v>
      </c>
      <c r="P2476">
        <v>1</v>
      </c>
      <c r="Q2476" t="s">
        <v>6785</v>
      </c>
      <c r="S2476">
        <v>217.95</v>
      </c>
      <c r="T2476">
        <v>250</v>
      </c>
      <c r="U2476">
        <v>190</v>
      </c>
      <c r="V2476" t="s">
        <v>58</v>
      </c>
      <c r="W2476" t="s">
        <v>59</v>
      </c>
      <c r="X2476" t="s">
        <v>60</v>
      </c>
      <c r="Y2476" t="s">
        <v>1029</v>
      </c>
      <c r="AF2476" t="s">
        <v>13</v>
      </c>
      <c r="AG2476" t="str">
        <f>HYPERLINK("https://doi.org/10.1515/9780748628797?locatt=mode:legacy")</f>
        <v>https://doi.org/10.1515/9780748628797?locatt=mode:legacy</v>
      </c>
      <c r="AH2476" t="str">
        <f>HYPERLINK("http://www.degruyter.com/isbn/9780748628797")</f>
        <v>http://www.degruyter.com/isbn/9780748628797</v>
      </c>
      <c r="AI2476" t="s">
        <v>68</v>
      </c>
      <c r="AL2476" t="s">
        <v>62</v>
      </c>
      <c r="AM2476">
        <v>1</v>
      </c>
      <c r="AN2476" s="2">
        <v>9780748617623</v>
      </c>
    </row>
    <row r="2477" spans="1:40" x14ac:dyDescent="0.3">
      <c r="A2477" t="s">
        <v>11800</v>
      </c>
      <c r="B2477" t="s">
        <v>1</v>
      </c>
      <c r="C2477" t="s">
        <v>11801</v>
      </c>
      <c r="E2477" t="s">
        <v>11802</v>
      </c>
      <c r="F2477" t="s">
        <v>5</v>
      </c>
      <c r="G2477" t="s">
        <v>6</v>
      </c>
      <c r="L2477" t="s">
        <v>7</v>
      </c>
      <c r="M2477">
        <v>2011</v>
      </c>
      <c r="N2477" s="1">
        <v>40625</v>
      </c>
      <c r="O2477" t="s">
        <v>11803</v>
      </c>
      <c r="P2477">
        <v>1</v>
      </c>
      <c r="Q2477" t="s">
        <v>6630</v>
      </c>
      <c r="S2477">
        <v>173.95</v>
      </c>
      <c r="T2477">
        <v>200</v>
      </c>
      <c r="U2477">
        <v>150</v>
      </c>
      <c r="V2477" t="s">
        <v>42</v>
      </c>
      <c r="W2477" t="s">
        <v>116</v>
      </c>
      <c r="X2477" t="s">
        <v>116</v>
      </c>
      <c r="Y2477" t="s">
        <v>117</v>
      </c>
      <c r="AF2477" t="s">
        <v>13</v>
      </c>
      <c r="AG2477" t="str">
        <f>HYPERLINK("https://doi.org/10.1515/9780748631087")</f>
        <v>https://doi.org/10.1515/9780748631087</v>
      </c>
      <c r="AH2477" t="str">
        <f>HYPERLINK("http://www.degruyter.com/isbn/9780748631087")</f>
        <v>http://www.degruyter.com/isbn/9780748631087</v>
      </c>
      <c r="AI2477" t="s">
        <v>68</v>
      </c>
      <c r="AL2477" t="s">
        <v>47</v>
      </c>
      <c r="AM2477">
        <v>1</v>
      </c>
      <c r="AN2477" s="2">
        <v>9780748625628</v>
      </c>
    </row>
    <row r="2478" spans="1:40" x14ac:dyDescent="0.3">
      <c r="A2478" t="s">
        <v>11804</v>
      </c>
      <c r="B2478" t="s">
        <v>1</v>
      </c>
      <c r="C2478" t="s">
        <v>11805</v>
      </c>
      <c r="D2478" t="s">
        <v>11806</v>
      </c>
      <c r="E2478" t="s">
        <v>11807</v>
      </c>
      <c r="F2478" t="s">
        <v>5</v>
      </c>
      <c r="G2478" t="s">
        <v>6</v>
      </c>
      <c r="L2478" t="s">
        <v>7</v>
      </c>
      <c r="M2478">
        <v>2019</v>
      </c>
      <c r="N2478" s="1">
        <v>44656</v>
      </c>
      <c r="O2478" t="s">
        <v>11808</v>
      </c>
      <c r="P2478">
        <v>1</v>
      </c>
      <c r="Q2478" t="s">
        <v>8096</v>
      </c>
      <c r="S2478">
        <v>217.95</v>
      </c>
      <c r="T2478">
        <v>250</v>
      </c>
      <c r="U2478">
        <v>190</v>
      </c>
      <c r="V2478" t="s">
        <v>42</v>
      </c>
      <c r="W2478" t="s">
        <v>116</v>
      </c>
      <c r="X2478" t="s">
        <v>116</v>
      </c>
      <c r="Y2478" t="s">
        <v>117</v>
      </c>
      <c r="AF2478" t="s">
        <v>13</v>
      </c>
      <c r="AG2478" t="str">
        <f>HYPERLINK("https://doi.org/10.1515/9780748692187")</f>
        <v>https://doi.org/10.1515/9780748692187</v>
      </c>
      <c r="AH2478" t="str">
        <f>HYPERLINK("http://www.degruyter.com/isbn/9780748692187")</f>
        <v>http://www.degruyter.com/isbn/9780748692187</v>
      </c>
      <c r="AI2478" t="s">
        <v>280</v>
      </c>
      <c r="AL2478" t="s">
        <v>47</v>
      </c>
      <c r="AM2478">
        <v>1</v>
      </c>
      <c r="AN2478" s="2">
        <v>9780748692170</v>
      </c>
    </row>
    <row r="2479" spans="1:40" x14ac:dyDescent="0.3">
      <c r="A2479" t="s">
        <v>11809</v>
      </c>
      <c r="B2479" t="s">
        <v>1</v>
      </c>
      <c r="C2479" t="s">
        <v>11810</v>
      </c>
      <c r="E2479" t="s">
        <v>11811</v>
      </c>
      <c r="F2479" t="s">
        <v>5</v>
      </c>
      <c r="G2479" t="s">
        <v>6</v>
      </c>
      <c r="L2479" t="s">
        <v>7</v>
      </c>
      <c r="M2479">
        <v>2005</v>
      </c>
      <c r="N2479" s="1">
        <v>38559</v>
      </c>
      <c r="O2479" t="s">
        <v>11812</v>
      </c>
      <c r="P2479">
        <v>1</v>
      </c>
      <c r="Q2479" t="s">
        <v>6723</v>
      </c>
      <c r="S2479">
        <v>417.95</v>
      </c>
      <c r="T2479">
        <v>480</v>
      </c>
      <c r="U2479">
        <v>370</v>
      </c>
      <c r="V2479" t="s">
        <v>79</v>
      </c>
      <c r="W2479" t="s">
        <v>138</v>
      </c>
      <c r="X2479" t="s">
        <v>138</v>
      </c>
      <c r="Y2479" t="s">
        <v>2824</v>
      </c>
      <c r="AF2479" t="s">
        <v>13</v>
      </c>
      <c r="AG2479" t="str">
        <f>HYPERLINK("https://doi.org/10.1515/9780748680856")</f>
        <v>https://doi.org/10.1515/9780748680856</v>
      </c>
      <c r="AH2479" t="str">
        <f>HYPERLINK("http://www.degruyter.com/isbn/9780748680856")</f>
        <v>http://www.degruyter.com/isbn/9780748680856</v>
      </c>
      <c r="AI2479" t="s">
        <v>68</v>
      </c>
      <c r="AL2479" t="s">
        <v>83</v>
      </c>
      <c r="AM2479">
        <v>1</v>
      </c>
      <c r="AN2479" s="2">
        <v>9780748622184</v>
      </c>
    </row>
    <row r="2480" spans="1:40" x14ac:dyDescent="0.3">
      <c r="A2480" t="s">
        <v>11813</v>
      </c>
      <c r="B2480" t="s">
        <v>1</v>
      </c>
      <c r="C2480" t="s">
        <v>11814</v>
      </c>
      <c r="E2480" t="s">
        <v>11815</v>
      </c>
      <c r="F2480" t="s">
        <v>5</v>
      </c>
      <c r="G2480" t="s">
        <v>6</v>
      </c>
      <c r="L2480" t="s">
        <v>7</v>
      </c>
      <c r="M2480">
        <v>2010</v>
      </c>
      <c r="N2480" s="1">
        <v>40355</v>
      </c>
      <c r="O2480" t="s">
        <v>11816</v>
      </c>
      <c r="P2480">
        <v>1</v>
      </c>
      <c r="Q2480" t="s">
        <v>6606</v>
      </c>
      <c r="S2480">
        <v>261.95</v>
      </c>
      <c r="T2480">
        <v>300</v>
      </c>
      <c r="U2480">
        <v>230</v>
      </c>
      <c r="V2480" t="s">
        <v>79</v>
      </c>
      <c r="W2480" t="s">
        <v>209</v>
      </c>
      <c r="X2480" t="s">
        <v>209</v>
      </c>
      <c r="Y2480" t="s">
        <v>699</v>
      </c>
      <c r="AF2480" t="s">
        <v>13</v>
      </c>
      <c r="AG2480" t="str">
        <f>HYPERLINK("https://doi.org/10.1515/9780748638314?locatt=mode:legacy")</f>
        <v>https://doi.org/10.1515/9780748638314?locatt=mode:legacy</v>
      </c>
      <c r="AH2480" t="str">
        <f>HYPERLINK("http://www.degruyter.com/isbn/9780748638314")</f>
        <v>http://www.degruyter.com/isbn/9780748638314</v>
      </c>
      <c r="AI2480" t="s">
        <v>68</v>
      </c>
      <c r="AL2480" t="s">
        <v>83</v>
      </c>
      <c r="AM2480">
        <v>1</v>
      </c>
      <c r="AN2480" s="2">
        <v>9780748638307</v>
      </c>
    </row>
    <row r="2481" spans="1:40" x14ac:dyDescent="0.3">
      <c r="A2481" t="s">
        <v>11817</v>
      </c>
      <c r="B2481" t="s">
        <v>1</v>
      </c>
      <c r="C2481" t="s">
        <v>11818</v>
      </c>
      <c r="D2481" t="s">
        <v>11819</v>
      </c>
      <c r="E2481" t="s">
        <v>11820</v>
      </c>
      <c r="F2481" t="s">
        <v>5</v>
      </c>
      <c r="G2481" t="s">
        <v>6</v>
      </c>
      <c r="L2481" t="s">
        <v>7</v>
      </c>
      <c r="M2481">
        <v>2020</v>
      </c>
      <c r="N2481" s="1">
        <v>44656</v>
      </c>
      <c r="O2481" t="s">
        <v>11821</v>
      </c>
      <c r="P2481">
        <v>1</v>
      </c>
      <c r="Q2481" t="s">
        <v>9133</v>
      </c>
      <c r="S2481">
        <v>347.95</v>
      </c>
      <c r="T2481">
        <v>400</v>
      </c>
      <c r="U2481">
        <v>310</v>
      </c>
      <c r="V2481" t="s">
        <v>98</v>
      </c>
      <c r="W2481" t="s">
        <v>2283</v>
      </c>
      <c r="X2481" t="s">
        <v>2694</v>
      </c>
      <c r="Y2481" t="s">
        <v>5248</v>
      </c>
      <c r="AF2481" t="s">
        <v>13</v>
      </c>
      <c r="AG2481" t="str">
        <f>HYPERLINK("https://doi.org/10.1515/9781474454681?locatt=mode:legacy")</f>
        <v>https://doi.org/10.1515/9781474454681?locatt=mode:legacy</v>
      </c>
      <c r="AH2481" t="str">
        <f>HYPERLINK("http://www.degruyter.com/isbn/9781474454681")</f>
        <v>http://www.degruyter.com/isbn/9781474454681</v>
      </c>
      <c r="AI2481" t="s">
        <v>14</v>
      </c>
      <c r="AL2481" t="s">
        <v>102</v>
      </c>
      <c r="AM2481">
        <v>1</v>
      </c>
      <c r="AN2481" s="2">
        <v>9781474454667</v>
      </c>
    </row>
    <row r="2482" spans="1:40" x14ac:dyDescent="0.3">
      <c r="A2482" t="s">
        <v>11822</v>
      </c>
      <c r="B2482" t="s">
        <v>1</v>
      </c>
      <c r="C2482" t="s">
        <v>11823</v>
      </c>
      <c r="D2482" t="s">
        <v>7030</v>
      </c>
      <c r="E2482" t="s">
        <v>11824</v>
      </c>
      <c r="F2482" t="s">
        <v>5</v>
      </c>
      <c r="G2482" t="s">
        <v>6</v>
      </c>
      <c r="L2482" t="s">
        <v>7</v>
      </c>
      <c r="M2482">
        <v>2010</v>
      </c>
      <c r="N2482" s="1">
        <v>40237</v>
      </c>
      <c r="O2482" t="s">
        <v>4177</v>
      </c>
      <c r="P2482">
        <v>1</v>
      </c>
      <c r="Q2482" t="s">
        <v>7033</v>
      </c>
      <c r="S2482">
        <v>253.95</v>
      </c>
      <c r="T2482">
        <v>290</v>
      </c>
      <c r="U2482">
        <v>220</v>
      </c>
      <c r="V2482" t="s">
        <v>79</v>
      </c>
      <c r="W2482" t="s">
        <v>209</v>
      </c>
      <c r="X2482" t="s">
        <v>209</v>
      </c>
      <c r="Y2482" t="s">
        <v>510</v>
      </c>
      <c r="AF2482" t="s">
        <v>13</v>
      </c>
      <c r="AG2482" t="str">
        <f>HYPERLINK("https://doi.org/10.1515/9780748634514")</f>
        <v>https://doi.org/10.1515/9780748634514</v>
      </c>
      <c r="AH2482" t="str">
        <f>HYPERLINK("http://www.degruyter.com/isbn/9780748634514")</f>
        <v>http://www.degruyter.com/isbn/9780748634514</v>
      </c>
      <c r="AI2482" t="s">
        <v>68</v>
      </c>
      <c r="AL2482" t="s">
        <v>83</v>
      </c>
      <c r="AM2482">
        <v>1</v>
      </c>
      <c r="AN2482" s="2">
        <v>9780748634491</v>
      </c>
    </row>
    <row r="2483" spans="1:40" x14ac:dyDescent="0.3">
      <c r="A2483" t="s">
        <v>11825</v>
      </c>
      <c r="B2483" t="s">
        <v>1</v>
      </c>
      <c r="C2483" t="s">
        <v>11826</v>
      </c>
      <c r="D2483" t="s">
        <v>11827</v>
      </c>
      <c r="E2483" t="s">
        <v>11828</v>
      </c>
      <c r="F2483" t="s">
        <v>5</v>
      </c>
      <c r="G2483" t="s">
        <v>6</v>
      </c>
      <c r="L2483" t="s">
        <v>7</v>
      </c>
      <c r="M2483">
        <v>1994</v>
      </c>
      <c r="N2483" s="1">
        <v>44599</v>
      </c>
      <c r="O2483" t="s">
        <v>11829</v>
      </c>
      <c r="P2483">
        <v>1</v>
      </c>
      <c r="Q2483" t="s">
        <v>6929</v>
      </c>
      <c r="S2483">
        <v>217.95</v>
      </c>
      <c r="T2483">
        <v>250</v>
      </c>
      <c r="U2483">
        <v>190</v>
      </c>
      <c r="V2483" t="s">
        <v>58</v>
      </c>
      <c r="W2483" t="s">
        <v>129</v>
      </c>
      <c r="X2483" t="s">
        <v>10126</v>
      </c>
      <c r="Y2483" t="s">
        <v>10127</v>
      </c>
      <c r="AF2483" t="s">
        <v>13</v>
      </c>
      <c r="AG2483" t="str">
        <f>HYPERLINK("https://doi.org/10.1515/9781474470810")</f>
        <v>https://doi.org/10.1515/9781474470810</v>
      </c>
      <c r="AH2483" t="str">
        <f>HYPERLINK("http://www.degruyter.com/isbn/9781474470810")</f>
        <v>http://www.degruyter.com/isbn/9781474470810</v>
      </c>
      <c r="AI2483" t="s">
        <v>24</v>
      </c>
      <c r="AL2483" t="s">
        <v>62</v>
      </c>
      <c r="AM2483">
        <v>1</v>
      </c>
      <c r="AN2483" s="2">
        <v>9780748604678</v>
      </c>
    </row>
    <row r="2484" spans="1:40" x14ac:dyDescent="0.3">
      <c r="A2484" t="s">
        <v>11830</v>
      </c>
      <c r="B2484" t="s">
        <v>1</v>
      </c>
      <c r="C2484" t="s">
        <v>11831</v>
      </c>
      <c r="D2484" t="s">
        <v>11832</v>
      </c>
      <c r="E2484" t="s">
        <v>11833</v>
      </c>
      <c r="F2484" t="s">
        <v>5</v>
      </c>
      <c r="G2484" t="s">
        <v>6</v>
      </c>
      <c r="L2484" t="s">
        <v>7</v>
      </c>
      <c r="M2484">
        <v>2021</v>
      </c>
      <c r="N2484" s="1">
        <v>44656</v>
      </c>
      <c r="O2484" t="s">
        <v>11834</v>
      </c>
      <c r="P2484">
        <v>1</v>
      </c>
      <c r="Q2484" t="s">
        <v>8607</v>
      </c>
      <c r="S2484">
        <v>217.95</v>
      </c>
      <c r="T2484">
        <v>250</v>
      </c>
      <c r="U2484">
        <v>190</v>
      </c>
      <c r="V2484" t="s">
        <v>58</v>
      </c>
      <c r="W2484" t="s">
        <v>59</v>
      </c>
      <c r="X2484" t="s">
        <v>60</v>
      </c>
      <c r="Y2484" t="s">
        <v>5536</v>
      </c>
      <c r="AF2484" t="s">
        <v>13</v>
      </c>
      <c r="AG2484" t="str">
        <f>HYPERLINK("https://doi.org/10.1515/9781474474719")</f>
        <v>https://doi.org/10.1515/9781474474719</v>
      </c>
      <c r="AH2484" t="str">
        <f>HYPERLINK("http://www.degruyter.com/isbn/9781474474719")</f>
        <v>http://www.degruyter.com/isbn/9781474474719</v>
      </c>
      <c r="AI2484" t="s">
        <v>5150</v>
      </c>
      <c r="AL2484" t="s">
        <v>62</v>
      </c>
      <c r="AM2484">
        <v>1</v>
      </c>
      <c r="AN2484" s="2">
        <v>9781474474689</v>
      </c>
    </row>
    <row r="2485" spans="1:40" x14ac:dyDescent="0.3">
      <c r="A2485" t="s">
        <v>11835</v>
      </c>
      <c r="B2485" t="s">
        <v>1</v>
      </c>
      <c r="C2485" t="s">
        <v>11836</v>
      </c>
      <c r="D2485" t="s">
        <v>11837</v>
      </c>
      <c r="E2485" t="s">
        <v>11838</v>
      </c>
      <c r="F2485" t="s">
        <v>5</v>
      </c>
      <c r="G2485" t="s">
        <v>6</v>
      </c>
      <c r="L2485" t="s">
        <v>7</v>
      </c>
      <c r="M2485">
        <v>2016</v>
      </c>
      <c r="N2485" s="1">
        <v>42517</v>
      </c>
      <c r="O2485" t="s">
        <v>11839</v>
      </c>
      <c r="P2485">
        <v>1</v>
      </c>
      <c r="Q2485" t="s">
        <v>5911</v>
      </c>
      <c r="S2485">
        <v>217.95</v>
      </c>
      <c r="T2485">
        <v>250</v>
      </c>
      <c r="U2485">
        <v>190</v>
      </c>
      <c r="V2485" t="s">
        <v>329</v>
      </c>
      <c r="W2485" t="s">
        <v>330</v>
      </c>
      <c r="X2485" t="s">
        <v>331</v>
      </c>
      <c r="Y2485" t="s">
        <v>4770</v>
      </c>
      <c r="AF2485" t="s">
        <v>13</v>
      </c>
      <c r="AG2485" t="str">
        <f>HYPERLINK("https://doi.org/10.1515/9781474402477")</f>
        <v>https://doi.org/10.1515/9781474402477</v>
      </c>
      <c r="AH2485" t="str">
        <f>HYPERLINK("http://www.degruyter.com/isbn/9781474402477")</f>
        <v>http://www.degruyter.com/isbn/9781474402477</v>
      </c>
      <c r="AI2485" t="s">
        <v>180</v>
      </c>
      <c r="AL2485" t="s">
        <v>333</v>
      </c>
      <c r="AM2485">
        <v>1</v>
      </c>
      <c r="AN2485" s="2">
        <v>9781474402460</v>
      </c>
    </row>
    <row r="2486" spans="1:40" x14ac:dyDescent="0.3">
      <c r="A2486" t="s">
        <v>11840</v>
      </c>
      <c r="B2486" t="s">
        <v>1</v>
      </c>
      <c r="C2486" t="s">
        <v>11841</v>
      </c>
      <c r="E2486" t="s">
        <v>11842</v>
      </c>
      <c r="F2486" t="s">
        <v>5</v>
      </c>
      <c r="G2486" t="s">
        <v>6</v>
      </c>
      <c r="L2486" t="s">
        <v>7</v>
      </c>
      <c r="M2486">
        <v>2004</v>
      </c>
      <c r="N2486" s="1">
        <v>38107</v>
      </c>
      <c r="O2486" t="s">
        <v>1200</v>
      </c>
      <c r="P2486">
        <v>1</v>
      </c>
      <c r="Q2486" t="s">
        <v>7217</v>
      </c>
      <c r="S2486">
        <v>305.95</v>
      </c>
      <c r="T2486">
        <v>350</v>
      </c>
      <c r="U2486">
        <v>270</v>
      </c>
      <c r="V2486" t="s">
        <v>20</v>
      </c>
      <c r="W2486" t="s">
        <v>556</v>
      </c>
      <c r="X2486" t="s">
        <v>1731</v>
      </c>
      <c r="Y2486" t="s">
        <v>1946</v>
      </c>
      <c r="AF2486" t="s">
        <v>13</v>
      </c>
      <c r="AG2486" t="str">
        <f>HYPERLINK("https://doi.org/10.1515/9780748679775")</f>
        <v>https://doi.org/10.1515/9780748679775</v>
      </c>
      <c r="AH2486" t="str">
        <f>HYPERLINK("http://www.degruyter.com/isbn/9780748679775")</f>
        <v>http://www.degruyter.com/isbn/9780748679775</v>
      </c>
      <c r="AI2486" t="s">
        <v>68</v>
      </c>
      <c r="AL2486" t="s">
        <v>15</v>
      </c>
      <c r="AM2486">
        <v>1</v>
      </c>
      <c r="AN2486" s="2">
        <v>9780748612376</v>
      </c>
    </row>
    <row r="2487" spans="1:40" x14ac:dyDescent="0.3">
      <c r="A2487" t="s">
        <v>11843</v>
      </c>
      <c r="B2487" t="s">
        <v>1</v>
      </c>
      <c r="C2487" t="s">
        <v>11844</v>
      </c>
      <c r="D2487" t="s">
        <v>11845</v>
      </c>
      <c r="E2487" t="s">
        <v>11846</v>
      </c>
      <c r="F2487" t="s">
        <v>5</v>
      </c>
      <c r="G2487" t="s">
        <v>6</v>
      </c>
      <c r="L2487" t="s">
        <v>7</v>
      </c>
      <c r="M2487">
        <v>2007</v>
      </c>
      <c r="N2487" s="1">
        <v>39232</v>
      </c>
      <c r="O2487" t="s">
        <v>11847</v>
      </c>
      <c r="P2487">
        <v>1</v>
      </c>
      <c r="Q2487" t="s">
        <v>6906</v>
      </c>
      <c r="S2487">
        <v>261.95</v>
      </c>
      <c r="T2487">
        <v>300</v>
      </c>
      <c r="U2487">
        <v>230</v>
      </c>
      <c r="V2487" t="s">
        <v>20</v>
      </c>
      <c r="W2487" t="s">
        <v>470</v>
      </c>
      <c r="X2487" t="s">
        <v>7276</v>
      </c>
      <c r="Y2487" t="s">
        <v>7277</v>
      </c>
      <c r="AF2487" t="s">
        <v>13</v>
      </c>
      <c r="AG2487" t="str">
        <f>HYPERLINK("https://doi.org/10.1515/9780748630240")</f>
        <v>https://doi.org/10.1515/9780748630240</v>
      </c>
      <c r="AH2487" t="str">
        <f>HYPERLINK("http://www.degruyter.com/isbn/9780748630240")</f>
        <v>http://www.degruyter.com/isbn/9780748630240</v>
      </c>
      <c r="AI2487" t="s">
        <v>68</v>
      </c>
      <c r="AL2487" t="s">
        <v>15</v>
      </c>
      <c r="AM2487">
        <v>1</v>
      </c>
      <c r="AN2487" s="2">
        <v>9780748623891</v>
      </c>
    </row>
    <row r="2488" spans="1:40" x14ac:dyDescent="0.3">
      <c r="A2488" t="s">
        <v>11848</v>
      </c>
      <c r="B2488" t="s">
        <v>1</v>
      </c>
      <c r="C2488" t="s">
        <v>5437</v>
      </c>
      <c r="D2488" t="s">
        <v>11849</v>
      </c>
      <c r="E2488" t="s">
        <v>11850</v>
      </c>
      <c r="F2488" t="s">
        <v>5</v>
      </c>
      <c r="G2488" t="s">
        <v>6</v>
      </c>
      <c r="L2488" t="s">
        <v>7</v>
      </c>
      <c r="M2488">
        <v>2012</v>
      </c>
      <c r="N2488" s="1">
        <v>41040</v>
      </c>
      <c r="O2488" t="s">
        <v>11851</v>
      </c>
      <c r="P2488">
        <v>1</v>
      </c>
      <c r="Q2488" t="s">
        <v>6912</v>
      </c>
      <c r="S2488">
        <v>253.95</v>
      </c>
      <c r="T2488">
        <v>290</v>
      </c>
      <c r="U2488">
        <v>220</v>
      </c>
      <c r="V2488" t="s">
        <v>98</v>
      </c>
      <c r="W2488" t="s">
        <v>99</v>
      </c>
      <c r="X2488" t="s">
        <v>386</v>
      </c>
      <c r="Y2488" t="s">
        <v>387</v>
      </c>
      <c r="AF2488" t="s">
        <v>13</v>
      </c>
      <c r="AG2488" t="str">
        <f>HYPERLINK("https://doi.org/10.1515/9780748656264")</f>
        <v>https://doi.org/10.1515/9780748656264</v>
      </c>
      <c r="AH2488" t="str">
        <f>HYPERLINK("http://www.degruyter.com/isbn/9780748656264")</f>
        <v>http://www.degruyter.com/isbn/9780748656264</v>
      </c>
      <c r="AI2488" t="s">
        <v>68</v>
      </c>
      <c r="AL2488" t="s">
        <v>102</v>
      </c>
      <c r="AM2488">
        <v>1</v>
      </c>
      <c r="AN2488" s="2">
        <v>9780748643141</v>
      </c>
    </row>
    <row r="2489" spans="1:40" x14ac:dyDescent="0.3">
      <c r="A2489" t="s">
        <v>11852</v>
      </c>
      <c r="B2489" t="s">
        <v>1</v>
      </c>
      <c r="C2489" t="s">
        <v>11853</v>
      </c>
      <c r="D2489" t="s">
        <v>11854</v>
      </c>
      <c r="E2489" t="s">
        <v>11855</v>
      </c>
      <c r="F2489" t="s">
        <v>5</v>
      </c>
      <c r="G2489" t="s">
        <v>6</v>
      </c>
      <c r="L2489" t="s">
        <v>7</v>
      </c>
      <c r="M2489">
        <v>2014</v>
      </c>
      <c r="N2489" s="1">
        <v>41715</v>
      </c>
      <c r="O2489" t="s">
        <v>11856</v>
      </c>
      <c r="P2489">
        <v>1</v>
      </c>
      <c r="Q2489" t="s">
        <v>6665</v>
      </c>
      <c r="S2489">
        <v>217.95</v>
      </c>
      <c r="T2489">
        <v>250</v>
      </c>
      <c r="U2489">
        <v>190</v>
      </c>
      <c r="V2489" t="s">
        <v>42</v>
      </c>
      <c r="W2489" t="s">
        <v>43</v>
      </c>
      <c r="X2489" t="s">
        <v>44</v>
      </c>
      <c r="Y2489" t="s">
        <v>45</v>
      </c>
      <c r="AF2489" t="s">
        <v>13</v>
      </c>
      <c r="AG2489" t="str">
        <f>HYPERLINK("https://doi.org/10.1515/9780748682027")</f>
        <v>https://doi.org/10.1515/9780748682027</v>
      </c>
      <c r="AH2489" t="str">
        <f>HYPERLINK("http://www.degruyter.com/isbn/9780748682027")</f>
        <v>http://www.degruyter.com/isbn/9780748682027</v>
      </c>
      <c r="AI2489" t="s">
        <v>34</v>
      </c>
      <c r="AJ2489" t="s">
        <v>35</v>
      </c>
      <c r="AL2489" t="s">
        <v>520</v>
      </c>
      <c r="AM2489">
        <v>1</v>
      </c>
      <c r="AN2489" s="2">
        <v>9780748682010</v>
      </c>
    </row>
    <row r="2490" spans="1:40" x14ac:dyDescent="0.3">
      <c r="A2490" t="s">
        <v>11857</v>
      </c>
      <c r="B2490" t="s">
        <v>1</v>
      </c>
      <c r="C2490" t="s">
        <v>11858</v>
      </c>
      <c r="E2490" t="s">
        <v>11859</v>
      </c>
      <c r="F2490" t="s">
        <v>5</v>
      </c>
      <c r="G2490" t="s">
        <v>6</v>
      </c>
      <c r="L2490" t="s">
        <v>7</v>
      </c>
      <c r="M2490">
        <v>2004</v>
      </c>
      <c r="N2490" s="1">
        <v>44607</v>
      </c>
      <c r="O2490" t="s">
        <v>11860</v>
      </c>
      <c r="P2490">
        <v>1</v>
      </c>
      <c r="Q2490" t="s">
        <v>6929</v>
      </c>
      <c r="S2490">
        <v>217.95</v>
      </c>
      <c r="T2490">
        <v>250</v>
      </c>
      <c r="U2490">
        <v>190</v>
      </c>
      <c r="V2490" t="s">
        <v>20</v>
      </c>
      <c r="W2490" t="s">
        <v>21</v>
      </c>
      <c r="X2490" t="s">
        <v>3919</v>
      </c>
      <c r="Y2490" t="s">
        <v>4359</v>
      </c>
      <c r="AF2490" t="s">
        <v>13</v>
      </c>
      <c r="AG2490" t="str">
        <f>HYPERLINK("https://doi.org/10.1515/9781474464673")</f>
        <v>https://doi.org/10.1515/9781474464673</v>
      </c>
      <c r="AH2490" t="str">
        <f>HYPERLINK("http://www.degruyter.com/isbn/9781474464673")</f>
        <v>http://www.degruyter.com/isbn/9781474464673</v>
      </c>
      <c r="AI2490" t="s">
        <v>68</v>
      </c>
      <c r="AL2490" t="s">
        <v>15</v>
      </c>
      <c r="AM2490">
        <v>1</v>
      </c>
      <c r="AN2490" s="2">
        <v>9780748619412</v>
      </c>
    </row>
    <row r="2491" spans="1:40" x14ac:dyDescent="0.3">
      <c r="A2491" t="s">
        <v>11861</v>
      </c>
      <c r="B2491" t="s">
        <v>1</v>
      </c>
      <c r="C2491" t="s">
        <v>11862</v>
      </c>
      <c r="E2491" t="s">
        <v>11863</v>
      </c>
      <c r="F2491" t="s">
        <v>5</v>
      </c>
      <c r="G2491" t="s">
        <v>6</v>
      </c>
      <c r="L2491" t="s">
        <v>7</v>
      </c>
      <c r="M2491">
        <v>2013</v>
      </c>
      <c r="N2491" s="1">
        <v>41414</v>
      </c>
      <c r="O2491" t="s">
        <v>11864</v>
      </c>
      <c r="P2491">
        <v>1</v>
      </c>
      <c r="Q2491" t="s">
        <v>6418</v>
      </c>
      <c r="S2491">
        <v>253.95</v>
      </c>
      <c r="T2491">
        <v>290</v>
      </c>
      <c r="U2491">
        <v>220</v>
      </c>
      <c r="V2491" t="s">
        <v>847</v>
      </c>
      <c r="W2491" t="s">
        <v>3102</v>
      </c>
      <c r="X2491" t="s">
        <v>3102</v>
      </c>
      <c r="Y2491" t="s">
        <v>3103</v>
      </c>
      <c r="AF2491" t="s">
        <v>13</v>
      </c>
      <c r="AG2491" t="str">
        <f>HYPERLINK("https://doi.org/10.1515/9780748674664")</f>
        <v>https://doi.org/10.1515/9780748674664</v>
      </c>
      <c r="AH2491" t="str">
        <f>HYPERLINK("http://www.degruyter.com/isbn/9780748674664")</f>
        <v>http://www.degruyter.com/isbn/9780748674664</v>
      </c>
      <c r="AI2491" t="s">
        <v>68</v>
      </c>
      <c r="AL2491" t="s">
        <v>1070</v>
      </c>
      <c r="AM2491">
        <v>1</v>
      </c>
      <c r="AN2491" s="2">
        <v>9780748674640</v>
      </c>
    </row>
    <row r="2492" spans="1:40" x14ac:dyDescent="0.3">
      <c r="A2492" t="s">
        <v>11865</v>
      </c>
      <c r="B2492" t="s">
        <v>1</v>
      </c>
      <c r="C2492" t="s">
        <v>11866</v>
      </c>
      <c r="E2492" t="s">
        <v>11867</v>
      </c>
      <c r="F2492" t="s">
        <v>5</v>
      </c>
      <c r="G2492" t="s">
        <v>6</v>
      </c>
      <c r="L2492" t="s">
        <v>7</v>
      </c>
      <c r="M2492">
        <v>2019</v>
      </c>
      <c r="N2492" s="1">
        <v>44634</v>
      </c>
      <c r="O2492" t="s">
        <v>11868</v>
      </c>
      <c r="P2492">
        <v>1</v>
      </c>
      <c r="Q2492" t="s">
        <v>7187</v>
      </c>
      <c r="S2492">
        <v>227.95</v>
      </c>
      <c r="T2492">
        <v>260</v>
      </c>
      <c r="U2492">
        <v>200</v>
      </c>
      <c r="V2492" t="s">
        <v>98</v>
      </c>
      <c r="W2492" t="s">
        <v>99</v>
      </c>
      <c r="X2492" t="s">
        <v>386</v>
      </c>
      <c r="Y2492" t="s">
        <v>387</v>
      </c>
      <c r="AF2492" t="s">
        <v>13</v>
      </c>
      <c r="AG2492" t="str">
        <f>HYPERLINK("https://doi.org/10.1515/9781474424318")</f>
        <v>https://doi.org/10.1515/9781474424318</v>
      </c>
      <c r="AH2492" t="str">
        <f>HYPERLINK("http://www.degruyter.com/isbn/9781474424318")</f>
        <v>http://www.degruyter.com/isbn/9781474424318</v>
      </c>
      <c r="AI2492" t="s">
        <v>280</v>
      </c>
      <c r="AL2492" t="s">
        <v>102</v>
      </c>
      <c r="AM2492">
        <v>1</v>
      </c>
      <c r="AN2492" s="2">
        <v>9781474424295</v>
      </c>
    </row>
    <row r="2493" spans="1:40" x14ac:dyDescent="0.3">
      <c r="A2493" t="s">
        <v>11869</v>
      </c>
      <c r="B2493" t="s">
        <v>1</v>
      </c>
      <c r="C2493" t="s">
        <v>11870</v>
      </c>
      <c r="E2493" t="s">
        <v>11871</v>
      </c>
      <c r="F2493" t="s">
        <v>5</v>
      </c>
      <c r="G2493" t="s">
        <v>6</v>
      </c>
      <c r="L2493" t="s">
        <v>7</v>
      </c>
      <c r="M2493">
        <v>1984</v>
      </c>
      <c r="N2493" s="1">
        <v>44607</v>
      </c>
      <c r="O2493" t="s">
        <v>6997</v>
      </c>
      <c r="P2493">
        <v>1</v>
      </c>
      <c r="Q2493" t="s">
        <v>6998</v>
      </c>
      <c r="S2493">
        <v>876.95</v>
      </c>
      <c r="T2493">
        <v>990</v>
      </c>
      <c r="U2493">
        <v>760</v>
      </c>
      <c r="V2493" t="s">
        <v>1325</v>
      </c>
      <c r="W2493" t="s">
        <v>1326</v>
      </c>
      <c r="X2493" t="s">
        <v>1326</v>
      </c>
      <c r="Y2493" t="s">
        <v>6999</v>
      </c>
      <c r="AF2493" t="s">
        <v>13</v>
      </c>
      <c r="AG2493" t="str">
        <f>HYPERLINK("https://doi.org/10.1515/9781474466080")</f>
        <v>https://doi.org/10.1515/9781474466080</v>
      </c>
      <c r="AH2493" t="str">
        <f>HYPERLINK("http://www.degruyter.com/isbn/9781474466080")</f>
        <v>http://www.degruyter.com/isbn/9781474466080</v>
      </c>
      <c r="AI2493" t="s">
        <v>24</v>
      </c>
      <c r="AL2493" t="s">
        <v>1328</v>
      </c>
      <c r="AM2493">
        <v>1</v>
      </c>
      <c r="AN2493" s="2">
        <v>9780852241547</v>
      </c>
    </row>
    <row r="2494" spans="1:40" x14ac:dyDescent="0.3">
      <c r="A2494" t="s">
        <v>11872</v>
      </c>
      <c r="B2494" t="s">
        <v>1</v>
      </c>
      <c r="C2494" t="s">
        <v>11873</v>
      </c>
      <c r="E2494" t="s">
        <v>11874</v>
      </c>
      <c r="F2494" t="s">
        <v>5</v>
      </c>
      <c r="G2494" t="s">
        <v>6</v>
      </c>
      <c r="L2494" t="s">
        <v>7</v>
      </c>
      <c r="M2494">
        <v>2019</v>
      </c>
      <c r="N2494" s="1">
        <v>44656</v>
      </c>
      <c r="O2494" t="s">
        <v>11875</v>
      </c>
      <c r="P2494">
        <v>1</v>
      </c>
      <c r="Q2494" t="s">
        <v>7164</v>
      </c>
      <c r="S2494">
        <v>217.95</v>
      </c>
      <c r="T2494">
        <v>250</v>
      </c>
      <c r="U2494">
        <v>190</v>
      </c>
      <c r="V2494" t="s">
        <v>268</v>
      </c>
      <c r="W2494" t="s">
        <v>269</v>
      </c>
      <c r="X2494" t="s">
        <v>269</v>
      </c>
      <c r="Y2494" t="s">
        <v>374</v>
      </c>
      <c r="AF2494" t="s">
        <v>13</v>
      </c>
      <c r="AG2494" t="str">
        <f>HYPERLINK("https://doi.org/10.1515/9781474442466?locatt=mode:legacy")</f>
        <v>https://doi.org/10.1515/9781474442466?locatt=mode:legacy</v>
      </c>
      <c r="AH2494" t="str">
        <f>HYPERLINK("http://www.degruyter.com/isbn/9781474442466")</f>
        <v>http://www.degruyter.com/isbn/9781474442466</v>
      </c>
      <c r="AI2494" t="s">
        <v>3613</v>
      </c>
      <c r="AL2494" t="s">
        <v>272</v>
      </c>
      <c r="AM2494">
        <v>1</v>
      </c>
      <c r="AN2494" s="2">
        <v>9781474442442</v>
      </c>
    </row>
    <row r="2495" spans="1:40" x14ac:dyDescent="0.3">
      <c r="A2495" t="s">
        <v>11876</v>
      </c>
      <c r="B2495" t="s">
        <v>1</v>
      </c>
      <c r="C2495" t="s">
        <v>11877</v>
      </c>
      <c r="D2495" t="s">
        <v>11878</v>
      </c>
      <c r="E2495" t="s">
        <v>11879</v>
      </c>
      <c r="F2495" t="s">
        <v>5</v>
      </c>
      <c r="G2495" t="s">
        <v>6</v>
      </c>
      <c r="L2495" t="s">
        <v>7</v>
      </c>
      <c r="M2495">
        <v>2017</v>
      </c>
      <c r="N2495" s="1">
        <v>42877</v>
      </c>
      <c r="O2495" t="s">
        <v>11880</v>
      </c>
      <c r="P2495">
        <v>1</v>
      </c>
      <c r="Q2495" t="s">
        <v>11881</v>
      </c>
      <c r="S2495">
        <v>217.95</v>
      </c>
      <c r="T2495">
        <v>250</v>
      </c>
      <c r="U2495">
        <v>190</v>
      </c>
      <c r="V2495" t="s">
        <v>20</v>
      </c>
      <c r="W2495" t="s">
        <v>21</v>
      </c>
      <c r="X2495" t="s">
        <v>839</v>
      </c>
      <c r="Y2495" t="s">
        <v>1850</v>
      </c>
      <c r="AF2495" t="s">
        <v>13</v>
      </c>
      <c r="AG2495" t="str">
        <f>HYPERLINK("https://doi.org/10.1515/9781474417174")</f>
        <v>https://doi.org/10.1515/9781474417174</v>
      </c>
      <c r="AH2495" t="str">
        <f>HYPERLINK("http://www.degruyter.com/isbn/9781474417174")</f>
        <v>http://www.degruyter.com/isbn/9781474417174</v>
      </c>
      <c r="AI2495" t="s">
        <v>222</v>
      </c>
      <c r="AJ2495" t="s">
        <v>35</v>
      </c>
      <c r="AL2495" t="s">
        <v>1346</v>
      </c>
      <c r="AM2495">
        <v>1</v>
      </c>
      <c r="AN2495" s="2">
        <v>9781474417167</v>
      </c>
    </row>
    <row r="2496" spans="1:40" x14ac:dyDescent="0.3">
      <c r="A2496" t="s">
        <v>11882</v>
      </c>
      <c r="B2496" t="s">
        <v>1</v>
      </c>
      <c r="C2496" t="s">
        <v>11883</v>
      </c>
      <c r="E2496" t="s">
        <v>11884</v>
      </c>
      <c r="F2496" t="s">
        <v>5</v>
      </c>
      <c r="G2496" t="s">
        <v>6</v>
      </c>
      <c r="L2496" t="s">
        <v>7</v>
      </c>
      <c r="M2496">
        <v>2019</v>
      </c>
      <c r="N2496" s="1">
        <v>44656</v>
      </c>
      <c r="O2496" t="s">
        <v>11885</v>
      </c>
      <c r="P2496">
        <v>1</v>
      </c>
      <c r="Q2496" t="s">
        <v>6876</v>
      </c>
      <c r="S2496">
        <v>217.95</v>
      </c>
      <c r="T2496">
        <v>250</v>
      </c>
      <c r="U2496">
        <v>190</v>
      </c>
      <c r="V2496" t="s">
        <v>20</v>
      </c>
      <c r="W2496" t="s">
        <v>21</v>
      </c>
      <c r="X2496" t="s">
        <v>458</v>
      </c>
      <c r="Y2496" t="s">
        <v>1816</v>
      </c>
      <c r="AF2496" t="s">
        <v>13</v>
      </c>
      <c r="AG2496" t="str">
        <f>HYPERLINK("https://doi.org/10.1515/9781474417075?locatt=mode:legacy")</f>
        <v>https://doi.org/10.1515/9781474417075?locatt=mode:legacy</v>
      </c>
      <c r="AH2496" t="str">
        <f>HYPERLINK("http://www.degruyter.com/isbn/9781474417075")</f>
        <v>http://www.degruyter.com/isbn/9781474417075</v>
      </c>
      <c r="AI2496" t="s">
        <v>280</v>
      </c>
      <c r="AL2496" t="s">
        <v>15</v>
      </c>
      <c r="AM2496">
        <v>1</v>
      </c>
      <c r="AN2496" s="2">
        <v>9781474417068</v>
      </c>
    </row>
    <row r="2497" spans="1:40" x14ac:dyDescent="0.3">
      <c r="A2497" t="s">
        <v>11886</v>
      </c>
      <c r="B2497" t="s">
        <v>1</v>
      </c>
      <c r="C2497" t="s">
        <v>11887</v>
      </c>
      <c r="D2497" t="s">
        <v>11888</v>
      </c>
      <c r="E2497" t="s">
        <v>11889</v>
      </c>
      <c r="F2497" t="s">
        <v>5</v>
      </c>
      <c r="G2497" t="s">
        <v>6</v>
      </c>
      <c r="L2497" t="s">
        <v>7</v>
      </c>
      <c r="M2497">
        <v>2009</v>
      </c>
      <c r="N2497" s="1">
        <v>40086</v>
      </c>
      <c r="O2497" t="s">
        <v>11890</v>
      </c>
      <c r="P2497">
        <v>1</v>
      </c>
      <c r="Q2497" t="s">
        <v>8587</v>
      </c>
      <c r="S2497">
        <v>243.95</v>
      </c>
      <c r="T2497">
        <v>280</v>
      </c>
      <c r="U2497">
        <v>210</v>
      </c>
      <c r="V2497" t="s">
        <v>30</v>
      </c>
      <c r="W2497" t="s">
        <v>31</v>
      </c>
      <c r="X2497" t="s">
        <v>32</v>
      </c>
      <c r="Y2497" t="s">
        <v>11891</v>
      </c>
      <c r="AF2497" t="s">
        <v>13</v>
      </c>
      <c r="AG2497" t="str">
        <f>HYPERLINK("https://doi.org/10.1515/9780748641772")</f>
        <v>https://doi.org/10.1515/9780748641772</v>
      </c>
      <c r="AH2497" t="str">
        <f>HYPERLINK("http://www.degruyter.com/isbn/9780748641772")</f>
        <v>http://www.degruyter.com/isbn/9780748641772</v>
      </c>
      <c r="AI2497" t="s">
        <v>68</v>
      </c>
      <c r="AJ2497" t="s">
        <v>35</v>
      </c>
      <c r="AL2497" t="s">
        <v>36</v>
      </c>
      <c r="AM2497">
        <v>1</v>
      </c>
      <c r="AN2497" s="2">
        <v>9780748639687</v>
      </c>
    </row>
    <row r="2498" spans="1:40" x14ac:dyDescent="0.3">
      <c r="A2498" t="s">
        <v>11892</v>
      </c>
      <c r="B2498" t="s">
        <v>1</v>
      </c>
      <c r="C2498" t="s">
        <v>11893</v>
      </c>
      <c r="E2498" t="s">
        <v>11894</v>
      </c>
      <c r="F2498" t="s">
        <v>5</v>
      </c>
      <c r="G2498" t="s">
        <v>6</v>
      </c>
      <c r="L2498" t="s">
        <v>7</v>
      </c>
      <c r="M2498">
        <v>2016</v>
      </c>
      <c r="N2498" s="1">
        <v>42715</v>
      </c>
      <c r="O2498" t="s">
        <v>11895</v>
      </c>
      <c r="P2498">
        <v>1</v>
      </c>
      <c r="Q2498" t="s">
        <v>8859</v>
      </c>
      <c r="S2498">
        <v>253.95</v>
      </c>
      <c r="T2498">
        <v>290</v>
      </c>
      <c r="U2498">
        <v>220</v>
      </c>
      <c r="V2498" t="s">
        <v>20</v>
      </c>
      <c r="W2498" t="s">
        <v>556</v>
      </c>
      <c r="X2498" t="s">
        <v>1540</v>
      </c>
      <c r="Y2498" t="s">
        <v>2459</v>
      </c>
      <c r="AF2498" t="s">
        <v>13</v>
      </c>
      <c r="AG2498" t="str">
        <f>HYPERLINK("https://doi.org/10.1515/9781474407021")</f>
        <v>https://doi.org/10.1515/9781474407021</v>
      </c>
      <c r="AH2498" t="str">
        <f>HYPERLINK("http://www.degruyter.com/isbn/9781474407021")</f>
        <v>http://www.degruyter.com/isbn/9781474407021</v>
      </c>
      <c r="AI2498" t="s">
        <v>180</v>
      </c>
      <c r="AL2498" t="s">
        <v>15</v>
      </c>
      <c r="AM2498">
        <v>1</v>
      </c>
      <c r="AN2498" s="2">
        <v>9781474407014</v>
      </c>
    </row>
    <row r="2499" spans="1:40" x14ac:dyDescent="0.3">
      <c r="A2499" t="s">
        <v>11896</v>
      </c>
      <c r="B2499" t="s">
        <v>1</v>
      </c>
      <c r="C2499" t="s">
        <v>11897</v>
      </c>
      <c r="E2499" t="s">
        <v>11898</v>
      </c>
      <c r="F2499" t="s">
        <v>5</v>
      </c>
      <c r="G2499" t="s">
        <v>6</v>
      </c>
      <c r="L2499" t="s">
        <v>7</v>
      </c>
      <c r="M2499">
        <v>2007</v>
      </c>
      <c r="N2499" s="1">
        <v>44607</v>
      </c>
      <c r="O2499" t="s">
        <v>11899</v>
      </c>
      <c r="P2499">
        <v>1</v>
      </c>
      <c r="Q2499" t="s">
        <v>7009</v>
      </c>
      <c r="S2499">
        <v>217.95</v>
      </c>
      <c r="T2499">
        <v>250</v>
      </c>
      <c r="U2499">
        <v>190</v>
      </c>
      <c r="V2499" t="s">
        <v>329</v>
      </c>
      <c r="W2499" t="s">
        <v>330</v>
      </c>
      <c r="X2499" t="s">
        <v>331</v>
      </c>
      <c r="Y2499" t="s">
        <v>1035</v>
      </c>
      <c r="AF2499" t="s">
        <v>13</v>
      </c>
      <c r="AG2499" t="str">
        <f>HYPERLINK("https://doi.org/10.1515/9781474473286")</f>
        <v>https://doi.org/10.1515/9781474473286</v>
      </c>
      <c r="AH2499" t="str">
        <f>HYPERLINK("http://www.degruyter.com/isbn/9781474473286")</f>
        <v>http://www.degruyter.com/isbn/9781474473286</v>
      </c>
      <c r="AI2499" t="s">
        <v>68</v>
      </c>
      <c r="AL2499" t="s">
        <v>333</v>
      </c>
      <c r="AM2499">
        <v>1</v>
      </c>
      <c r="AN2499" s="2">
        <v>9780748618873</v>
      </c>
    </row>
    <row r="2500" spans="1:40" x14ac:dyDescent="0.3">
      <c r="A2500" t="s">
        <v>11900</v>
      </c>
      <c r="B2500" t="s">
        <v>1</v>
      </c>
      <c r="C2500" t="s">
        <v>11901</v>
      </c>
      <c r="E2500" t="s">
        <v>11902</v>
      </c>
      <c r="F2500" t="s">
        <v>5</v>
      </c>
      <c r="G2500" t="s">
        <v>6</v>
      </c>
      <c r="L2500" t="s">
        <v>7</v>
      </c>
      <c r="M2500">
        <v>2008</v>
      </c>
      <c r="N2500" s="1">
        <v>39532</v>
      </c>
      <c r="O2500" t="s">
        <v>11903</v>
      </c>
      <c r="P2500">
        <v>1</v>
      </c>
      <c r="Q2500" t="s">
        <v>6437</v>
      </c>
      <c r="S2500">
        <v>217.95</v>
      </c>
      <c r="T2500">
        <v>250</v>
      </c>
      <c r="U2500">
        <v>190</v>
      </c>
      <c r="V2500" t="s">
        <v>58</v>
      </c>
      <c r="W2500" t="s">
        <v>59</v>
      </c>
      <c r="X2500" t="s">
        <v>60</v>
      </c>
      <c r="Y2500" t="s">
        <v>145</v>
      </c>
      <c r="AF2500" t="s">
        <v>13</v>
      </c>
      <c r="AG2500" t="str">
        <f>HYPERLINK("https://doi.org/10.1515/9780748630691")</f>
        <v>https://doi.org/10.1515/9780748630691</v>
      </c>
      <c r="AH2500" t="str">
        <f>HYPERLINK("http://www.degruyter.com/isbn/9780748630691")</f>
        <v>http://www.degruyter.com/isbn/9780748630691</v>
      </c>
      <c r="AI2500" t="s">
        <v>68</v>
      </c>
      <c r="AL2500" t="s">
        <v>62</v>
      </c>
      <c r="AM2500">
        <v>1</v>
      </c>
      <c r="AN2500" s="2">
        <v>9780748625017</v>
      </c>
    </row>
    <row r="2501" spans="1:40" x14ac:dyDescent="0.3">
      <c r="A2501" t="s">
        <v>11904</v>
      </c>
      <c r="B2501" t="s">
        <v>1</v>
      </c>
      <c r="C2501" t="s">
        <v>11905</v>
      </c>
      <c r="D2501" t="s">
        <v>11906</v>
      </c>
      <c r="E2501" t="s">
        <v>11907</v>
      </c>
      <c r="F2501" t="s">
        <v>5</v>
      </c>
      <c r="G2501" t="s">
        <v>6</v>
      </c>
      <c r="L2501" t="s">
        <v>7</v>
      </c>
      <c r="M2501">
        <v>1990</v>
      </c>
      <c r="N2501" s="1">
        <v>44607</v>
      </c>
      <c r="O2501" t="s">
        <v>2902</v>
      </c>
      <c r="P2501">
        <v>1</v>
      </c>
      <c r="Q2501" t="s">
        <v>7571</v>
      </c>
      <c r="S2501">
        <v>217.95</v>
      </c>
      <c r="T2501">
        <v>250</v>
      </c>
      <c r="U2501">
        <v>190</v>
      </c>
      <c r="V2501" t="s">
        <v>20</v>
      </c>
      <c r="W2501" t="s">
        <v>21</v>
      </c>
      <c r="X2501" t="s">
        <v>22</v>
      </c>
      <c r="Y2501" t="s">
        <v>23</v>
      </c>
      <c r="AF2501" t="s">
        <v>13</v>
      </c>
      <c r="AG2501" t="str">
        <f>HYPERLINK("https://doi.org/10.1515/9781474471053")</f>
        <v>https://doi.org/10.1515/9781474471053</v>
      </c>
      <c r="AH2501" t="str">
        <f>HYPERLINK("http://www.degruyter.com/isbn/9781474471053")</f>
        <v>http://www.degruyter.com/isbn/9781474471053</v>
      </c>
      <c r="AI2501" t="s">
        <v>24</v>
      </c>
      <c r="AL2501" t="s">
        <v>15</v>
      </c>
      <c r="AM2501">
        <v>1</v>
      </c>
      <c r="AN2501" s="2">
        <v>9780748602339</v>
      </c>
    </row>
    <row r="2502" spans="1:40" x14ac:dyDescent="0.3">
      <c r="A2502" t="s">
        <v>11908</v>
      </c>
      <c r="B2502" t="s">
        <v>1</v>
      </c>
      <c r="C2502" t="s">
        <v>11909</v>
      </c>
      <c r="E2502" t="s">
        <v>11910</v>
      </c>
      <c r="F2502" t="s">
        <v>5</v>
      </c>
      <c r="G2502" t="s">
        <v>6</v>
      </c>
      <c r="L2502" t="s">
        <v>7</v>
      </c>
      <c r="M2502">
        <v>2020</v>
      </c>
      <c r="N2502" s="1">
        <v>44644</v>
      </c>
      <c r="O2502" t="s">
        <v>11911</v>
      </c>
      <c r="P2502">
        <v>1</v>
      </c>
      <c r="Q2502" t="s">
        <v>5764</v>
      </c>
      <c r="S2502">
        <v>227.95</v>
      </c>
      <c r="T2502">
        <v>260</v>
      </c>
      <c r="U2502">
        <v>200</v>
      </c>
      <c r="V2502" t="s">
        <v>9</v>
      </c>
      <c r="W2502" t="s">
        <v>10</v>
      </c>
      <c r="X2502" t="s">
        <v>11</v>
      </c>
      <c r="Y2502" t="s">
        <v>52</v>
      </c>
      <c r="AF2502" t="s">
        <v>13</v>
      </c>
      <c r="AG2502" t="str">
        <f>HYPERLINK("https://doi.org/10.1515/9781474442657")</f>
        <v>https://doi.org/10.1515/9781474442657</v>
      </c>
      <c r="AH2502" t="str">
        <f>HYPERLINK("http://www.degruyter.com/isbn/9781474442657")</f>
        <v>http://www.degruyter.com/isbn/9781474442657</v>
      </c>
      <c r="AI2502" t="s">
        <v>14</v>
      </c>
      <c r="AL2502" t="s">
        <v>15</v>
      </c>
      <c r="AM2502">
        <v>1</v>
      </c>
      <c r="AN2502" s="2">
        <v>9781474442640</v>
      </c>
    </row>
    <row r="2503" spans="1:40" x14ac:dyDescent="0.3">
      <c r="A2503" t="s">
        <v>11912</v>
      </c>
      <c r="B2503" t="s">
        <v>1</v>
      </c>
      <c r="C2503" t="s">
        <v>11913</v>
      </c>
      <c r="E2503" t="s">
        <v>11914</v>
      </c>
      <c r="F2503" t="s">
        <v>5</v>
      </c>
      <c r="G2503" t="s">
        <v>6</v>
      </c>
      <c r="L2503" t="s">
        <v>7</v>
      </c>
      <c r="M2503">
        <v>2005</v>
      </c>
      <c r="N2503" s="1">
        <v>38559</v>
      </c>
      <c r="O2503" t="s">
        <v>11915</v>
      </c>
      <c r="P2503">
        <v>1</v>
      </c>
      <c r="Q2503" t="s">
        <v>6723</v>
      </c>
      <c r="S2503">
        <v>253.95</v>
      </c>
      <c r="T2503">
        <v>290</v>
      </c>
      <c r="U2503">
        <v>220</v>
      </c>
      <c r="V2503" t="s">
        <v>79</v>
      </c>
      <c r="W2503" t="s">
        <v>138</v>
      </c>
      <c r="X2503" t="s">
        <v>138</v>
      </c>
      <c r="Y2503" t="s">
        <v>2824</v>
      </c>
      <c r="AF2503" t="s">
        <v>13</v>
      </c>
      <c r="AG2503" t="str">
        <f>HYPERLINK("https://doi.org/10.1515/9781474471831")</f>
        <v>https://doi.org/10.1515/9781474471831</v>
      </c>
      <c r="AH2503" t="str">
        <f>HYPERLINK("http://www.degruyter.com/isbn/9781474471831")</f>
        <v>http://www.degruyter.com/isbn/9781474471831</v>
      </c>
      <c r="AI2503" t="s">
        <v>68</v>
      </c>
      <c r="AL2503" t="s">
        <v>83</v>
      </c>
      <c r="AM2503">
        <v>1</v>
      </c>
      <c r="AN2503" s="2">
        <v>9780748622115</v>
      </c>
    </row>
    <row r="2504" spans="1:40" x14ac:dyDescent="0.3">
      <c r="A2504" t="s">
        <v>11916</v>
      </c>
      <c r="B2504" t="s">
        <v>1</v>
      </c>
      <c r="C2504" t="s">
        <v>11917</v>
      </c>
      <c r="D2504" t="s">
        <v>5690</v>
      </c>
      <c r="E2504" t="s">
        <v>11918</v>
      </c>
      <c r="F2504" t="s">
        <v>5</v>
      </c>
      <c r="G2504" t="s">
        <v>6</v>
      </c>
      <c r="L2504" t="s">
        <v>7</v>
      </c>
      <c r="M2504">
        <v>2017</v>
      </c>
      <c r="N2504" s="1">
        <v>42816</v>
      </c>
      <c r="O2504" t="s">
        <v>11919</v>
      </c>
      <c r="P2504">
        <v>1</v>
      </c>
      <c r="Q2504" t="s">
        <v>5693</v>
      </c>
      <c r="S2504">
        <v>227.95</v>
      </c>
      <c r="T2504">
        <v>260</v>
      </c>
      <c r="U2504">
        <v>200</v>
      </c>
      <c r="V2504" t="s">
        <v>42</v>
      </c>
      <c r="W2504" t="s">
        <v>116</v>
      </c>
      <c r="X2504" t="s">
        <v>116</v>
      </c>
      <c r="Y2504" t="s">
        <v>117</v>
      </c>
      <c r="AF2504" t="s">
        <v>13</v>
      </c>
      <c r="AG2504" t="str">
        <f>HYPERLINK("https://doi.org/10.1515/9781474408202?locatt=mode:legacy")</f>
        <v>https://doi.org/10.1515/9781474408202?locatt=mode:legacy</v>
      </c>
      <c r="AH2504" t="str">
        <f>HYPERLINK("http://www.degruyter.com/isbn/9781474408202")</f>
        <v>http://www.degruyter.com/isbn/9781474408202</v>
      </c>
      <c r="AI2504" t="s">
        <v>222</v>
      </c>
      <c r="AL2504" t="s">
        <v>47</v>
      </c>
      <c r="AM2504">
        <v>1</v>
      </c>
      <c r="AN2504" s="2">
        <v>9781474408196</v>
      </c>
    </row>
    <row r="2505" spans="1:40" x14ac:dyDescent="0.3">
      <c r="A2505" t="s">
        <v>11920</v>
      </c>
      <c r="B2505" t="s">
        <v>1</v>
      </c>
      <c r="C2505" t="s">
        <v>11921</v>
      </c>
      <c r="E2505" t="s">
        <v>11922</v>
      </c>
      <c r="F2505" t="s">
        <v>5</v>
      </c>
      <c r="G2505" t="s">
        <v>6</v>
      </c>
      <c r="L2505" t="s">
        <v>7</v>
      </c>
      <c r="M2505">
        <v>2016</v>
      </c>
      <c r="N2505" s="1">
        <v>42692</v>
      </c>
      <c r="O2505" t="s">
        <v>11923</v>
      </c>
      <c r="P2505">
        <v>1</v>
      </c>
      <c r="Q2505" t="s">
        <v>6876</v>
      </c>
      <c r="S2505">
        <v>217.95</v>
      </c>
      <c r="T2505">
        <v>250</v>
      </c>
      <c r="U2505">
        <v>190</v>
      </c>
      <c r="V2505" t="s">
        <v>98</v>
      </c>
      <c r="W2505" t="s">
        <v>366</v>
      </c>
      <c r="X2505" t="s">
        <v>367</v>
      </c>
      <c r="Y2505" t="s">
        <v>368</v>
      </c>
      <c r="AF2505" t="s">
        <v>13</v>
      </c>
      <c r="AG2505" t="str">
        <f>HYPERLINK("https://doi.org/10.1515/9781474410205")</f>
        <v>https://doi.org/10.1515/9781474410205</v>
      </c>
      <c r="AH2505" t="str">
        <f>HYPERLINK("http://www.degruyter.com/isbn/9781474410205")</f>
        <v>http://www.degruyter.com/isbn/9781474410205</v>
      </c>
      <c r="AI2505" t="s">
        <v>180</v>
      </c>
      <c r="AL2505" t="s">
        <v>102</v>
      </c>
      <c r="AM2505">
        <v>1</v>
      </c>
      <c r="AN2505" s="2">
        <v>9781474410199</v>
      </c>
    </row>
    <row r="2506" spans="1:40" x14ac:dyDescent="0.3">
      <c r="A2506" t="s">
        <v>11924</v>
      </c>
      <c r="B2506" t="s">
        <v>1</v>
      </c>
      <c r="C2506" t="s">
        <v>11925</v>
      </c>
      <c r="E2506" t="s">
        <v>11926</v>
      </c>
      <c r="F2506" t="s">
        <v>5</v>
      </c>
      <c r="G2506" t="s">
        <v>6</v>
      </c>
      <c r="L2506" t="s">
        <v>7</v>
      </c>
      <c r="M2506">
        <v>2007</v>
      </c>
      <c r="N2506" s="1">
        <v>39269</v>
      </c>
      <c r="O2506" t="s">
        <v>11927</v>
      </c>
      <c r="P2506">
        <v>1</v>
      </c>
      <c r="Q2506" t="s">
        <v>6723</v>
      </c>
      <c r="S2506">
        <v>253.95</v>
      </c>
      <c r="T2506">
        <v>290</v>
      </c>
      <c r="U2506">
        <v>220</v>
      </c>
      <c r="V2506" t="s">
        <v>79</v>
      </c>
      <c r="W2506" t="s">
        <v>123</v>
      </c>
      <c r="X2506" t="s">
        <v>123</v>
      </c>
      <c r="Y2506" t="s">
        <v>124</v>
      </c>
      <c r="AF2506" t="s">
        <v>13</v>
      </c>
      <c r="AG2506" t="str">
        <f>HYPERLINK("https://doi.org/10.1515/9781474471633")</f>
        <v>https://doi.org/10.1515/9781474471633</v>
      </c>
      <c r="AH2506" t="str">
        <f>HYPERLINK("http://www.degruyter.com/isbn/9781474471633")</f>
        <v>http://www.degruyter.com/isbn/9781474471633</v>
      </c>
      <c r="AI2506" t="s">
        <v>68</v>
      </c>
      <c r="AL2506" t="s">
        <v>83</v>
      </c>
      <c r="AM2506">
        <v>1</v>
      </c>
      <c r="AN2506" s="2">
        <v>9780748622696</v>
      </c>
    </row>
    <row r="2507" spans="1:40" x14ac:dyDescent="0.3">
      <c r="A2507" t="s">
        <v>11928</v>
      </c>
      <c r="B2507" t="s">
        <v>1</v>
      </c>
      <c r="C2507" t="s">
        <v>11929</v>
      </c>
      <c r="D2507" t="s">
        <v>11930</v>
      </c>
      <c r="E2507" t="s">
        <v>11931</v>
      </c>
      <c r="F2507" t="s">
        <v>5</v>
      </c>
      <c r="G2507" t="s">
        <v>6</v>
      </c>
      <c r="L2507" t="s">
        <v>7</v>
      </c>
      <c r="M2507">
        <v>2013</v>
      </c>
      <c r="N2507" s="1">
        <v>41533</v>
      </c>
      <c r="O2507" t="s">
        <v>11932</v>
      </c>
      <c r="P2507">
        <v>1</v>
      </c>
      <c r="Q2507" t="s">
        <v>6785</v>
      </c>
      <c r="S2507">
        <v>253.95</v>
      </c>
      <c r="T2507">
        <v>290</v>
      </c>
      <c r="U2507">
        <v>220</v>
      </c>
      <c r="V2507" t="s">
        <v>79</v>
      </c>
      <c r="W2507" t="s">
        <v>783</v>
      </c>
      <c r="X2507" t="s">
        <v>783</v>
      </c>
      <c r="Y2507" t="s">
        <v>784</v>
      </c>
      <c r="AF2507" t="s">
        <v>13</v>
      </c>
      <c r="AG2507" t="str">
        <f>HYPERLINK("https://doi.org/10.1515/9780748685141")</f>
        <v>https://doi.org/10.1515/9780748685141</v>
      </c>
      <c r="AH2507" t="str">
        <f>HYPERLINK("http://www.degruyter.com/isbn/9780748685141")</f>
        <v>http://www.degruyter.com/isbn/9780748685141</v>
      </c>
      <c r="AI2507" t="s">
        <v>68</v>
      </c>
      <c r="AL2507" t="s">
        <v>83</v>
      </c>
      <c r="AM2507">
        <v>1</v>
      </c>
      <c r="AN2507" s="2">
        <v>9780748685134</v>
      </c>
    </row>
    <row r="2508" spans="1:40" x14ac:dyDescent="0.3">
      <c r="A2508" t="s">
        <v>11933</v>
      </c>
      <c r="B2508" t="s">
        <v>1</v>
      </c>
      <c r="C2508" t="s">
        <v>11934</v>
      </c>
      <c r="E2508" t="s">
        <v>11935</v>
      </c>
      <c r="F2508" t="s">
        <v>5</v>
      </c>
      <c r="G2508" t="s">
        <v>6</v>
      </c>
      <c r="L2508" t="s">
        <v>7</v>
      </c>
      <c r="M2508">
        <v>2008</v>
      </c>
      <c r="N2508" s="1">
        <v>39555</v>
      </c>
      <c r="O2508" t="s">
        <v>11936</v>
      </c>
      <c r="P2508">
        <v>1</v>
      </c>
      <c r="Q2508" t="s">
        <v>6630</v>
      </c>
      <c r="S2508">
        <v>209.95</v>
      </c>
      <c r="T2508">
        <v>240</v>
      </c>
      <c r="U2508">
        <v>180</v>
      </c>
      <c r="V2508" t="s">
        <v>42</v>
      </c>
      <c r="W2508" t="s">
        <v>161</v>
      </c>
      <c r="X2508" t="s">
        <v>162</v>
      </c>
      <c r="Y2508" t="s">
        <v>11937</v>
      </c>
      <c r="AF2508" t="s">
        <v>13</v>
      </c>
      <c r="AG2508" t="str">
        <f>HYPERLINK("https://doi.org/10.1515/9780748629831")</f>
        <v>https://doi.org/10.1515/9780748629831</v>
      </c>
      <c r="AH2508" t="str">
        <f>HYPERLINK("http://www.degruyter.com/isbn/9780748629831")</f>
        <v>http://www.degruyter.com/isbn/9780748629831</v>
      </c>
      <c r="AI2508" t="s">
        <v>68</v>
      </c>
      <c r="AL2508" t="s">
        <v>47</v>
      </c>
      <c r="AM2508">
        <v>1</v>
      </c>
      <c r="AN2508" s="2">
        <v>9780748622719</v>
      </c>
    </row>
    <row r="2509" spans="1:40" x14ac:dyDescent="0.3">
      <c r="A2509" t="s">
        <v>11938</v>
      </c>
      <c r="B2509" t="s">
        <v>1</v>
      </c>
      <c r="C2509" t="s">
        <v>11939</v>
      </c>
      <c r="E2509" t="s">
        <v>11940</v>
      </c>
      <c r="F2509" t="s">
        <v>5</v>
      </c>
      <c r="G2509" t="s">
        <v>6</v>
      </c>
      <c r="L2509" t="s">
        <v>7</v>
      </c>
      <c r="M2509">
        <v>2004</v>
      </c>
      <c r="N2509" s="1">
        <v>38105</v>
      </c>
      <c r="O2509" t="s">
        <v>11941</v>
      </c>
      <c r="P2509">
        <v>1</v>
      </c>
      <c r="Q2509" t="s">
        <v>7009</v>
      </c>
      <c r="S2509">
        <v>287.95</v>
      </c>
      <c r="T2509">
        <v>330</v>
      </c>
      <c r="U2509">
        <v>250</v>
      </c>
      <c r="V2509" t="s">
        <v>329</v>
      </c>
      <c r="W2509" t="s">
        <v>330</v>
      </c>
      <c r="X2509" t="s">
        <v>331</v>
      </c>
      <c r="Y2509" t="s">
        <v>4770</v>
      </c>
      <c r="AF2509" t="s">
        <v>13</v>
      </c>
      <c r="AG2509" t="str">
        <f>HYPERLINK("https://doi.org/10.1515/9781474471909")</f>
        <v>https://doi.org/10.1515/9781474471909</v>
      </c>
      <c r="AH2509" t="str">
        <f>HYPERLINK("http://www.degruyter.com/isbn/9781474471909")</f>
        <v>http://www.degruyter.com/isbn/9781474471909</v>
      </c>
      <c r="AI2509" t="s">
        <v>68</v>
      </c>
      <c r="AL2509" t="s">
        <v>333</v>
      </c>
      <c r="AM2509">
        <v>1</v>
      </c>
      <c r="AN2509" s="2">
        <v>9780748616602</v>
      </c>
    </row>
    <row r="2510" spans="1:40" x14ac:dyDescent="0.3">
      <c r="A2510" t="s">
        <v>11942</v>
      </c>
      <c r="B2510" t="s">
        <v>1</v>
      </c>
      <c r="C2510" t="s">
        <v>11943</v>
      </c>
      <c r="E2510" t="s">
        <v>11944</v>
      </c>
      <c r="F2510" t="s">
        <v>5</v>
      </c>
      <c r="G2510" t="s">
        <v>6</v>
      </c>
      <c r="L2510" t="s">
        <v>7</v>
      </c>
      <c r="M2510">
        <v>2008</v>
      </c>
      <c r="N2510" s="1">
        <v>39555</v>
      </c>
      <c r="O2510" t="s">
        <v>11945</v>
      </c>
      <c r="P2510">
        <v>1</v>
      </c>
      <c r="Q2510" t="s">
        <v>8412</v>
      </c>
      <c r="S2510">
        <v>209.95</v>
      </c>
      <c r="T2510">
        <v>240</v>
      </c>
      <c r="U2510">
        <v>180</v>
      </c>
      <c r="V2510" t="s">
        <v>42</v>
      </c>
      <c r="W2510" t="s">
        <v>116</v>
      </c>
      <c r="X2510" t="s">
        <v>116</v>
      </c>
      <c r="Y2510" t="s">
        <v>117</v>
      </c>
      <c r="AF2510" t="s">
        <v>13</v>
      </c>
      <c r="AG2510" t="str">
        <f>HYPERLINK("https://doi.org/10.1515/9780748630585")</f>
        <v>https://doi.org/10.1515/9780748630585</v>
      </c>
      <c r="AH2510" t="str">
        <f>HYPERLINK("http://www.degruyter.com/isbn/9780748630585")</f>
        <v>http://www.degruyter.com/isbn/9780748630585</v>
      </c>
      <c r="AI2510" t="s">
        <v>68</v>
      </c>
      <c r="AL2510" t="s">
        <v>47</v>
      </c>
      <c r="AM2510">
        <v>1</v>
      </c>
      <c r="AN2510" s="2">
        <v>9780748624720</v>
      </c>
    </row>
    <row r="2511" spans="1:40" x14ac:dyDescent="0.3">
      <c r="A2511" t="s">
        <v>11946</v>
      </c>
      <c r="B2511" t="s">
        <v>1</v>
      </c>
      <c r="C2511" t="s">
        <v>11947</v>
      </c>
      <c r="D2511" t="s">
        <v>11948</v>
      </c>
      <c r="E2511" t="s">
        <v>11949</v>
      </c>
      <c r="F2511" t="s">
        <v>5</v>
      </c>
      <c r="G2511" t="s">
        <v>6</v>
      </c>
      <c r="L2511" t="s">
        <v>7</v>
      </c>
      <c r="M2511">
        <v>2017</v>
      </c>
      <c r="N2511" s="1">
        <v>42999</v>
      </c>
      <c r="O2511" t="s">
        <v>11950</v>
      </c>
      <c r="P2511">
        <v>1</v>
      </c>
      <c r="Q2511" t="s">
        <v>5754</v>
      </c>
      <c r="S2511">
        <v>253.95</v>
      </c>
      <c r="T2511">
        <v>290</v>
      </c>
      <c r="U2511">
        <v>220</v>
      </c>
      <c r="V2511" t="s">
        <v>79</v>
      </c>
      <c r="W2511" t="s">
        <v>123</v>
      </c>
      <c r="X2511" t="s">
        <v>123</v>
      </c>
      <c r="Y2511" t="s">
        <v>124</v>
      </c>
      <c r="AF2511" t="s">
        <v>13</v>
      </c>
      <c r="AG2511" t="str">
        <f>HYPERLINK("https://doi.org/10.1515/9781474429627")</f>
        <v>https://doi.org/10.1515/9781474429627</v>
      </c>
      <c r="AH2511" t="str">
        <f>HYPERLINK("http://www.degruyter.com/isbn/9781474429627")</f>
        <v>http://www.degruyter.com/isbn/9781474429627</v>
      </c>
      <c r="AI2511" t="s">
        <v>222</v>
      </c>
      <c r="AL2511" t="s">
        <v>83</v>
      </c>
      <c r="AM2511">
        <v>1</v>
      </c>
      <c r="AN2511" s="2">
        <v>9781474429603</v>
      </c>
    </row>
    <row r="2512" spans="1:40" x14ac:dyDescent="0.3">
      <c r="A2512" t="s">
        <v>11951</v>
      </c>
      <c r="B2512" t="s">
        <v>1</v>
      </c>
      <c r="C2512" t="s">
        <v>11952</v>
      </c>
      <c r="E2512" t="s">
        <v>11953</v>
      </c>
      <c r="F2512" t="s">
        <v>5</v>
      </c>
      <c r="G2512" t="s">
        <v>6</v>
      </c>
      <c r="L2512" t="s">
        <v>7</v>
      </c>
      <c r="M2512">
        <v>2006</v>
      </c>
      <c r="N2512" s="1">
        <v>38770</v>
      </c>
      <c r="O2512" t="s">
        <v>11954</v>
      </c>
      <c r="P2512">
        <v>1</v>
      </c>
      <c r="Q2512" t="s">
        <v>9050</v>
      </c>
      <c r="S2512">
        <v>243.95</v>
      </c>
      <c r="T2512">
        <v>280</v>
      </c>
      <c r="U2512">
        <v>210</v>
      </c>
      <c r="V2512" t="s">
        <v>20</v>
      </c>
      <c r="W2512" t="s">
        <v>470</v>
      </c>
      <c r="X2512" t="s">
        <v>7276</v>
      </c>
      <c r="Y2512" t="s">
        <v>7277</v>
      </c>
      <c r="AF2512" t="s">
        <v>13</v>
      </c>
      <c r="AG2512" t="str">
        <f>HYPERLINK("https://doi.org/10.1515/9780748642809")</f>
        <v>https://doi.org/10.1515/9780748642809</v>
      </c>
      <c r="AH2512" t="str">
        <f>HYPERLINK("http://www.degruyter.com/isbn/9780748642809")</f>
        <v>http://www.degruyter.com/isbn/9780748642809</v>
      </c>
      <c r="AI2512" t="s">
        <v>68</v>
      </c>
      <c r="AL2512" t="s">
        <v>15</v>
      </c>
      <c r="AM2512">
        <v>1</v>
      </c>
      <c r="AN2512" s="2">
        <v>9780748622771</v>
      </c>
    </row>
    <row r="2513" spans="1:40" x14ac:dyDescent="0.3">
      <c r="A2513" t="s">
        <v>11955</v>
      </c>
      <c r="B2513" t="s">
        <v>1</v>
      </c>
      <c r="C2513" t="s">
        <v>11956</v>
      </c>
      <c r="D2513" t="s">
        <v>11957</v>
      </c>
      <c r="E2513" t="s">
        <v>11958</v>
      </c>
      <c r="F2513" t="s">
        <v>5</v>
      </c>
      <c r="G2513" t="s">
        <v>6</v>
      </c>
      <c r="L2513" t="s">
        <v>7</v>
      </c>
      <c r="M2513">
        <v>2013</v>
      </c>
      <c r="N2513" s="1">
        <v>41443</v>
      </c>
      <c r="O2513" t="s">
        <v>11959</v>
      </c>
      <c r="P2513">
        <v>1</v>
      </c>
      <c r="Q2513" t="s">
        <v>8859</v>
      </c>
      <c r="S2513">
        <v>217.95</v>
      </c>
      <c r="T2513">
        <v>250</v>
      </c>
      <c r="U2513">
        <v>190</v>
      </c>
      <c r="V2513" t="s">
        <v>20</v>
      </c>
      <c r="W2513" t="s">
        <v>470</v>
      </c>
      <c r="X2513" t="s">
        <v>7276</v>
      </c>
      <c r="Y2513" t="s">
        <v>7277</v>
      </c>
      <c r="AF2513" t="s">
        <v>13</v>
      </c>
      <c r="AG2513" t="str">
        <f>HYPERLINK("https://doi.org/10.1515/9780748649730?locatt=mode:legacy")</f>
        <v>https://doi.org/10.1515/9780748649730?locatt=mode:legacy</v>
      </c>
      <c r="AH2513" t="str">
        <f>HYPERLINK("http://www.degruyter.com/isbn/9780748649730")</f>
        <v>http://www.degruyter.com/isbn/9780748649730</v>
      </c>
      <c r="AI2513" t="s">
        <v>68</v>
      </c>
      <c r="AL2513" t="s">
        <v>15</v>
      </c>
      <c r="AM2513">
        <v>1</v>
      </c>
      <c r="AN2513" s="2">
        <v>9780748647477</v>
      </c>
    </row>
    <row r="2514" spans="1:40" x14ac:dyDescent="0.3">
      <c r="A2514" t="s">
        <v>11960</v>
      </c>
      <c r="B2514" t="s">
        <v>1</v>
      </c>
      <c r="C2514" t="s">
        <v>11961</v>
      </c>
      <c r="E2514" t="s">
        <v>11962</v>
      </c>
      <c r="F2514" t="s">
        <v>5</v>
      </c>
      <c r="G2514" t="s">
        <v>6</v>
      </c>
      <c r="L2514" t="s">
        <v>7</v>
      </c>
      <c r="M2514">
        <v>2017</v>
      </c>
      <c r="N2514" s="1">
        <v>42926</v>
      </c>
      <c r="O2514" t="s">
        <v>11963</v>
      </c>
      <c r="P2514">
        <v>1</v>
      </c>
      <c r="Q2514" t="s">
        <v>7863</v>
      </c>
      <c r="S2514">
        <v>217.95</v>
      </c>
      <c r="T2514">
        <v>250</v>
      </c>
      <c r="U2514">
        <v>190</v>
      </c>
      <c r="V2514" t="s">
        <v>42</v>
      </c>
      <c r="W2514" t="s">
        <v>116</v>
      </c>
      <c r="X2514" t="s">
        <v>116</v>
      </c>
      <c r="Y2514" t="s">
        <v>117</v>
      </c>
      <c r="AF2514" t="s">
        <v>13</v>
      </c>
      <c r="AG2514" t="str">
        <f>HYPERLINK("https://doi.org/10.1515/9781474419017")</f>
        <v>https://doi.org/10.1515/9781474419017</v>
      </c>
      <c r="AH2514" t="str">
        <f>HYPERLINK("http://www.degruyter.com/isbn/9781474419017")</f>
        <v>http://www.degruyter.com/isbn/9781474419017</v>
      </c>
      <c r="AI2514" t="s">
        <v>222</v>
      </c>
      <c r="AL2514" t="s">
        <v>47</v>
      </c>
      <c r="AM2514">
        <v>1</v>
      </c>
      <c r="AN2514" s="2">
        <v>9781474419000</v>
      </c>
    </row>
    <row r="2515" spans="1:40" x14ac:dyDescent="0.3">
      <c r="A2515" t="s">
        <v>11964</v>
      </c>
      <c r="B2515" t="s">
        <v>1</v>
      </c>
      <c r="C2515" t="s">
        <v>11965</v>
      </c>
      <c r="E2515" t="s">
        <v>11966</v>
      </c>
      <c r="F2515" t="s">
        <v>5</v>
      </c>
      <c r="G2515" t="s">
        <v>6</v>
      </c>
      <c r="L2515" t="s">
        <v>7</v>
      </c>
      <c r="M2515">
        <v>2005</v>
      </c>
      <c r="N2515" s="1">
        <v>38559</v>
      </c>
      <c r="O2515" t="s">
        <v>11967</v>
      </c>
      <c r="P2515">
        <v>1</v>
      </c>
      <c r="Q2515" t="s">
        <v>6723</v>
      </c>
      <c r="S2515">
        <v>253.95</v>
      </c>
      <c r="T2515">
        <v>290</v>
      </c>
      <c r="U2515">
        <v>220</v>
      </c>
      <c r="V2515" t="s">
        <v>79</v>
      </c>
      <c r="W2515" t="s">
        <v>2355</v>
      </c>
      <c r="X2515" t="s">
        <v>2355</v>
      </c>
      <c r="Y2515" t="s">
        <v>2356</v>
      </c>
      <c r="AF2515" t="s">
        <v>13</v>
      </c>
      <c r="AG2515" t="str">
        <f>HYPERLINK("https://doi.org/10.1515/9780748680849")</f>
        <v>https://doi.org/10.1515/9780748680849</v>
      </c>
      <c r="AH2515" t="str">
        <f>HYPERLINK("http://www.degruyter.com/isbn/9780748680849")</f>
        <v>http://www.degruyter.com/isbn/9780748680849</v>
      </c>
      <c r="AI2515" t="s">
        <v>68</v>
      </c>
      <c r="AL2515" t="s">
        <v>83</v>
      </c>
      <c r="AM2515">
        <v>1</v>
      </c>
      <c r="AN2515" s="2">
        <v>9780748622108</v>
      </c>
    </row>
    <row r="2516" spans="1:40" x14ac:dyDescent="0.3">
      <c r="A2516" t="s">
        <v>11968</v>
      </c>
      <c r="B2516" t="s">
        <v>1</v>
      </c>
      <c r="C2516" t="s">
        <v>11969</v>
      </c>
      <c r="D2516" t="s">
        <v>11970</v>
      </c>
      <c r="E2516" t="s">
        <v>11971</v>
      </c>
      <c r="F2516" t="s">
        <v>5</v>
      </c>
      <c r="G2516" t="s">
        <v>6</v>
      </c>
      <c r="L2516" t="s">
        <v>7</v>
      </c>
      <c r="M2516">
        <v>2010</v>
      </c>
      <c r="N2516" s="1">
        <v>40268</v>
      </c>
      <c r="O2516" t="s">
        <v>11972</v>
      </c>
      <c r="P2516">
        <v>1</v>
      </c>
      <c r="Q2516" t="s">
        <v>7217</v>
      </c>
      <c r="S2516">
        <v>279.95</v>
      </c>
      <c r="T2516">
        <v>320</v>
      </c>
      <c r="U2516">
        <v>240</v>
      </c>
      <c r="V2516" t="s">
        <v>20</v>
      </c>
      <c r="W2516" t="s">
        <v>1018</v>
      </c>
      <c r="X2516" t="s">
        <v>1018</v>
      </c>
      <c r="Y2516" t="s">
        <v>2215</v>
      </c>
      <c r="AF2516" t="s">
        <v>13</v>
      </c>
      <c r="AG2516" t="str">
        <f>HYPERLINK("https://doi.org/10.1515/9781474481014")</f>
        <v>https://doi.org/10.1515/9781474481014</v>
      </c>
      <c r="AH2516" t="str">
        <f>HYPERLINK("http://www.degruyter.com/isbn/9781474481014")</f>
        <v>http://www.degruyter.com/isbn/9781474481014</v>
      </c>
      <c r="AI2516" t="s">
        <v>68</v>
      </c>
      <c r="AL2516" t="s">
        <v>15</v>
      </c>
      <c r="AM2516">
        <v>1</v>
      </c>
      <c r="AN2516" s="2">
        <v>9780748613144</v>
      </c>
    </row>
    <row r="2517" spans="1:40" x14ac:dyDescent="0.3">
      <c r="A2517" t="s">
        <v>11973</v>
      </c>
      <c r="B2517" t="s">
        <v>1</v>
      </c>
      <c r="C2517" t="s">
        <v>11974</v>
      </c>
      <c r="D2517" t="s">
        <v>11975</v>
      </c>
      <c r="E2517" t="s">
        <v>11976</v>
      </c>
      <c r="F2517" t="s">
        <v>5</v>
      </c>
      <c r="G2517" t="s">
        <v>6</v>
      </c>
      <c r="L2517" t="s">
        <v>7</v>
      </c>
      <c r="M2517">
        <v>2020</v>
      </c>
      <c r="N2517" s="1">
        <v>44644</v>
      </c>
      <c r="O2517" t="s">
        <v>11977</v>
      </c>
      <c r="P2517">
        <v>1</v>
      </c>
      <c r="Q2517" t="s">
        <v>6539</v>
      </c>
      <c r="S2517">
        <v>217.95</v>
      </c>
      <c r="T2517">
        <v>250</v>
      </c>
      <c r="U2517">
        <v>190</v>
      </c>
      <c r="V2517" t="s">
        <v>42</v>
      </c>
      <c r="W2517" t="s">
        <v>290</v>
      </c>
      <c r="X2517" t="s">
        <v>290</v>
      </c>
      <c r="Y2517" t="s">
        <v>515</v>
      </c>
      <c r="AF2517" t="s">
        <v>13</v>
      </c>
      <c r="AG2517" t="str">
        <f>HYPERLINK("https://doi.org/10.1515/9780748693436")</f>
        <v>https://doi.org/10.1515/9780748693436</v>
      </c>
      <c r="AH2517" t="str">
        <f>HYPERLINK("http://www.degruyter.com/isbn/9780748693436")</f>
        <v>http://www.degruyter.com/isbn/9780748693436</v>
      </c>
      <c r="AI2517" t="s">
        <v>14</v>
      </c>
      <c r="AL2517" t="s">
        <v>47</v>
      </c>
      <c r="AM2517">
        <v>1</v>
      </c>
      <c r="AN2517" s="2">
        <v>9780748693429</v>
      </c>
    </row>
    <row r="2518" spans="1:40" x14ac:dyDescent="0.3">
      <c r="A2518" t="s">
        <v>11978</v>
      </c>
      <c r="B2518" t="s">
        <v>1</v>
      </c>
      <c r="C2518" t="s">
        <v>11979</v>
      </c>
      <c r="E2518" t="s">
        <v>11980</v>
      </c>
      <c r="F2518" t="s">
        <v>5</v>
      </c>
      <c r="G2518" t="s">
        <v>6</v>
      </c>
      <c r="L2518" t="s">
        <v>7</v>
      </c>
      <c r="M2518">
        <v>2009</v>
      </c>
      <c r="N2518" s="1">
        <v>40132</v>
      </c>
      <c r="O2518" t="s">
        <v>11981</v>
      </c>
      <c r="P2518">
        <v>1</v>
      </c>
      <c r="Q2518" t="s">
        <v>7266</v>
      </c>
      <c r="S2518">
        <v>227.95</v>
      </c>
      <c r="T2518">
        <v>260</v>
      </c>
      <c r="U2518">
        <v>200</v>
      </c>
      <c r="V2518" t="s">
        <v>42</v>
      </c>
      <c r="W2518" t="s">
        <v>116</v>
      </c>
      <c r="X2518" t="s">
        <v>116</v>
      </c>
      <c r="Y2518" t="s">
        <v>117</v>
      </c>
      <c r="AF2518" t="s">
        <v>13</v>
      </c>
      <c r="AG2518" t="str">
        <f>HYPERLINK("https://doi.org/10.1515/9780748628322")</f>
        <v>https://doi.org/10.1515/9780748628322</v>
      </c>
      <c r="AH2518" t="str">
        <f>HYPERLINK("http://www.degruyter.com/isbn/9780748628322")</f>
        <v>http://www.degruyter.com/isbn/9780748628322</v>
      </c>
      <c r="AI2518" t="s">
        <v>68</v>
      </c>
      <c r="AL2518" t="s">
        <v>47</v>
      </c>
      <c r="AM2518">
        <v>1</v>
      </c>
      <c r="AN2518" s="2">
        <v>9780748605828</v>
      </c>
    </row>
    <row r="2519" spans="1:40" x14ac:dyDescent="0.3">
      <c r="A2519" t="s">
        <v>11982</v>
      </c>
      <c r="B2519" t="s">
        <v>1</v>
      </c>
      <c r="C2519" t="s">
        <v>11983</v>
      </c>
      <c r="E2519" t="s">
        <v>11984</v>
      </c>
      <c r="F2519" t="s">
        <v>5</v>
      </c>
      <c r="G2519" t="s">
        <v>6</v>
      </c>
      <c r="L2519" t="s">
        <v>7</v>
      </c>
      <c r="M2519">
        <v>2016</v>
      </c>
      <c r="N2519" s="1">
        <v>42433</v>
      </c>
      <c r="O2519" t="s">
        <v>11985</v>
      </c>
      <c r="P2519">
        <v>1</v>
      </c>
      <c r="Q2519" t="s">
        <v>6418</v>
      </c>
      <c r="S2519">
        <v>253.95</v>
      </c>
      <c r="T2519">
        <v>290</v>
      </c>
      <c r="U2519">
        <v>220</v>
      </c>
      <c r="V2519" t="s">
        <v>79</v>
      </c>
      <c r="W2519" t="s">
        <v>80</v>
      </c>
      <c r="X2519" t="s">
        <v>80</v>
      </c>
      <c r="Y2519" t="s">
        <v>81</v>
      </c>
      <c r="AF2519" t="s">
        <v>13</v>
      </c>
      <c r="AG2519" t="str">
        <f>HYPERLINK("https://doi.org/10.1515/9781474407601")</f>
        <v>https://doi.org/10.1515/9781474407601</v>
      </c>
      <c r="AH2519" t="str">
        <f>HYPERLINK("http://www.degruyter.com/isbn/9781474407601")</f>
        <v>http://www.degruyter.com/isbn/9781474407601</v>
      </c>
      <c r="AI2519" t="s">
        <v>180</v>
      </c>
      <c r="AL2519" t="s">
        <v>83</v>
      </c>
      <c r="AM2519">
        <v>1</v>
      </c>
      <c r="AN2519" s="2">
        <v>9781474407588</v>
      </c>
    </row>
    <row r="2520" spans="1:40" x14ac:dyDescent="0.3">
      <c r="A2520" t="s">
        <v>11986</v>
      </c>
      <c r="B2520" t="s">
        <v>1</v>
      </c>
      <c r="C2520" t="s">
        <v>11987</v>
      </c>
      <c r="D2520" t="s">
        <v>9283</v>
      </c>
      <c r="E2520" t="s">
        <v>11988</v>
      </c>
      <c r="F2520" t="s">
        <v>5</v>
      </c>
      <c r="G2520" t="s">
        <v>6</v>
      </c>
      <c r="L2520" t="s">
        <v>7</v>
      </c>
      <c r="M2520">
        <v>2012</v>
      </c>
      <c r="N2520" s="1">
        <v>40973</v>
      </c>
      <c r="O2520" t="s">
        <v>11989</v>
      </c>
      <c r="P2520">
        <v>1</v>
      </c>
      <c r="Q2520" t="s">
        <v>9286</v>
      </c>
      <c r="S2520">
        <v>173.95</v>
      </c>
      <c r="T2520">
        <v>200</v>
      </c>
      <c r="U2520">
        <v>150</v>
      </c>
      <c r="V2520" t="s">
        <v>42</v>
      </c>
      <c r="W2520" t="s">
        <v>107</v>
      </c>
      <c r="X2520" t="s">
        <v>108</v>
      </c>
      <c r="Y2520" t="s">
        <v>952</v>
      </c>
      <c r="AF2520" t="s">
        <v>13</v>
      </c>
      <c r="AG2520" t="str">
        <f>HYPERLINK("https://doi.org/10.1515/9780748649129")</f>
        <v>https://doi.org/10.1515/9780748649129</v>
      </c>
      <c r="AH2520" t="str">
        <f>HYPERLINK("http://www.degruyter.com/isbn/9780748649129")</f>
        <v>http://www.degruyter.com/isbn/9780748649129</v>
      </c>
      <c r="AI2520" t="s">
        <v>68</v>
      </c>
      <c r="AL2520" t="s">
        <v>47</v>
      </c>
      <c r="AM2520">
        <v>1</v>
      </c>
      <c r="AN2520" s="2">
        <v>9780748641352</v>
      </c>
    </row>
    <row r="2521" spans="1:40" x14ac:dyDescent="0.3">
      <c r="A2521" t="s">
        <v>11990</v>
      </c>
      <c r="B2521" t="s">
        <v>1</v>
      </c>
      <c r="C2521" t="s">
        <v>11991</v>
      </c>
      <c r="E2521" t="s">
        <v>11992</v>
      </c>
      <c r="F2521" t="s">
        <v>5</v>
      </c>
      <c r="G2521" t="s">
        <v>6</v>
      </c>
      <c r="L2521" t="s">
        <v>7</v>
      </c>
      <c r="M2521">
        <v>2012</v>
      </c>
      <c r="N2521" s="1">
        <v>41178</v>
      </c>
      <c r="O2521" t="s">
        <v>11993</v>
      </c>
      <c r="P2521">
        <v>1</v>
      </c>
      <c r="Q2521" t="s">
        <v>6437</v>
      </c>
      <c r="S2521">
        <v>253.95</v>
      </c>
      <c r="T2521">
        <v>290</v>
      </c>
      <c r="U2521">
        <v>220</v>
      </c>
      <c r="V2521" t="s">
        <v>58</v>
      </c>
      <c r="W2521" t="s">
        <v>59</v>
      </c>
      <c r="X2521" t="s">
        <v>60</v>
      </c>
      <c r="Y2521" t="s">
        <v>145</v>
      </c>
      <c r="AF2521" t="s">
        <v>13</v>
      </c>
      <c r="AG2521" t="str">
        <f>HYPERLINK("https://doi.org/10.1515/9780748669714")</f>
        <v>https://doi.org/10.1515/9780748669714</v>
      </c>
      <c r="AH2521" t="str">
        <f>HYPERLINK("http://www.degruyter.com/isbn/9780748669714")</f>
        <v>http://www.degruyter.com/isbn/9780748669714</v>
      </c>
      <c r="AI2521" t="s">
        <v>68</v>
      </c>
      <c r="AL2521" t="s">
        <v>62</v>
      </c>
      <c r="AM2521">
        <v>1</v>
      </c>
      <c r="AN2521" s="2">
        <v>9780748646524</v>
      </c>
    </row>
    <row r="2522" spans="1:40" x14ac:dyDescent="0.3">
      <c r="A2522" t="s">
        <v>11994</v>
      </c>
      <c r="B2522" t="s">
        <v>1</v>
      </c>
      <c r="C2522" t="s">
        <v>11995</v>
      </c>
      <c r="E2522" t="s">
        <v>11996</v>
      </c>
      <c r="F2522" t="s">
        <v>5</v>
      </c>
      <c r="G2522" t="s">
        <v>6</v>
      </c>
      <c r="L2522" t="s">
        <v>7</v>
      </c>
      <c r="M2522">
        <v>2017</v>
      </c>
      <c r="N2522" s="1">
        <v>42926</v>
      </c>
      <c r="O2522" t="s">
        <v>11997</v>
      </c>
      <c r="P2522">
        <v>1</v>
      </c>
      <c r="Q2522" t="s">
        <v>8081</v>
      </c>
      <c r="S2522">
        <v>217.95</v>
      </c>
      <c r="T2522">
        <v>250</v>
      </c>
      <c r="U2522">
        <v>190</v>
      </c>
      <c r="V2522" t="s">
        <v>20</v>
      </c>
      <c r="W2522" t="s">
        <v>21</v>
      </c>
      <c r="X2522" t="s">
        <v>22</v>
      </c>
      <c r="Y2522" t="s">
        <v>23</v>
      </c>
      <c r="AF2522" t="s">
        <v>13</v>
      </c>
      <c r="AG2522" t="str">
        <f>HYPERLINK("https://doi.org/10.1515/9781474411660?locatt=mode:legacy")</f>
        <v>https://doi.org/10.1515/9781474411660?locatt=mode:legacy</v>
      </c>
      <c r="AH2522" t="str">
        <f>HYPERLINK("http://www.degruyter.com/isbn/9781474411660")</f>
        <v>http://www.degruyter.com/isbn/9781474411660</v>
      </c>
      <c r="AI2522" t="s">
        <v>222</v>
      </c>
      <c r="AL2522" t="s">
        <v>15</v>
      </c>
      <c r="AM2522">
        <v>1</v>
      </c>
      <c r="AN2522" s="2">
        <v>9781474411653</v>
      </c>
    </row>
    <row r="2523" spans="1:40" x14ac:dyDescent="0.3">
      <c r="A2523" t="s">
        <v>11998</v>
      </c>
      <c r="B2523" t="s">
        <v>1</v>
      </c>
      <c r="C2523" t="s">
        <v>6983</v>
      </c>
      <c r="D2523" t="s">
        <v>11999</v>
      </c>
      <c r="E2523" t="s">
        <v>6985</v>
      </c>
      <c r="F2523" t="s">
        <v>5</v>
      </c>
      <c r="G2523" t="s">
        <v>6</v>
      </c>
      <c r="L2523" t="s">
        <v>7</v>
      </c>
      <c r="M2523">
        <v>2019</v>
      </c>
      <c r="N2523" s="1">
        <v>44656</v>
      </c>
      <c r="O2523" t="s">
        <v>12000</v>
      </c>
      <c r="P2523">
        <v>1</v>
      </c>
      <c r="Q2523" t="s">
        <v>7655</v>
      </c>
      <c r="S2523">
        <v>227.95</v>
      </c>
      <c r="T2523">
        <v>260</v>
      </c>
      <c r="U2523">
        <v>200</v>
      </c>
      <c r="V2523" t="s">
        <v>9</v>
      </c>
      <c r="W2523" t="s">
        <v>10</v>
      </c>
      <c r="X2523" t="s">
        <v>11</v>
      </c>
      <c r="Y2523" t="s">
        <v>52</v>
      </c>
      <c r="AF2523" t="s">
        <v>13</v>
      </c>
      <c r="AG2523" t="str">
        <f>HYPERLINK("https://www.degruyter.com/isbn/9781474440202")</f>
        <v>https://www.degruyter.com/isbn/9781474440202</v>
      </c>
      <c r="AH2523" t="str">
        <f>HYPERLINK("http://www.degruyter.com/isbn/9781474440202")</f>
        <v>http://www.degruyter.com/isbn/9781474440202</v>
      </c>
      <c r="AI2523" t="s">
        <v>3968</v>
      </c>
      <c r="AL2523" t="s">
        <v>15</v>
      </c>
      <c r="AM2523">
        <v>1</v>
      </c>
      <c r="AN2523" s="2">
        <v>9781474440189</v>
      </c>
    </row>
    <row r="2524" spans="1:40" x14ac:dyDescent="0.3">
      <c r="A2524" t="s">
        <v>12001</v>
      </c>
      <c r="B2524" t="s">
        <v>1</v>
      </c>
      <c r="C2524" t="s">
        <v>12002</v>
      </c>
      <c r="E2524" t="s">
        <v>12003</v>
      </c>
      <c r="F2524" t="s">
        <v>5</v>
      </c>
      <c r="G2524" t="s">
        <v>6</v>
      </c>
      <c r="L2524" t="s">
        <v>7</v>
      </c>
      <c r="M2524">
        <v>1999</v>
      </c>
      <c r="N2524" s="1">
        <v>44599</v>
      </c>
      <c r="O2524" t="s">
        <v>12004</v>
      </c>
      <c r="P2524">
        <v>1</v>
      </c>
      <c r="Q2524" t="s">
        <v>7266</v>
      </c>
      <c r="S2524">
        <v>227.95</v>
      </c>
      <c r="T2524">
        <v>260</v>
      </c>
      <c r="U2524">
        <v>200</v>
      </c>
      <c r="V2524" t="s">
        <v>42</v>
      </c>
      <c r="W2524" t="s">
        <v>116</v>
      </c>
      <c r="X2524" t="s">
        <v>116</v>
      </c>
      <c r="Y2524" t="s">
        <v>117</v>
      </c>
      <c r="AF2524" t="s">
        <v>13</v>
      </c>
      <c r="AG2524" t="str">
        <f>HYPERLINK("https://doi.org/10.1515/9780748698578")</f>
        <v>https://doi.org/10.1515/9780748698578</v>
      </c>
      <c r="AH2524" t="str">
        <f>HYPERLINK("http://www.degruyter.com/isbn/9780748698578")</f>
        <v>http://www.degruyter.com/isbn/9780748698578</v>
      </c>
      <c r="AI2524" t="s">
        <v>24</v>
      </c>
      <c r="AL2524" t="s">
        <v>47</v>
      </c>
      <c r="AM2524">
        <v>1</v>
      </c>
      <c r="AN2524" s="2">
        <v>9780748605682</v>
      </c>
    </row>
    <row r="2525" spans="1:40" x14ac:dyDescent="0.3">
      <c r="A2525" t="s">
        <v>12005</v>
      </c>
      <c r="B2525" t="s">
        <v>1</v>
      </c>
      <c r="C2525" t="s">
        <v>12006</v>
      </c>
      <c r="D2525" t="s">
        <v>12007</v>
      </c>
      <c r="E2525" t="s">
        <v>12008</v>
      </c>
      <c r="F2525" t="s">
        <v>5</v>
      </c>
      <c r="G2525" t="s">
        <v>6</v>
      </c>
      <c r="L2525" t="s">
        <v>7</v>
      </c>
      <c r="M2525">
        <v>2016</v>
      </c>
      <c r="N2525" s="1">
        <v>42550</v>
      </c>
      <c r="O2525" t="s">
        <v>12009</v>
      </c>
      <c r="P2525">
        <v>1</v>
      </c>
      <c r="Q2525" t="s">
        <v>6539</v>
      </c>
      <c r="S2525">
        <v>217.95</v>
      </c>
      <c r="T2525">
        <v>250</v>
      </c>
      <c r="U2525">
        <v>190</v>
      </c>
      <c r="V2525" t="s">
        <v>42</v>
      </c>
      <c r="W2525" t="s">
        <v>116</v>
      </c>
      <c r="X2525" t="s">
        <v>116</v>
      </c>
      <c r="Y2525" t="s">
        <v>117</v>
      </c>
      <c r="AF2525" t="s">
        <v>13</v>
      </c>
      <c r="AG2525" t="str">
        <f>HYPERLINK("https://doi.org/10.1515/9781474406765")</f>
        <v>https://doi.org/10.1515/9781474406765</v>
      </c>
      <c r="AH2525" t="str">
        <f>HYPERLINK("http://www.degruyter.com/isbn/9781474406765")</f>
        <v>http://www.degruyter.com/isbn/9781474406765</v>
      </c>
      <c r="AI2525" t="s">
        <v>180</v>
      </c>
      <c r="AL2525" t="s">
        <v>47</v>
      </c>
      <c r="AM2525">
        <v>1</v>
      </c>
      <c r="AN2525" s="2">
        <v>9781474406758</v>
      </c>
    </row>
    <row r="2526" spans="1:40" x14ac:dyDescent="0.3">
      <c r="A2526" t="s">
        <v>12010</v>
      </c>
      <c r="B2526" t="s">
        <v>1</v>
      </c>
      <c r="C2526" t="s">
        <v>12011</v>
      </c>
      <c r="D2526" t="s">
        <v>12012</v>
      </c>
      <c r="E2526" t="s">
        <v>12013</v>
      </c>
      <c r="F2526" t="s">
        <v>5</v>
      </c>
      <c r="G2526" t="s">
        <v>6</v>
      </c>
      <c r="L2526" t="s">
        <v>7</v>
      </c>
      <c r="M2526">
        <v>2014</v>
      </c>
      <c r="N2526" s="1">
        <v>41975</v>
      </c>
      <c r="O2526" t="s">
        <v>12014</v>
      </c>
      <c r="P2526">
        <v>1</v>
      </c>
      <c r="Q2526" t="s">
        <v>6665</v>
      </c>
      <c r="S2526">
        <v>217.95</v>
      </c>
      <c r="T2526">
        <v>250</v>
      </c>
      <c r="U2526">
        <v>190</v>
      </c>
      <c r="V2526" t="s">
        <v>42</v>
      </c>
      <c r="W2526" t="s">
        <v>43</v>
      </c>
      <c r="X2526" t="s">
        <v>44</v>
      </c>
      <c r="Y2526" t="s">
        <v>45</v>
      </c>
      <c r="AF2526" t="s">
        <v>13</v>
      </c>
      <c r="AG2526" t="str">
        <f>HYPERLINK("https://doi.org/10.1515/9780748694181?locatt=mode:legacy")</f>
        <v>https://doi.org/10.1515/9780748694181?locatt=mode:legacy</v>
      </c>
      <c r="AH2526" t="str">
        <f>HYPERLINK("http://www.degruyter.com/isbn/9780748694181")</f>
        <v>http://www.degruyter.com/isbn/9780748694181</v>
      </c>
      <c r="AI2526" t="s">
        <v>34</v>
      </c>
      <c r="AL2526" t="s">
        <v>47</v>
      </c>
      <c r="AM2526">
        <v>1</v>
      </c>
      <c r="AN2526" s="2">
        <v>9780748694174</v>
      </c>
    </row>
    <row r="2527" spans="1:40" x14ac:dyDescent="0.3">
      <c r="A2527" t="s">
        <v>12015</v>
      </c>
      <c r="B2527" t="s">
        <v>1</v>
      </c>
      <c r="C2527" t="s">
        <v>12016</v>
      </c>
      <c r="D2527" t="s">
        <v>12017</v>
      </c>
      <c r="E2527" t="s">
        <v>12018</v>
      </c>
      <c r="F2527" t="s">
        <v>5</v>
      </c>
      <c r="G2527" t="s">
        <v>6</v>
      </c>
      <c r="L2527" t="s">
        <v>7</v>
      </c>
      <c r="M2527">
        <v>2009</v>
      </c>
      <c r="N2527" s="1">
        <v>40117</v>
      </c>
      <c r="O2527" t="s">
        <v>12019</v>
      </c>
      <c r="P2527">
        <v>1</v>
      </c>
      <c r="Q2527" t="s">
        <v>8750</v>
      </c>
      <c r="S2527">
        <v>217.95</v>
      </c>
      <c r="T2527">
        <v>250</v>
      </c>
      <c r="U2527">
        <v>190</v>
      </c>
      <c r="V2527" t="s">
        <v>42</v>
      </c>
      <c r="W2527" t="s">
        <v>116</v>
      </c>
      <c r="X2527" t="s">
        <v>116</v>
      </c>
      <c r="Y2527" t="s">
        <v>1129</v>
      </c>
      <c r="AF2527" t="s">
        <v>13</v>
      </c>
      <c r="AG2527" t="str">
        <f>HYPERLINK("https://doi.org/10.1515/9781474465885")</f>
        <v>https://doi.org/10.1515/9781474465885</v>
      </c>
      <c r="AH2527" t="str">
        <f>HYPERLINK("http://www.degruyter.com/isbn/9781474465885")</f>
        <v>http://www.degruyter.com/isbn/9781474465885</v>
      </c>
      <c r="AI2527" t="s">
        <v>68</v>
      </c>
      <c r="AL2527" t="s">
        <v>47</v>
      </c>
      <c r="AM2527">
        <v>1</v>
      </c>
      <c r="AN2527" s="2">
        <v>9780748684700</v>
      </c>
    </row>
    <row r="2528" spans="1:40" x14ac:dyDescent="0.3">
      <c r="A2528" t="s">
        <v>12020</v>
      </c>
      <c r="B2528" t="s">
        <v>1</v>
      </c>
      <c r="C2528" t="s">
        <v>12021</v>
      </c>
      <c r="D2528" t="s">
        <v>12022</v>
      </c>
      <c r="E2528" t="s">
        <v>12023</v>
      </c>
      <c r="F2528" t="s">
        <v>5</v>
      </c>
      <c r="G2528" t="s">
        <v>6</v>
      </c>
      <c r="L2528" t="s">
        <v>7</v>
      </c>
      <c r="M2528">
        <v>2019</v>
      </c>
      <c r="N2528" s="1">
        <v>44644</v>
      </c>
      <c r="O2528" t="s">
        <v>12024</v>
      </c>
      <c r="P2528">
        <v>1</v>
      </c>
      <c r="Q2528" t="s">
        <v>6779</v>
      </c>
      <c r="S2528">
        <v>227.95</v>
      </c>
      <c r="T2528">
        <v>260</v>
      </c>
      <c r="U2528">
        <v>200</v>
      </c>
      <c r="V2528" t="s">
        <v>20</v>
      </c>
      <c r="W2528" t="s">
        <v>21</v>
      </c>
      <c r="X2528" t="s">
        <v>839</v>
      </c>
      <c r="Y2528" t="s">
        <v>12025</v>
      </c>
      <c r="AF2528" t="s">
        <v>13</v>
      </c>
      <c r="AG2528" t="str">
        <f>HYPERLINK("https://doi.org/10.1515/9781474411820")</f>
        <v>https://doi.org/10.1515/9781474411820</v>
      </c>
      <c r="AH2528" t="str">
        <f>HYPERLINK("http://www.degruyter.com/isbn/9781474411820")</f>
        <v>http://www.degruyter.com/isbn/9781474411820</v>
      </c>
      <c r="AI2528" t="s">
        <v>280</v>
      </c>
      <c r="AJ2528" t="s">
        <v>35</v>
      </c>
      <c r="AL2528" t="s">
        <v>1346</v>
      </c>
      <c r="AM2528">
        <v>1</v>
      </c>
      <c r="AN2528" s="2">
        <v>9781474411813</v>
      </c>
    </row>
    <row r="2529" spans="1:40" x14ac:dyDescent="0.3">
      <c r="A2529" t="s">
        <v>12026</v>
      </c>
      <c r="B2529" t="s">
        <v>1</v>
      </c>
      <c r="C2529" t="s">
        <v>12027</v>
      </c>
      <c r="E2529" t="s">
        <v>12028</v>
      </c>
      <c r="F2529" t="s">
        <v>5</v>
      </c>
      <c r="G2529" t="s">
        <v>6</v>
      </c>
      <c r="L2529" t="s">
        <v>7</v>
      </c>
      <c r="M2529">
        <v>2007</v>
      </c>
      <c r="N2529" s="1">
        <v>39430</v>
      </c>
      <c r="O2529" t="s">
        <v>12029</v>
      </c>
      <c r="P2529">
        <v>1</v>
      </c>
      <c r="Q2529" t="s">
        <v>8048</v>
      </c>
      <c r="S2529">
        <v>217.95</v>
      </c>
      <c r="T2529">
        <v>250</v>
      </c>
      <c r="U2529">
        <v>190</v>
      </c>
      <c r="V2529" t="s">
        <v>58</v>
      </c>
      <c r="W2529" t="s">
        <v>59</v>
      </c>
      <c r="X2529" t="s">
        <v>278</v>
      </c>
      <c r="Y2529" t="s">
        <v>932</v>
      </c>
      <c r="AF2529" t="s">
        <v>13</v>
      </c>
      <c r="AG2529" t="str">
        <f>HYPERLINK("https://doi.org/10.1515/9780748633982")</f>
        <v>https://doi.org/10.1515/9780748633982</v>
      </c>
      <c r="AH2529" t="str">
        <f>HYPERLINK("http://www.degruyter.com/isbn/9780748633982")</f>
        <v>http://www.degruyter.com/isbn/9780748633982</v>
      </c>
      <c r="AI2529" t="s">
        <v>68</v>
      </c>
      <c r="AL2529" t="s">
        <v>62</v>
      </c>
      <c r="AM2529">
        <v>1</v>
      </c>
      <c r="AN2529" s="2">
        <v>9780748633975</v>
      </c>
    </row>
    <row r="2530" spans="1:40" x14ac:dyDescent="0.3">
      <c r="A2530" t="s">
        <v>12030</v>
      </c>
      <c r="B2530" t="s">
        <v>1</v>
      </c>
      <c r="C2530" t="s">
        <v>12031</v>
      </c>
      <c r="E2530" t="s">
        <v>12032</v>
      </c>
      <c r="F2530" t="s">
        <v>5</v>
      </c>
      <c r="G2530" t="s">
        <v>6</v>
      </c>
      <c r="L2530" t="s">
        <v>7</v>
      </c>
      <c r="M2530">
        <v>2015</v>
      </c>
      <c r="N2530" s="1">
        <v>42265</v>
      </c>
      <c r="O2530" t="s">
        <v>12033</v>
      </c>
      <c r="P2530">
        <v>1</v>
      </c>
      <c r="Q2530" t="s">
        <v>6539</v>
      </c>
      <c r="S2530">
        <v>217.95</v>
      </c>
      <c r="T2530">
        <v>250</v>
      </c>
      <c r="U2530">
        <v>190</v>
      </c>
      <c r="V2530" t="s">
        <v>58</v>
      </c>
      <c r="W2530" t="s">
        <v>808</v>
      </c>
      <c r="X2530" t="s">
        <v>809</v>
      </c>
      <c r="Y2530" t="s">
        <v>810</v>
      </c>
      <c r="AF2530" t="s">
        <v>13</v>
      </c>
      <c r="AG2530" t="str">
        <f>HYPERLINK("https://doi.org/10.1515/9780748699698")</f>
        <v>https://doi.org/10.1515/9780748699698</v>
      </c>
      <c r="AH2530" t="str">
        <f>HYPERLINK("http://www.degruyter.com/isbn/9780748699698")</f>
        <v>http://www.degruyter.com/isbn/9780748699698</v>
      </c>
      <c r="AI2530" t="s">
        <v>34</v>
      </c>
      <c r="AL2530" t="s">
        <v>62</v>
      </c>
      <c r="AM2530">
        <v>1</v>
      </c>
      <c r="AN2530" s="2">
        <v>9780748640683</v>
      </c>
    </row>
    <row r="2531" spans="1:40" x14ac:dyDescent="0.3">
      <c r="A2531" t="s">
        <v>12034</v>
      </c>
      <c r="B2531" t="s">
        <v>1</v>
      </c>
      <c r="C2531" t="s">
        <v>12035</v>
      </c>
      <c r="D2531" t="s">
        <v>12036</v>
      </c>
      <c r="E2531" t="s">
        <v>12037</v>
      </c>
      <c r="F2531" t="s">
        <v>5</v>
      </c>
      <c r="G2531" t="s">
        <v>6</v>
      </c>
      <c r="L2531" t="s">
        <v>7</v>
      </c>
      <c r="M2531">
        <v>2016</v>
      </c>
      <c r="N2531" s="1">
        <v>42570</v>
      </c>
      <c r="O2531" t="s">
        <v>12038</v>
      </c>
      <c r="P2531">
        <v>1</v>
      </c>
      <c r="Q2531" t="s">
        <v>8650</v>
      </c>
      <c r="S2531">
        <v>217.95</v>
      </c>
      <c r="T2531">
        <v>250</v>
      </c>
      <c r="U2531">
        <v>190</v>
      </c>
      <c r="V2531" t="s">
        <v>20</v>
      </c>
      <c r="W2531" t="s">
        <v>21</v>
      </c>
      <c r="X2531" t="s">
        <v>22</v>
      </c>
      <c r="Y2531" t="s">
        <v>489</v>
      </c>
      <c r="AF2531" t="s">
        <v>13</v>
      </c>
      <c r="AG2531" t="str">
        <f>HYPERLINK("https://doi.org/10.1515/9781474409377")</f>
        <v>https://doi.org/10.1515/9781474409377</v>
      </c>
      <c r="AH2531" t="str">
        <f>HYPERLINK("http://www.degruyter.com/isbn/9781474409377")</f>
        <v>http://www.degruyter.com/isbn/9781474409377</v>
      </c>
      <c r="AI2531" t="s">
        <v>180</v>
      </c>
      <c r="AL2531" t="s">
        <v>15</v>
      </c>
      <c r="AM2531">
        <v>1</v>
      </c>
      <c r="AN2531" s="2">
        <v>9781474409360</v>
      </c>
    </row>
    <row r="2532" spans="1:40" x14ac:dyDescent="0.3">
      <c r="A2532" t="s">
        <v>12039</v>
      </c>
      <c r="B2532" t="s">
        <v>1</v>
      </c>
      <c r="C2532" t="s">
        <v>12040</v>
      </c>
      <c r="E2532" t="s">
        <v>12041</v>
      </c>
      <c r="F2532" t="s">
        <v>5</v>
      </c>
      <c r="G2532" t="s">
        <v>6</v>
      </c>
      <c r="L2532" t="s">
        <v>7</v>
      </c>
      <c r="M2532">
        <v>2019</v>
      </c>
      <c r="N2532" s="1">
        <v>44656</v>
      </c>
      <c r="O2532" t="s">
        <v>12042</v>
      </c>
      <c r="P2532">
        <v>1</v>
      </c>
      <c r="Q2532" t="s">
        <v>9122</v>
      </c>
      <c r="S2532">
        <v>261.95</v>
      </c>
      <c r="T2532">
        <v>300</v>
      </c>
      <c r="U2532">
        <v>230</v>
      </c>
      <c r="V2532" t="s">
        <v>305</v>
      </c>
      <c r="W2532" t="s">
        <v>2129</v>
      </c>
      <c r="X2532" t="s">
        <v>9271</v>
      </c>
      <c r="Y2532" t="s">
        <v>9272</v>
      </c>
      <c r="AF2532" t="s">
        <v>13</v>
      </c>
      <c r="AG2532" t="str">
        <f>HYPERLINK("https://doi.org/10.1515/9781474437455?locatt=mode:legacy")</f>
        <v>https://doi.org/10.1515/9781474437455?locatt=mode:legacy</v>
      </c>
      <c r="AH2532" t="str">
        <f>HYPERLINK("http://www.degruyter.com/isbn/9781474437455")</f>
        <v>http://www.degruyter.com/isbn/9781474437455</v>
      </c>
      <c r="AI2532" t="s">
        <v>280</v>
      </c>
      <c r="AL2532" t="s">
        <v>308</v>
      </c>
      <c r="AM2532">
        <v>1</v>
      </c>
      <c r="AN2532" s="2">
        <v>9781474437431</v>
      </c>
    </row>
    <row r="2533" spans="1:40" x14ac:dyDescent="0.3">
      <c r="A2533" t="s">
        <v>12043</v>
      </c>
      <c r="B2533" t="s">
        <v>1</v>
      </c>
      <c r="C2533" t="s">
        <v>12044</v>
      </c>
      <c r="E2533" t="s">
        <v>12045</v>
      </c>
      <c r="F2533" t="s">
        <v>5</v>
      </c>
      <c r="G2533" t="s">
        <v>6</v>
      </c>
      <c r="L2533" t="s">
        <v>7</v>
      </c>
      <c r="M2533">
        <v>2012</v>
      </c>
      <c r="N2533" s="1">
        <v>40925</v>
      </c>
      <c r="O2533" t="s">
        <v>12046</v>
      </c>
      <c r="P2533">
        <v>1</v>
      </c>
      <c r="Q2533" t="s">
        <v>7738</v>
      </c>
      <c r="S2533">
        <v>227.95</v>
      </c>
      <c r="T2533">
        <v>260</v>
      </c>
      <c r="U2533">
        <v>200</v>
      </c>
      <c r="V2533" t="s">
        <v>98</v>
      </c>
      <c r="W2533" t="s">
        <v>99</v>
      </c>
      <c r="X2533" t="s">
        <v>386</v>
      </c>
      <c r="Y2533" t="s">
        <v>387</v>
      </c>
      <c r="AF2533" t="s">
        <v>13</v>
      </c>
      <c r="AG2533" t="str">
        <f>HYPERLINK("https://doi.org/10.1515/9780748654314")</f>
        <v>https://doi.org/10.1515/9780748654314</v>
      </c>
      <c r="AH2533" t="str">
        <f>HYPERLINK("http://www.degruyter.com/isbn/9780748654314")</f>
        <v>http://www.degruyter.com/isbn/9780748654314</v>
      </c>
      <c r="AI2533" t="s">
        <v>68</v>
      </c>
      <c r="AL2533" t="s">
        <v>102</v>
      </c>
      <c r="AM2533">
        <v>1</v>
      </c>
      <c r="AN2533" s="2">
        <v>9780748642397</v>
      </c>
    </row>
    <row r="2534" spans="1:40" x14ac:dyDescent="0.3">
      <c r="A2534" t="s">
        <v>12047</v>
      </c>
      <c r="B2534" t="s">
        <v>1</v>
      </c>
      <c r="C2534" t="s">
        <v>12048</v>
      </c>
      <c r="E2534" t="s">
        <v>12049</v>
      </c>
      <c r="F2534" t="s">
        <v>5</v>
      </c>
      <c r="G2534" t="s">
        <v>6</v>
      </c>
      <c r="L2534" t="s">
        <v>7</v>
      </c>
      <c r="M2534">
        <v>2009</v>
      </c>
      <c r="N2534" s="1">
        <v>39918</v>
      </c>
      <c r="O2534" t="s">
        <v>12050</v>
      </c>
      <c r="P2534">
        <v>1</v>
      </c>
      <c r="Q2534" t="s">
        <v>7266</v>
      </c>
      <c r="S2534">
        <v>227.95</v>
      </c>
      <c r="T2534">
        <v>260</v>
      </c>
      <c r="U2534">
        <v>200</v>
      </c>
      <c r="V2534" t="s">
        <v>42</v>
      </c>
      <c r="W2534" t="s">
        <v>116</v>
      </c>
      <c r="X2534" t="s">
        <v>116</v>
      </c>
      <c r="Y2534" t="s">
        <v>117</v>
      </c>
      <c r="AF2534" t="s">
        <v>13</v>
      </c>
      <c r="AG2534" t="str">
        <f>HYPERLINK("https://doi.org/10.1515/9780748628391")</f>
        <v>https://doi.org/10.1515/9780748628391</v>
      </c>
      <c r="AH2534" t="str">
        <f>HYPERLINK("http://www.degruyter.com/isbn/9780748628391")</f>
        <v>http://www.degruyter.com/isbn/9780748628391</v>
      </c>
      <c r="AI2534" t="s">
        <v>68</v>
      </c>
      <c r="AL2534" t="s">
        <v>47</v>
      </c>
      <c r="AM2534">
        <v>1</v>
      </c>
      <c r="AN2534" s="2">
        <v>9780748605897</v>
      </c>
    </row>
    <row r="2535" spans="1:40" x14ac:dyDescent="0.3">
      <c r="A2535" t="s">
        <v>12051</v>
      </c>
      <c r="B2535" t="s">
        <v>1</v>
      </c>
      <c r="C2535" t="s">
        <v>12052</v>
      </c>
      <c r="E2535" t="s">
        <v>12053</v>
      </c>
      <c r="F2535" t="s">
        <v>5</v>
      </c>
      <c r="G2535" t="s">
        <v>6</v>
      </c>
      <c r="L2535" t="s">
        <v>7</v>
      </c>
      <c r="M2535">
        <v>2015</v>
      </c>
      <c r="N2535" s="1">
        <v>42174</v>
      </c>
      <c r="O2535" t="s">
        <v>12054</v>
      </c>
      <c r="P2535">
        <v>1</v>
      </c>
      <c r="Q2535" t="s">
        <v>6876</v>
      </c>
      <c r="S2535">
        <v>217.95</v>
      </c>
      <c r="T2535">
        <v>250</v>
      </c>
      <c r="U2535">
        <v>190</v>
      </c>
      <c r="V2535" t="s">
        <v>42</v>
      </c>
      <c r="W2535" t="s">
        <v>161</v>
      </c>
      <c r="X2535" t="s">
        <v>162</v>
      </c>
      <c r="Y2535" t="s">
        <v>393</v>
      </c>
      <c r="AF2535" t="s">
        <v>13</v>
      </c>
      <c r="AG2535" t="str">
        <f>HYPERLINK("https://doi.org/10.1515/9780748696567")</f>
        <v>https://doi.org/10.1515/9780748696567</v>
      </c>
      <c r="AH2535" t="str">
        <f>HYPERLINK("http://www.degruyter.com/isbn/9780748696567")</f>
        <v>http://www.degruyter.com/isbn/9780748696567</v>
      </c>
      <c r="AI2535" t="s">
        <v>34</v>
      </c>
      <c r="AL2535" t="s">
        <v>47</v>
      </c>
      <c r="AM2535">
        <v>1</v>
      </c>
      <c r="AN2535" s="2">
        <v>9780748696550</v>
      </c>
    </row>
    <row r="2536" spans="1:40" x14ac:dyDescent="0.3">
      <c r="A2536" t="s">
        <v>12055</v>
      </c>
      <c r="B2536" t="s">
        <v>1</v>
      </c>
      <c r="C2536" t="s">
        <v>12056</v>
      </c>
      <c r="D2536" t="s">
        <v>12057</v>
      </c>
      <c r="E2536" t="s">
        <v>12058</v>
      </c>
      <c r="F2536" t="s">
        <v>5</v>
      </c>
      <c r="G2536" t="s">
        <v>6</v>
      </c>
      <c r="L2536" t="s">
        <v>7</v>
      </c>
      <c r="M2536">
        <v>2018</v>
      </c>
      <c r="N2536" s="1">
        <v>44644</v>
      </c>
      <c r="O2536" t="s">
        <v>12059</v>
      </c>
      <c r="P2536">
        <v>1</v>
      </c>
      <c r="Q2536" t="s">
        <v>6665</v>
      </c>
      <c r="S2536">
        <v>217.95</v>
      </c>
      <c r="T2536">
        <v>250</v>
      </c>
      <c r="U2536">
        <v>190</v>
      </c>
      <c r="V2536" t="s">
        <v>42</v>
      </c>
      <c r="W2536" t="s">
        <v>43</v>
      </c>
      <c r="X2536" t="s">
        <v>44</v>
      </c>
      <c r="Y2536" t="s">
        <v>45</v>
      </c>
      <c r="AF2536" t="s">
        <v>13</v>
      </c>
      <c r="AG2536" t="str">
        <f>HYPERLINK("https://doi.org/10.1515/9781474423458")</f>
        <v>https://doi.org/10.1515/9781474423458</v>
      </c>
      <c r="AH2536" t="str">
        <f>HYPERLINK("http://www.degruyter.com/isbn/9781474423458")</f>
        <v>http://www.degruyter.com/isbn/9781474423458</v>
      </c>
      <c r="AI2536" t="s">
        <v>46</v>
      </c>
      <c r="AJ2536" t="s">
        <v>35</v>
      </c>
      <c r="AL2536" t="s">
        <v>520</v>
      </c>
      <c r="AM2536">
        <v>1</v>
      </c>
      <c r="AN2536" s="2">
        <v>9781474423441</v>
      </c>
    </row>
    <row r="2537" spans="1:40" x14ac:dyDescent="0.3">
      <c r="A2537" t="s">
        <v>12060</v>
      </c>
      <c r="B2537" t="s">
        <v>1</v>
      </c>
      <c r="C2537" t="s">
        <v>12061</v>
      </c>
      <c r="E2537" t="s">
        <v>12062</v>
      </c>
      <c r="F2537" t="s">
        <v>5</v>
      </c>
      <c r="G2537" t="s">
        <v>6</v>
      </c>
      <c r="L2537" t="s">
        <v>7</v>
      </c>
      <c r="M2537">
        <v>2000</v>
      </c>
      <c r="N2537" s="1">
        <v>36661</v>
      </c>
      <c r="O2537" t="s">
        <v>9374</v>
      </c>
      <c r="P2537">
        <v>1</v>
      </c>
      <c r="Q2537" t="s">
        <v>11183</v>
      </c>
      <c r="S2537">
        <v>305.95</v>
      </c>
      <c r="T2537">
        <v>350</v>
      </c>
      <c r="U2537">
        <v>270</v>
      </c>
      <c r="V2537" t="s">
        <v>847</v>
      </c>
      <c r="W2537" t="s">
        <v>848</v>
      </c>
      <c r="X2537" t="s">
        <v>1068</v>
      </c>
      <c r="Y2537" t="s">
        <v>1069</v>
      </c>
      <c r="AF2537" t="s">
        <v>13</v>
      </c>
      <c r="AG2537" t="str">
        <f>HYPERLINK("https://doi.org/10.1515/9781474469760")</f>
        <v>https://doi.org/10.1515/9781474469760</v>
      </c>
      <c r="AH2537" t="str">
        <f>HYPERLINK("http://www.degruyter.com/isbn/9781474469760")</f>
        <v>http://www.degruyter.com/isbn/9781474469760</v>
      </c>
      <c r="AI2537" t="s">
        <v>68</v>
      </c>
      <c r="AL2537" t="s">
        <v>1070</v>
      </c>
      <c r="AM2537">
        <v>1</v>
      </c>
      <c r="AN2537" s="2">
        <v>9780748609697</v>
      </c>
    </row>
    <row r="2538" spans="1:40" x14ac:dyDescent="0.3">
      <c r="A2538" t="s">
        <v>12063</v>
      </c>
      <c r="B2538" t="s">
        <v>1</v>
      </c>
      <c r="C2538" t="s">
        <v>12064</v>
      </c>
      <c r="D2538" t="s">
        <v>5690</v>
      </c>
      <c r="E2538" t="s">
        <v>12065</v>
      </c>
      <c r="F2538" t="s">
        <v>5</v>
      </c>
      <c r="G2538" t="s">
        <v>6</v>
      </c>
      <c r="L2538" t="s">
        <v>7</v>
      </c>
      <c r="M2538">
        <v>2019</v>
      </c>
      <c r="N2538" s="1">
        <v>44644</v>
      </c>
      <c r="O2538" t="s">
        <v>12066</v>
      </c>
      <c r="P2538">
        <v>1</v>
      </c>
      <c r="Q2538" t="s">
        <v>5693</v>
      </c>
      <c r="S2538">
        <v>243.95</v>
      </c>
      <c r="T2538">
        <v>280</v>
      </c>
      <c r="U2538">
        <v>210</v>
      </c>
      <c r="V2538" t="s">
        <v>42</v>
      </c>
      <c r="W2538" t="s">
        <v>290</v>
      </c>
      <c r="X2538" t="s">
        <v>290</v>
      </c>
      <c r="Y2538" t="s">
        <v>515</v>
      </c>
      <c r="AF2538" t="s">
        <v>13</v>
      </c>
      <c r="AG2538" t="str">
        <f>HYPERLINK("https://doi.org/10.1515/9781474427791?locatt=mode:legacy")</f>
        <v>https://doi.org/10.1515/9781474427791?locatt=mode:legacy</v>
      </c>
      <c r="AH2538" t="str">
        <f>HYPERLINK("http://www.degruyter.com/isbn/9781474427791")</f>
        <v>http://www.degruyter.com/isbn/9781474427791</v>
      </c>
      <c r="AI2538" t="s">
        <v>280</v>
      </c>
      <c r="AL2538" t="s">
        <v>47</v>
      </c>
      <c r="AM2538">
        <v>1</v>
      </c>
      <c r="AN2538" s="2">
        <v>9781474427777</v>
      </c>
    </row>
    <row r="2539" spans="1:40" x14ac:dyDescent="0.3">
      <c r="A2539" t="s">
        <v>12067</v>
      </c>
      <c r="B2539" t="s">
        <v>1</v>
      </c>
      <c r="C2539" t="s">
        <v>12068</v>
      </c>
      <c r="E2539" t="s">
        <v>12069</v>
      </c>
      <c r="F2539" t="s">
        <v>5</v>
      </c>
      <c r="G2539" t="s">
        <v>6</v>
      </c>
      <c r="L2539" t="s">
        <v>7</v>
      </c>
      <c r="M2539">
        <v>2011</v>
      </c>
      <c r="N2539" s="1">
        <v>40702</v>
      </c>
      <c r="O2539" t="s">
        <v>12070</v>
      </c>
      <c r="P2539">
        <v>1</v>
      </c>
      <c r="Q2539" t="s">
        <v>5794</v>
      </c>
      <c r="S2539">
        <v>191.95</v>
      </c>
      <c r="T2539">
        <v>220</v>
      </c>
      <c r="U2539">
        <v>170</v>
      </c>
      <c r="V2539" t="s">
        <v>42</v>
      </c>
      <c r="W2539" t="s">
        <v>107</v>
      </c>
      <c r="X2539" t="s">
        <v>108</v>
      </c>
      <c r="Y2539" t="s">
        <v>109</v>
      </c>
      <c r="AF2539" t="s">
        <v>13</v>
      </c>
      <c r="AG2539" t="str">
        <f>HYPERLINK("https://doi.org/10.1515/9780748647125")</f>
        <v>https://doi.org/10.1515/9780748647125</v>
      </c>
      <c r="AH2539" t="str">
        <f>HYPERLINK("http://www.degruyter.com/isbn/9780748647125")</f>
        <v>http://www.degruyter.com/isbn/9780748647125</v>
      </c>
      <c r="AI2539" t="s">
        <v>68</v>
      </c>
      <c r="AL2539" t="s">
        <v>47</v>
      </c>
      <c r="AM2539">
        <v>1</v>
      </c>
      <c r="AN2539" s="2">
        <v>9780748639007</v>
      </c>
    </row>
    <row r="2540" spans="1:40" x14ac:dyDescent="0.3">
      <c r="A2540" t="s">
        <v>12071</v>
      </c>
      <c r="B2540" t="s">
        <v>1</v>
      </c>
      <c r="C2540" t="s">
        <v>12072</v>
      </c>
      <c r="E2540" t="s">
        <v>12073</v>
      </c>
      <c r="F2540" t="s">
        <v>5</v>
      </c>
      <c r="G2540" t="s">
        <v>6</v>
      </c>
      <c r="L2540" t="s">
        <v>7</v>
      </c>
      <c r="M2540">
        <v>2020</v>
      </c>
      <c r="N2540" s="1">
        <v>44644</v>
      </c>
      <c r="O2540" t="s">
        <v>12074</v>
      </c>
      <c r="P2540">
        <v>1</v>
      </c>
      <c r="Q2540" t="s">
        <v>6729</v>
      </c>
      <c r="S2540">
        <v>253.95</v>
      </c>
      <c r="T2540">
        <v>290</v>
      </c>
      <c r="U2540">
        <v>220</v>
      </c>
      <c r="V2540" t="s">
        <v>42</v>
      </c>
      <c r="W2540" t="s">
        <v>740</v>
      </c>
      <c r="X2540" t="s">
        <v>741</v>
      </c>
      <c r="Y2540" t="s">
        <v>742</v>
      </c>
      <c r="AF2540" t="s">
        <v>13</v>
      </c>
      <c r="AG2540" t="str">
        <f>HYPERLINK("https://doi.org/10.1515/9781474454186?locatt=mode:legacy")</f>
        <v>https://doi.org/10.1515/9781474454186?locatt=mode:legacy</v>
      </c>
      <c r="AH2540" t="str">
        <f>HYPERLINK("http://www.degruyter.com/isbn/9781474454186")</f>
        <v>http://www.degruyter.com/isbn/9781474454186</v>
      </c>
      <c r="AI2540" t="s">
        <v>14</v>
      </c>
      <c r="AL2540" t="s">
        <v>47</v>
      </c>
      <c r="AM2540">
        <v>1</v>
      </c>
      <c r="AN2540" s="2">
        <v>9781474454155</v>
      </c>
    </row>
    <row r="2541" spans="1:40" x14ac:dyDescent="0.3">
      <c r="A2541" t="s">
        <v>12075</v>
      </c>
      <c r="B2541" t="s">
        <v>1</v>
      </c>
      <c r="C2541" t="s">
        <v>12076</v>
      </c>
      <c r="D2541" t="s">
        <v>12077</v>
      </c>
      <c r="E2541" t="s">
        <v>12078</v>
      </c>
      <c r="F2541" t="s">
        <v>5</v>
      </c>
      <c r="G2541" t="s">
        <v>6</v>
      </c>
      <c r="L2541" t="s">
        <v>7</v>
      </c>
      <c r="M2541">
        <v>2015</v>
      </c>
      <c r="N2541" s="1">
        <v>42321</v>
      </c>
      <c r="O2541" t="s">
        <v>12079</v>
      </c>
      <c r="P2541">
        <v>1</v>
      </c>
      <c r="Q2541" t="s">
        <v>10034</v>
      </c>
      <c r="S2541">
        <v>217.95</v>
      </c>
      <c r="T2541">
        <v>250</v>
      </c>
      <c r="U2541">
        <v>190</v>
      </c>
      <c r="V2541" t="s">
        <v>20</v>
      </c>
      <c r="W2541" t="s">
        <v>21</v>
      </c>
      <c r="X2541" t="s">
        <v>22</v>
      </c>
      <c r="Y2541" t="s">
        <v>489</v>
      </c>
      <c r="AF2541" t="s">
        <v>13</v>
      </c>
      <c r="AG2541" t="str">
        <f>HYPERLINK("https://doi.org/10.1515/9781474407823")</f>
        <v>https://doi.org/10.1515/9781474407823</v>
      </c>
      <c r="AH2541" t="str">
        <f>HYPERLINK("http://www.degruyter.com/isbn/9781474407823")</f>
        <v>http://www.degruyter.com/isbn/9781474407823</v>
      </c>
      <c r="AI2541" t="s">
        <v>34</v>
      </c>
      <c r="AL2541" t="s">
        <v>15</v>
      </c>
      <c r="AM2541">
        <v>1</v>
      </c>
      <c r="AN2541" s="2">
        <v>9781474407816</v>
      </c>
    </row>
    <row r="2542" spans="1:40" x14ac:dyDescent="0.3">
      <c r="A2542" t="s">
        <v>12080</v>
      </c>
      <c r="B2542" t="s">
        <v>1</v>
      </c>
      <c r="C2542" t="s">
        <v>12081</v>
      </c>
      <c r="D2542" t="s">
        <v>12082</v>
      </c>
      <c r="E2542" t="s">
        <v>12083</v>
      </c>
      <c r="F2542" t="s">
        <v>5</v>
      </c>
      <c r="G2542" t="s">
        <v>6</v>
      </c>
      <c r="L2542" t="s">
        <v>7</v>
      </c>
      <c r="M2542">
        <v>2013</v>
      </c>
      <c r="N2542" s="1">
        <v>41477</v>
      </c>
      <c r="O2542" t="s">
        <v>12084</v>
      </c>
      <c r="P2542">
        <v>1</v>
      </c>
      <c r="Q2542" t="s">
        <v>6665</v>
      </c>
      <c r="S2542">
        <v>217.95</v>
      </c>
      <c r="T2542">
        <v>250</v>
      </c>
      <c r="U2542">
        <v>190</v>
      </c>
      <c r="V2542" t="s">
        <v>9</v>
      </c>
      <c r="W2542" t="s">
        <v>10</v>
      </c>
      <c r="X2542" t="s">
        <v>11</v>
      </c>
      <c r="Y2542" t="s">
        <v>12</v>
      </c>
      <c r="AF2542" t="s">
        <v>13</v>
      </c>
      <c r="AG2542" t="str">
        <f>HYPERLINK("https://doi.org/10.1515/9780748678150?locatt=mode:legacy")</f>
        <v>https://doi.org/10.1515/9780748678150?locatt=mode:legacy</v>
      </c>
      <c r="AH2542" t="str">
        <f>HYPERLINK("http://www.degruyter.com/isbn/9780748678150")</f>
        <v>http://www.degruyter.com/isbn/9780748678150</v>
      </c>
      <c r="AI2542" t="s">
        <v>68</v>
      </c>
      <c r="AL2542" t="s">
        <v>15</v>
      </c>
      <c r="AM2542">
        <v>1</v>
      </c>
      <c r="AN2542" s="2">
        <v>9780748640041</v>
      </c>
    </row>
    <row r="2543" spans="1:40" x14ac:dyDescent="0.3">
      <c r="A2543" t="s">
        <v>12085</v>
      </c>
      <c r="B2543" t="s">
        <v>1</v>
      </c>
      <c r="C2543" t="s">
        <v>12086</v>
      </c>
      <c r="E2543" t="s">
        <v>12087</v>
      </c>
      <c r="F2543" t="s">
        <v>5</v>
      </c>
      <c r="G2543" t="s">
        <v>6</v>
      </c>
      <c r="L2543" t="s">
        <v>7</v>
      </c>
      <c r="M2543">
        <v>2009</v>
      </c>
      <c r="N2543" s="1">
        <v>40147</v>
      </c>
      <c r="O2543" t="s">
        <v>12088</v>
      </c>
      <c r="P2543">
        <v>1</v>
      </c>
      <c r="Q2543" t="s">
        <v>6912</v>
      </c>
      <c r="S2543">
        <v>253.95</v>
      </c>
      <c r="T2543">
        <v>290</v>
      </c>
      <c r="U2543">
        <v>220</v>
      </c>
      <c r="V2543" t="s">
        <v>98</v>
      </c>
      <c r="W2543" t="s">
        <v>99</v>
      </c>
      <c r="X2543" t="s">
        <v>386</v>
      </c>
      <c r="Y2543" t="s">
        <v>387</v>
      </c>
      <c r="AF2543" t="s">
        <v>13</v>
      </c>
      <c r="AG2543" t="str">
        <f>HYPERLINK("https://doi.org/10.1515/9780748641833")</f>
        <v>https://doi.org/10.1515/9780748641833</v>
      </c>
      <c r="AH2543" t="str">
        <f>HYPERLINK("http://www.degruyter.com/isbn/9780748641833")</f>
        <v>http://www.degruyter.com/isbn/9780748641833</v>
      </c>
      <c r="AI2543" t="s">
        <v>68</v>
      </c>
      <c r="AL2543" t="s">
        <v>102</v>
      </c>
      <c r="AM2543">
        <v>1</v>
      </c>
      <c r="AN2543" s="2">
        <v>9780748638550</v>
      </c>
    </row>
    <row r="2544" spans="1:40" x14ac:dyDescent="0.3">
      <c r="A2544" t="s">
        <v>12089</v>
      </c>
      <c r="B2544" t="s">
        <v>1</v>
      </c>
      <c r="C2544" t="s">
        <v>12090</v>
      </c>
      <c r="D2544" t="s">
        <v>12091</v>
      </c>
      <c r="E2544" t="s">
        <v>12092</v>
      </c>
      <c r="F2544" t="s">
        <v>5</v>
      </c>
      <c r="G2544" t="s">
        <v>6</v>
      </c>
      <c r="L2544" t="s">
        <v>7</v>
      </c>
      <c r="M2544">
        <v>2016</v>
      </c>
      <c r="N2544" s="1">
        <v>42541</v>
      </c>
      <c r="O2544" t="s">
        <v>12093</v>
      </c>
      <c r="P2544">
        <v>1</v>
      </c>
      <c r="Q2544" t="s">
        <v>6539</v>
      </c>
      <c r="S2544">
        <v>217.95</v>
      </c>
      <c r="T2544">
        <v>250</v>
      </c>
      <c r="U2544">
        <v>190</v>
      </c>
      <c r="V2544" t="s">
        <v>42</v>
      </c>
      <c r="W2544" t="s">
        <v>116</v>
      </c>
      <c r="X2544" t="s">
        <v>116</v>
      </c>
      <c r="Y2544" t="s">
        <v>117</v>
      </c>
      <c r="AF2544" t="s">
        <v>13</v>
      </c>
      <c r="AG2544" t="str">
        <f>HYPERLINK("https://doi.org/10.1515/9781474413855")</f>
        <v>https://doi.org/10.1515/9781474413855</v>
      </c>
      <c r="AH2544" t="str">
        <f>HYPERLINK("http://www.degruyter.com/isbn/9781474413855")</f>
        <v>http://www.degruyter.com/isbn/9781474413855</v>
      </c>
      <c r="AI2544" t="s">
        <v>180</v>
      </c>
      <c r="AL2544" t="s">
        <v>47</v>
      </c>
      <c r="AM2544">
        <v>1</v>
      </c>
      <c r="AN2544" s="2">
        <v>9781474413848</v>
      </c>
    </row>
    <row r="2545" spans="1:40" x14ac:dyDescent="0.3">
      <c r="A2545" t="s">
        <v>12094</v>
      </c>
      <c r="B2545" t="s">
        <v>1</v>
      </c>
      <c r="C2545" t="s">
        <v>12095</v>
      </c>
      <c r="D2545" t="s">
        <v>12096</v>
      </c>
      <c r="E2545" t="s">
        <v>12097</v>
      </c>
      <c r="F2545" t="s">
        <v>5</v>
      </c>
      <c r="G2545" t="s">
        <v>6</v>
      </c>
      <c r="K2545" t="s">
        <v>929</v>
      </c>
      <c r="L2545" t="s">
        <v>7</v>
      </c>
      <c r="M2545">
        <v>2020</v>
      </c>
      <c r="N2545" s="1">
        <v>44169</v>
      </c>
      <c r="O2545" t="s">
        <v>12098</v>
      </c>
      <c r="P2545">
        <v>1</v>
      </c>
      <c r="Q2545" t="s">
        <v>12099</v>
      </c>
      <c r="V2545" t="s">
        <v>42</v>
      </c>
      <c r="W2545" t="s">
        <v>107</v>
      </c>
      <c r="X2545" t="s">
        <v>108</v>
      </c>
      <c r="Y2545" t="s">
        <v>109</v>
      </c>
      <c r="AF2545" t="s">
        <v>13</v>
      </c>
      <c r="AG2545" t="str">
        <f>HYPERLINK("https://doi.org/10.1515/9781474461467")</f>
        <v>https://doi.org/10.1515/9781474461467</v>
      </c>
      <c r="AH2545" t="str">
        <f>HYPERLINK("http://www.degruyter.com/isbn/9781474461467")</f>
        <v>http://www.degruyter.com/isbn/9781474461467</v>
      </c>
      <c r="AI2545" t="s">
        <v>14</v>
      </c>
      <c r="AM2545">
        <v>1</v>
      </c>
      <c r="AN2545" s="2"/>
    </row>
    <row r="2546" spans="1:40" x14ac:dyDescent="0.3">
      <c r="A2546" t="s">
        <v>12100</v>
      </c>
      <c r="B2546" t="s">
        <v>1</v>
      </c>
      <c r="C2546" t="s">
        <v>12101</v>
      </c>
      <c r="D2546" t="s">
        <v>12102</v>
      </c>
      <c r="E2546" t="s">
        <v>12103</v>
      </c>
      <c r="F2546" t="s">
        <v>5</v>
      </c>
      <c r="G2546" t="s">
        <v>6</v>
      </c>
      <c r="L2546" t="s">
        <v>7</v>
      </c>
      <c r="M2546">
        <v>2013</v>
      </c>
      <c r="N2546" s="1">
        <v>41625</v>
      </c>
      <c r="O2546" t="s">
        <v>12104</v>
      </c>
      <c r="P2546">
        <v>1</v>
      </c>
      <c r="Q2546" t="s">
        <v>7728</v>
      </c>
      <c r="S2546">
        <v>217.95</v>
      </c>
      <c r="T2546">
        <v>250</v>
      </c>
      <c r="U2546">
        <v>190</v>
      </c>
      <c r="V2546" t="s">
        <v>42</v>
      </c>
      <c r="W2546" t="s">
        <v>107</v>
      </c>
      <c r="X2546" t="s">
        <v>108</v>
      </c>
      <c r="Y2546" t="s">
        <v>109</v>
      </c>
      <c r="AF2546" t="s">
        <v>13</v>
      </c>
      <c r="AG2546" t="str">
        <f>HYPERLINK("https://doi.org/10.1515/9780748684663?locatt=mode:legacy")</f>
        <v>https://doi.org/10.1515/9780748684663?locatt=mode:legacy</v>
      </c>
      <c r="AH2546" t="str">
        <f>HYPERLINK("http://www.degruyter.com/isbn/9780748684663")</f>
        <v>http://www.degruyter.com/isbn/9780748684663</v>
      </c>
      <c r="AI2546" t="s">
        <v>68</v>
      </c>
      <c r="AL2546" t="s">
        <v>47</v>
      </c>
      <c r="AM2546">
        <v>1</v>
      </c>
      <c r="AN2546" s="2">
        <v>9780748684656</v>
      </c>
    </row>
    <row r="2547" spans="1:40" x14ac:dyDescent="0.3">
      <c r="A2547" t="s">
        <v>12105</v>
      </c>
      <c r="B2547" t="s">
        <v>1</v>
      </c>
      <c r="C2547" t="s">
        <v>12106</v>
      </c>
      <c r="D2547" t="s">
        <v>12107</v>
      </c>
      <c r="E2547" t="s">
        <v>12108</v>
      </c>
      <c r="F2547" t="s">
        <v>5</v>
      </c>
      <c r="G2547" t="s">
        <v>6</v>
      </c>
      <c r="L2547" t="s">
        <v>7</v>
      </c>
      <c r="M2547">
        <v>2019</v>
      </c>
      <c r="N2547" s="1">
        <v>44656</v>
      </c>
      <c r="O2547" t="s">
        <v>12109</v>
      </c>
      <c r="P2547">
        <v>1</v>
      </c>
      <c r="Q2547" t="s">
        <v>8096</v>
      </c>
      <c r="S2547">
        <v>227.95</v>
      </c>
      <c r="T2547">
        <v>260</v>
      </c>
      <c r="U2547">
        <v>200</v>
      </c>
      <c r="V2547" t="s">
        <v>42</v>
      </c>
      <c r="W2547" t="s">
        <v>107</v>
      </c>
      <c r="X2547" t="s">
        <v>108</v>
      </c>
      <c r="Y2547" t="s">
        <v>221</v>
      </c>
      <c r="AF2547" t="s">
        <v>13</v>
      </c>
      <c r="AG2547" t="str">
        <f>HYPERLINK("https://doi.org/10.1515/9781474417310")</f>
        <v>https://doi.org/10.1515/9781474417310</v>
      </c>
      <c r="AH2547" t="str">
        <f>HYPERLINK("http://www.degruyter.com/isbn/9781474417310")</f>
        <v>http://www.degruyter.com/isbn/9781474417310</v>
      </c>
      <c r="AI2547" t="s">
        <v>280</v>
      </c>
      <c r="AL2547" t="s">
        <v>47</v>
      </c>
      <c r="AM2547">
        <v>1</v>
      </c>
      <c r="AN2547" s="2">
        <v>9781474417303</v>
      </c>
    </row>
    <row r="2548" spans="1:40" x14ac:dyDescent="0.3">
      <c r="A2548" t="s">
        <v>12110</v>
      </c>
      <c r="B2548" t="s">
        <v>1</v>
      </c>
      <c r="C2548" t="s">
        <v>12111</v>
      </c>
      <c r="D2548" t="s">
        <v>12112</v>
      </c>
      <c r="E2548" t="s">
        <v>12113</v>
      </c>
      <c r="F2548" t="s">
        <v>5</v>
      </c>
      <c r="G2548" t="s">
        <v>6</v>
      </c>
      <c r="L2548" t="s">
        <v>7</v>
      </c>
      <c r="M2548">
        <v>2017</v>
      </c>
      <c r="N2548" s="1">
        <v>42913</v>
      </c>
      <c r="O2548" t="s">
        <v>12114</v>
      </c>
      <c r="P2548">
        <v>1</v>
      </c>
      <c r="Q2548" t="s">
        <v>9604</v>
      </c>
      <c r="S2548">
        <v>227.95</v>
      </c>
      <c r="T2548">
        <v>260</v>
      </c>
      <c r="U2548">
        <v>200</v>
      </c>
      <c r="V2548" t="s">
        <v>20</v>
      </c>
      <c r="W2548" t="s">
        <v>21</v>
      </c>
      <c r="X2548" t="s">
        <v>458</v>
      </c>
      <c r="Y2548" t="s">
        <v>459</v>
      </c>
      <c r="AF2548" t="s">
        <v>13</v>
      </c>
      <c r="AG2548" t="str">
        <f>HYPERLINK("https://doi.org/10.1515/9780748698929?locatt=mode:legacy")</f>
        <v>https://doi.org/10.1515/9780748698929?locatt=mode:legacy</v>
      </c>
      <c r="AH2548" t="str">
        <f>HYPERLINK("http://www.degruyter.com/isbn/9780748698929")</f>
        <v>http://www.degruyter.com/isbn/9780748698929</v>
      </c>
      <c r="AI2548" t="s">
        <v>222</v>
      </c>
      <c r="AL2548" t="s">
        <v>15</v>
      </c>
      <c r="AM2548">
        <v>1</v>
      </c>
      <c r="AN2548" s="2">
        <v>9780748698912</v>
      </c>
    </row>
    <row r="2549" spans="1:40" x14ac:dyDescent="0.3">
      <c r="A2549" t="s">
        <v>12115</v>
      </c>
      <c r="B2549" t="s">
        <v>1</v>
      </c>
      <c r="C2549" t="s">
        <v>12116</v>
      </c>
      <c r="E2549" t="s">
        <v>12117</v>
      </c>
      <c r="F2549" t="s">
        <v>5</v>
      </c>
      <c r="G2549" t="s">
        <v>6</v>
      </c>
      <c r="L2549" t="s">
        <v>7</v>
      </c>
      <c r="M2549">
        <v>2019</v>
      </c>
      <c r="N2549" s="1">
        <v>44644</v>
      </c>
      <c r="O2549" t="s">
        <v>12118</v>
      </c>
      <c r="P2549">
        <v>1</v>
      </c>
      <c r="Q2549" t="s">
        <v>8750</v>
      </c>
      <c r="S2549">
        <v>217.95</v>
      </c>
      <c r="T2549">
        <v>250</v>
      </c>
      <c r="U2549">
        <v>190</v>
      </c>
      <c r="V2549" t="s">
        <v>42</v>
      </c>
      <c r="W2549" t="s">
        <v>107</v>
      </c>
      <c r="X2549" t="s">
        <v>108</v>
      </c>
      <c r="Y2549" t="s">
        <v>952</v>
      </c>
      <c r="AF2549" t="s">
        <v>13</v>
      </c>
      <c r="AG2549" t="str">
        <f>HYPERLINK("https://doi.org/10.1515/9781474454452?locatt=mode:legacy")</f>
        <v>https://doi.org/10.1515/9781474454452?locatt=mode:legacy</v>
      </c>
      <c r="AH2549" t="str">
        <f>HYPERLINK("http://www.degruyter.com/isbn/9781474454452")</f>
        <v>http://www.degruyter.com/isbn/9781474454452</v>
      </c>
      <c r="AI2549" t="s">
        <v>3968</v>
      </c>
      <c r="AL2549" t="s">
        <v>47</v>
      </c>
      <c r="AM2549">
        <v>1</v>
      </c>
      <c r="AN2549" s="2">
        <v>9781474454438</v>
      </c>
    </row>
    <row r="2550" spans="1:40" x14ac:dyDescent="0.3">
      <c r="A2550" t="s">
        <v>12119</v>
      </c>
      <c r="B2550" t="s">
        <v>1</v>
      </c>
      <c r="C2550" t="s">
        <v>12120</v>
      </c>
      <c r="D2550" t="s">
        <v>12121</v>
      </c>
      <c r="E2550" t="s">
        <v>12122</v>
      </c>
      <c r="F2550" t="s">
        <v>5</v>
      </c>
      <c r="G2550" t="s">
        <v>6</v>
      </c>
      <c r="K2550" t="s">
        <v>923</v>
      </c>
      <c r="L2550" t="s">
        <v>7</v>
      </c>
      <c r="M2550">
        <v>2013</v>
      </c>
      <c r="N2550" s="1">
        <v>41291</v>
      </c>
      <c r="O2550" t="s">
        <v>12123</v>
      </c>
      <c r="P2550">
        <v>1</v>
      </c>
      <c r="Q2550" t="s">
        <v>7728</v>
      </c>
      <c r="V2550" t="s">
        <v>42</v>
      </c>
      <c r="W2550" t="s">
        <v>107</v>
      </c>
      <c r="X2550" t="s">
        <v>108</v>
      </c>
      <c r="Y2550" t="s">
        <v>2244</v>
      </c>
      <c r="AF2550" t="s">
        <v>13</v>
      </c>
      <c r="AG2550" t="str">
        <f>HYPERLINK("https://doi.org/10.1515/9780748655915?locatt=mode:legacy")</f>
        <v>https://doi.org/10.1515/9780748655915?locatt=mode:legacy</v>
      </c>
      <c r="AH2550" t="str">
        <f>HYPERLINK("http://www.degruyter.com/isbn/9780748655915")</f>
        <v>http://www.degruyter.com/isbn/9780748655915</v>
      </c>
      <c r="AI2550" t="s">
        <v>68</v>
      </c>
      <c r="AM2550">
        <v>1</v>
      </c>
      <c r="AN2550" s="2"/>
    </row>
    <row r="2551" spans="1:40" x14ac:dyDescent="0.3">
      <c r="A2551" t="s">
        <v>12124</v>
      </c>
      <c r="B2551" t="s">
        <v>1</v>
      </c>
      <c r="C2551" t="s">
        <v>2003</v>
      </c>
      <c r="E2551" t="s">
        <v>2004</v>
      </c>
      <c r="F2551" t="s">
        <v>5</v>
      </c>
      <c r="G2551" t="s">
        <v>6</v>
      </c>
      <c r="L2551" t="s">
        <v>7</v>
      </c>
      <c r="M2551">
        <v>2012</v>
      </c>
      <c r="N2551" s="1">
        <v>41001</v>
      </c>
      <c r="O2551" t="s">
        <v>12125</v>
      </c>
      <c r="P2551">
        <v>1</v>
      </c>
      <c r="Q2551" t="s">
        <v>6630</v>
      </c>
      <c r="S2551">
        <v>209.95</v>
      </c>
      <c r="T2551">
        <v>240</v>
      </c>
      <c r="U2551">
        <v>180</v>
      </c>
      <c r="V2551" t="s">
        <v>42</v>
      </c>
      <c r="W2551" t="s">
        <v>116</v>
      </c>
      <c r="X2551" t="s">
        <v>116</v>
      </c>
      <c r="Y2551" t="s">
        <v>117</v>
      </c>
      <c r="AF2551" t="s">
        <v>13</v>
      </c>
      <c r="AG2551" t="str">
        <f>HYPERLINK("https://doi.org/10.1515/9780748634330")</f>
        <v>https://doi.org/10.1515/9780748634330</v>
      </c>
      <c r="AH2551" t="str">
        <f>HYPERLINK("http://www.degruyter.com/isbn/9780748634330")</f>
        <v>http://www.degruyter.com/isbn/9780748634330</v>
      </c>
      <c r="AI2551" t="s">
        <v>68</v>
      </c>
      <c r="AL2551" t="s">
        <v>47</v>
      </c>
      <c r="AM2551">
        <v>1</v>
      </c>
      <c r="AN2551" s="2">
        <v>9780748634316</v>
      </c>
    </row>
    <row r="2552" spans="1:40" x14ac:dyDescent="0.3">
      <c r="A2552" t="s">
        <v>12126</v>
      </c>
      <c r="B2552" t="s">
        <v>1</v>
      </c>
      <c r="C2552" t="s">
        <v>12127</v>
      </c>
      <c r="E2552" t="s">
        <v>12128</v>
      </c>
      <c r="F2552" t="s">
        <v>5</v>
      </c>
      <c r="G2552" t="s">
        <v>6</v>
      </c>
      <c r="L2552" t="s">
        <v>7</v>
      </c>
      <c r="M2552">
        <v>2013</v>
      </c>
      <c r="N2552" s="1">
        <v>41296</v>
      </c>
      <c r="O2552" t="s">
        <v>12129</v>
      </c>
      <c r="P2552">
        <v>1</v>
      </c>
      <c r="Q2552" t="s">
        <v>5794</v>
      </c>
      <c r="S2552">
        <v>191.95</v>
      </c>
      <c r="T2552">
        <v>220</v>
      </c>
      <c r="U2552">
        <v>170</v>
      </c>
      <c r="V2552" t="s">
        <v>42</v>
      </c>
      <c r="W2552" t="s">
        <v>116</v>
      </c>
      <c r="X2552" t="s">
        <v>116</v>
      </c>
      <c r="Y2552" t="s">
        <v>3967</v>
      </c>
      <c r="AF2552" t="s">
        <v>13</v>
      </c>
      <c r="AG2552" t="str">
        <f>HYPERLINK("https://doi.org/10.1515/9780748678747")</f>
        <v>https://doi.org/10.1515/9780748678747</v>
      </c>
      <c r="AH2552" t="str">
        <f>HYPERLINK("http://www.degruyter.com/isbn/9780748678747")</f>
        <v>http://www.degruyter.com/isbn/9780748678747</v>
      </c>
      <c r="AI2552" t="s">
        <v>68</v>
      </c>
      <c r="AL2552" t="s">
        <v>47</v>
      </c>
      <c r="AM2552">
        <v>1</v>
      </c>
      <c r="AN2552" s="2">
        <v>9780748641994</v>
      </c>
    </row>
    <row r="2553" spans="1:40" x14ac:dyDescent="0.3">
      <c r="A2553" t="s">
        <v>12130</v>
      </c>
      <c r="B2553" t="s">
        <v>1</v>
      </c>
      <c r="C2553" t="s">
        <v>12131</v>
      </c>
      <c r="E2553" t="s">
        <v>12132</v>
      </c>
      <c r="F2553" t="s">
        <v>5</v>
      </c>
      <c r="G2553" t="s">
        <v>6</v>
      </c>
      <c r="L2553" t="s">
        <v>7</v>
      </c>
      <c r="M2553">
        <v>1994</v>
      </c>
      <c r="N2553" s="1">
        <v>44599</v>
      </c>
      <c r="O2553" t="s">
        <v>7637</v>
      </c>
      <c r="P2553">
        <v>1</v>
      </c>
      <c r="Q2553" t="s">
        <v>6923</v>
      </c>
      <c r="S2553">
        <v>253.95</v>
      </c>
      <c r="T2553">
        <v>290</v>
      </c>
      <c r="U2553">
        <v>220</v>
      </c>
      <c r="V2553" t="s">
        <v>89</v>
      </c>
      <c r="W2553" t="s">
        <v>90</v>
      </c>
      <c r="X2553" t="s">
        <v>91</v>
      </c>
      <c r="Y2553" t="s">
        <v>717</v>
      </c>
      <c r="AF2553" t="s">
        <v>13</v>
      </c>
      <c r="AG2553" t="str">
        <f>HYPERLINK("https://doi.org/10.1515/9781474473460")</f>
        <v>https://doi.org/10.1515/9781474473460</v>
      </c>
      <c r="AH2553" t="str">
        <f>HYPERLINK("http://www.degruyter.com/isbn/9781474473460")</f>
        <v>http://www.degruyter.com/isbn/9781474473460</v>
      </c>
      <c r="AI2553" t="s">
        <v>24</v>
      </c>
      <c r="AL2553" t="s">
        <v>83</v>
      </c>
      <c r="AM2553">
        <v>1</v>
      </c>
      <c r="AN2553" s="2">
        <v>9780748605224</v>
      </c>
    </row>
    <row r="2554" spans="1:40" x14ac:dyDescent="0.3">
      <c r="A2554" t="s">
        <v>12133</v>
      </c>
      <c r="B2554" t="s">
        <v>1</v>
      </c>
      <c r="C2554" t="s">
        <v>12134</v>
      </c>
      <c r="E2554" t="s">
        <v>12135</v>
      </c>
      <c r="F2554" t="s">
        <v>5</v>
      </c>
      <c r="G2554" t="s">
        <v>6</v>
      </c>
      <c r="L2554" t="s">
        <v>7</v>
      </c>
      <c r="M2554">
        <v>2011</v>
      </c>
      <c r="N2554" s="1">
        <v>40597</v>
      </c>
      <c r="O2554" t="s">
        <v>12136</v>
      </c>
      <c r="P2554">
        <v>1</v>
      </c>
      <c r="Q2554" t="s">
        <v>6665</v>
      </c>
      <c r="S2554">
        <v>217.95</v>
      </c>
      <c r="T2554">
        <v>250</v>
      </c>
      <c r="U2554">
        <v>190</v>
      </c>
      <c r="V2554" t="s">
        <v>9</v>
      </c>
      <c r="W2554" t="s">
        <v>10</v>
      </c>
      <c r="X2554" t="s">
        <v>11</v>
      </c>
      <c r="Y2554" t="s">
        <v>12</v>
      </c>
      <c r="AF2554" t="s">
        <v>13</v>
      </c>
      <c r="AG2554" t="str">
        <f>HYPERLINK("https://doi.org/10.1515/9780748645442?locatt=mode:legacy")</f>
        <v>https://doi.org/10.1515/9780748645442?locatt=mode:legacy</v>
      </c>
      <c r="AH2554" t="str">
        <f>HYPERLINK("http://www.degruyter.com/isbn/9780748645442")</f>
        <v>http://www.degruyter.com/isbn/9780748645442</v>
      </c>
      <c r="AI2554" t="s">
        <v>68</v>
      </c>
      <c r="AL2554" t="s">
        <v>15</v>
      </c>
      <c r="AM2554">
        <v>1</v>
      </c>
      <c r="AN2554" s="2">
        <v>9780748640669</v>
      </c>
    </row>
    <row r="2555" spans="1:40" x14ac:dyDescent="0.3">
      <c r="A2555" t="s">
        <v>12137</v>
      </c>
      <c r="B2555" t="s">
        <v>1</v>
      </c>
      <c r="C2555" t="s">
        <v>12138</v>
      </c>
      <c r="D2555" t="s">
        <v>12139</v>
      </c>
      <c r="E2555" t="s">
        <v>12140</v>
      </c>
      <c r="F2555" t="s">
        <v>5</v>
      </c>
      <c r="G2555" t="s">
        <v>6</v>
      </c>
      <c r="L2555" t="s">
        <v>7</v>
      </c>
      <c r="M2555">
        <v>2009</v>
      </c>
      <c r="N2555" s="1">
        <v>40064</v>
      </c>
      <c r="O2555" t="s">
        <v>12141</v>
      </c>
      <c r="P2555">
        <v>1</v>
      </c>
      <c r="Q2555" t="s">
        <v>8317</v>
      </c>
      <c r="S2555">
        <v>209.95</v>
      </c>
      <c r="T2555">
        <v>240</v>
      </c>
      <c r="U2555">
        <v>180</v>
      </c>
      <c r="V2555" t="s">
        <v>9</v>
      </c>
      <c r="W2555" t="s">
        <v>10</v>
      </c>
      <c r="X2555" t="s">
        <v>596</v>
      </c>
      <c r="Y2555" t="s">
        <v>4327</v>
      </c>
      <c r="AF2555" t="s">
        <v>13</v>
      </c>
      <c r="AG2555" t="str">
        <f>HYPERLINK("https://doi.org/10.1515/9780748630363?locatt=mode:legacy")</f>
        <v>https://doi.org/10.1515/9780748630363?locatt=mode:legacy</v>
      </c>
      <c r="AH2555" t="str">
        <f>HYPERLINK("http://www.degruyter.com/isbn/9780748630363")</f>
        <v>http://www.degruyter.com/isbn/9780748630363</v>
      </c>
      <c r="AI2555" t="s">
        <v>68</v>
      </c>
      <c r="AL2555" t="s">
        <v>15</v>
      </c>
      <c r="AM2555">
        <v>1</v>
      </c>
      <c r="AN2555" s="2">
        <v>9780748624171</v>
      </c>
    </row>
    <row r="2556" spans="1:40" x14ac:dyDescent="0.3">
      <c r="A2556" t="s">
        <v>12142</v>
      </c>
      <c r="B2556" t="s">
        <v>1</v>
      </c>
      <c r="C2556" t="s">
        <v>12143</v>
      </c>
      <c r="D2556" t="s">
        <v>7030</v>
      </c>
      <c r="E2556" t="s">
        <v>12144</v>
      </c>
      <c r="F2556" t="s">
        <v>5</v>
      </c>
      <c r="G2556" t="s">
        <v>6</v>
      </c>
      <c r="L2556" t="s">
        <v>7</v>
      </c>
      <c r="M2556">
        <v>2013</v>
      </c>
      <c r="N2556" s="1">
        <v>41334</v>
      </c>
      <c r="O2556" t="s">
        <v>12145</v>
      </c>
      <c r="P2556">
        <v>1</v>
      </c>
      <c r="Q2556" t="s">
        <v>7033</v>
      </c>
      <c r="S2556">
        <v>253.95</v>
      </c>
      <c r="T2556">
        <v>290</v>
      </c>
      <c r="U2556">
        <v>220</v>
      </c>
      <c r="V2556" t="s">
        <v>79</v>
      </c>
      <c r="W2556" t="s">
        <v>123</v>
      </c>
      <c r="X2556" t="s">
        <v>123</v>
      </c>
      <c r="Y2556" t="s">
        <v>124</v>
      </c>
      <c r="AF2556" t="s">
        <v>13</v>
      </c>
      <c r="AG2556" t="str">
        <f>HYPERLINK("https://doi.org/10.1515/9780748669677")</f>
        <v>https://doi.org/10.1515/9780748669677</v>
      </c>
      <c r="AH2556" t="str">
        <f>HYPERLINK("http://www.degruyter.com/isbn/9780748669677")</f>
        <v>http://www.degruyter.com/isbn/9780748669677</v>
      </c>
      <c r="AI2556" t="s">
        <v>68</v>
      </c>
      <c r="AL2556" t="s">
        <v>83</v>
      </c>
      <c r="AM2556">
        <v>1</v>
      </c>
      <c r="AN2556" s="2">
        <v>9780748646784</v>
      </c>
    </row>
    <row r="2557" spans="1:40" x14ac:dyDescent="0.3">
      <c r="A2557" t="s">
        <v>12146</v>
      </c>
      <c r="B2557" t="s">
        <v>1</v>
      </c>
      <c r="C2557" t="s">
        <v>12147</v>
      </c>
      <c r="D2557" t="s">
        <v>12148</v>
      </c>
      <c r="E2557" t="s">
        <v>12149</v>
      </c>
      <c r="F2557" t="s">
        <v>5</v>
      </c>
      <c r="G2557" t="s">
        <v>6</v>
      </c>
      <c r="L2557" t="s">
        <v>7</v>
      </c>
      <c r="M2557">
        <v>2016</v>
      </c>
      <c r="N2557" s="1">
        <v>42464</v>
      </c>
      <c r="O2557" t="s">
        <v>12150</v>
      </c>
      <c r="P2557">
        <v>1</v>
      </c>
      <c r="Q2557" t="s">
        <v>5911</v>
      </c>
      <c r="S2557">
        <v>287.95</v>
      </c>
      <c r="T2557">
        <v>330</v>
      </c>
      <c r="U2557">
        <v>250</v>
      </c>
      <c r="V2557" t="s">
        <v>329</v>
      </c>
      <c r="W2557" t="s">
        <v>330</v>
      </c>
      <c r="X2557" t="s">
        <v>331</v>
      </c>
      <c r="Y2557" t="s">
        <v>1035</v>
      </c>
      <c r="AF2557" t="s">
        <v>13</v>
      </c>
      <c r="AG2557" t="str">
        <f>HYPERLINK("https://doi.org/10.1515/9781474407960")</f>
        <v>https://doi.org/10.1515/9781474407960</v>
      </c>
      <c r="AH2557" t="str">
        <f>HYPERLINK("http://www.degruyter.com/isbn/9781474407960")</f>
        <v>http://www.degruyter.com/isbn/9781474407960</v>
      </c>
      <c r="AI2557" t="s">
        <v>180</v>
      </c>
      <c r="AL2557" t="s">
        <v>333</v>
      </c>
      <c r="AM2557">
        <v>1</v>
      </c>
      <c r="AN2557" s="2">
        <v>9781474407946</v>
      </c>
    </row>
    <row r="2558" spans="1:40" x14ac:dyDescent="0.3">
      <c r="A2558" t="s">
        <v>12151</v>
      </c>
      <c r="B2558" t="s">
        <v>1</v>
      </c>
      <c r="C2558" t="s">
        <v>12152</v>
      </c>
      <c r="D2558" t="s">
        <v>12153</v>
      </c>
      <c r="E2558" t="s">
        <v>12154</v>
      </c>
      <c r="F2558" t="s">
        <v>5</v>
      </c>
      <c r="G2558" t="s">
        <v>6</v>
      </c>
      <c r="L2558" t="s">
        <v>7</v>
      </c>
      <c r="M2558">
        <v>2014</v>
      </c>
      <c r="N2558" s="1">
        <v>41715</v>
      </c>
      <c r="O2558" t="s">
        <v>12155</v>
      </c>
      <c r="P2558">
        <v>1</v>
      </c>
      <c r="Q2558" t="s">
        <v>8702</v>
      </c>
      <c r="S2558">
        <v>261.95</v>
      </c>
      <c r="T2558">
        <v>300</v>
      </c>
      <c r="U2558">
        <v>230</v>
      </c>
      <c r="V2558" t="s">
        <v>79</v>
      </c>
      <c r="W2558" t="s">
        <v>209</v>
      </c>
      <c r="X2558" t="s">
        <v>209</v>
      </c>
      <c r="Y2558" t="s">
        <v>510</v>
      </c>
      <c r="AF2558" t="s">
        <v>13</v>
      </c>
      <c r="AG2558" t="str">
        <f>HYPERLINK("https://doi.org/10.1515/9780748681518")</f>
        <v>https://doi.org/10.1515/9780748681518</v>
      </c>
      <c r="AH2558" t="str">
        <f>HYPERLINK("http://www.degruyter.com/isbn/9780748681518")</f>
        <v>http://www.degruyter.com/isbn/9780748681518</v>
      </c>
      <c r="AI2558" t="s">
        <v>34</v>
      </c>
      <c r="AL2558" t="s">
        <v>83</v>
      </c>
      <c r="AM2558">
        <v>1</v>
      </c>
      <c r="AN2558" s="2">
        <v>9780748681495</v>
      </c>
    </row>
    <row r="2559" spans="1:40" x14ac:dyDescent="0.3">
      <c r="A2559" t="s">
        <v>12156</v>
      </c>
      <c r="B2559" t="s">
        <v>1</v>
      </c>
      <c r="C2559" t="s">
        <v>12157</v>
      </c>
      <c r="E2559" t="s">
        <v>12158</v>
      </c>
      <c r="F2559" t="s">
        <v>5</v>
      </c>
      <c r="G2559" t="s">
        <v>6</v>
      </c>
      <c r="L2559" t="s">
        <v>7</v>
      </c>
      <c r="M2559">
        <v>2013</v>
      </c>
      <c r="N2559" s="1">
        <v>41387</v>
      </c>
      <c r="O2559" t="s">
        <v>12159</v>
      </c>
      <c r="P2559">
        <v>1</v>
      </c>
      <c r="Q2559" t="s">
        <v>6894</v>
      </c>
      <c r="S2559">
        <v>253.95</v>
      </c>
      <c r="T2559">
        <v>290</v>
      </c>
      <c r="U2559">
        <v>220</v>
      </c>
      <c r="V2559" t="s">
        <v>30</v>
      </c>
      <c r="W2559" t="s">
        <v>31</v>
      </c>
      <c r="X2559" t="s">
        <v>32</v>
      </c>
      <c r="Y2559" t="s">
        <v>7820</v>
      </c>
      <c r="AF2559" t="s">
        <v>13</v>
      </c>
      <c r="AG2559" t="str">
        <f>HYPERLINK("https://doi.org/10.1515/9780748670048")</f>
        <v>https://doi.org/10.1515/9780748670048</v>
      </c>
      <c r="AH2559" t="str">
        <f>HYPERLINK("http://www.degruyter.com/isbn/9780748670048")</f>
        <v>http://www.degruyter.com/isbn/9780748670048</v>
      </c>
      <c r="AI2559" t="s">
        <v>68</v>
      </c>
      <c r="AL2559" t="s">
        <v>272</v>
      </c>
      <c r="AM2559">
        <v>1</v>
      </c>
      <c r="AN2559" s="2">
        <v>9780748670024</v>
      </c>
    </row>
    <row r="2560" spans="1:40" x14ac:dyDescent="0.3">
      <c r="A2560" t="s">
        <v>12160</v>
      </c>
      <c r="B2560" t="s">
        <v>1</v>
      </c>
      <c r="C2560" t="s">
        <v>12161</v>
      </c>
      <c r="E2560" t="s">
        <v>12162</v>
      </c>
      <c r="F2560" t="s">
        <v>5</v>
      </c>
      <c r="G2560" t="s">
        <v>6</v>
      </c>
      <c r="L2560" t="s">
        <v>7</v>
      </c>
      <c r="M2560">
        <v>2010</v>
      </c>
      <c r="N2560" s="1">
        <v>40434</v>
      </c>
      <c r="O2560" t="s">
        <v>8989</v>
      </c>
      <c r="P2560">
        <v>1</v>
      </c>
      <c r="Q2560" t="s">
        <v>8942</v>
      </c>
      <c r="S2560">
        <v>253.95</v>
      </c>
      <c r="T2560">
        <v>290</v>
      </c>
      <c r="U2560">
        <v>220</v>
      </c>
      <c r="V2560" t="s">
        <v>79</v>
      </c>
      <c r="W2560" t="s">
        <v>209</v>
      </c>
      <c r="X2560" t="s">
        <v>209</v>
      </c>
      <c r="Y2560" t="s">
        <v>210</v>
      </c>
      <c r="AF2560" t="s">
        <v>13</v>
      </c>
      <c r="AG2560" t="str">
        <f>HYPERLINK("https://doi.org/10.1515/9780748643271")</f>
        <v>https://doi.org/10.1515/9780748643271</v>
      </c>
      <c r="AH2560" t="str">
        <f>HYPERLINK("http://www.degruyter.com/isbn/9780748643271")</f>
        <v>http://www.degruyter.com/isbn/9780748643271</v>
      </c>
      <c r="AI2560" t="s">
        <v>68</v>
      </c>
      <c r="AL2560" t="s">
        <v>83</v>
      </c>
      <c r="AM2560">
        <v>1</v>
      </c>
      <c r="AN2560" s="2">
        <v>9780748641475</v>
      </c>
    </row>
    <row r="2561" spans="1:40" x14ac:dyDescent="0.3">
      <c r="A2561" t="s">
        <v>12163</v>
      </c>
      <c r="B2561" t="s">
        <v>1</v>
      </c>
      <c r="C2561" t="s">
        <v>12164</v>
      </c>
      <c r="D2561" t="s">
        <v>12165</v>
      </c>
      <c r="E2561" t="s">
        <v>12166</v>
      </c>
      <c r="F2561" t="s">
        <v>5</v>
      </c>
      <c r="G2561" t="s">
        <v>6</v>
      </c>
      <c r="L2561" t="s">
        <v>7</v>
      </c>
      <c r="M2561">
        <v>1998</v>
      </c>
      <c r="N2561" s="1">
        <v>44656</v>
      </c>
      <c r="O2561" t="s">
        <v>12167</v>
      </c>
      <c r="P2561">
        <v>1</v>
      </c>
      <c r="Q2561" t="s">
        <v>6528</v>
      </c>
      <c r="S2561">
        <v>217.95</v>
      </c>
      <c r="T2561">
        <v>250</v>
      </c>
      <c r="U2561">
        <v>190</v>
      </c>
      <c r="V2561" t="s">
        <v>58</v>
      </c>
      <c r="W2561" t="s">
        <v>59</v>
      </c>
      <c r="X2561" t="s">
        <v>60</v>
      </c>
      <c r="Y2561" t="s">
        <v>245</v>
      </c>
      <c r="AF2561" t="s">
        <v>13</v>
      </c>
      <c r="AG2561" t="str">
        <f>HYPERLINK("https://doi.org/10.1515/9780585159027")</f>
        <v>https://doi.org/10.1515/9780585159027</v>
      </c>
      <c r="AH2561" t="str">
        <f>HYPERLINK("http://www.degruyter.com/isbn/9780585159027")</f>
        <v>http://www.degruyter.com/isbn/9780585159027</v>
      </c>
      <c r="AI2561" t="s">
        <v>24</v>
      </c>
      <c r="AL2561" t="s">
        <v>62</v>
      </c>
      <c r="AM2561">
        <v>1</v>
      </c>
      <c r="AN2561" s="2">
        <v>9780748612086</v>
      </c>
    </row>
    <row r="2562" spans="1:40" x14ac:dyDescent="0.3">
      <c r="A2562" t="s">
        <v>12168</v>
      </c>
      <c r="B2562" t="s">
        <v>1</v>
      </c>
      <c r="C2562" t="s">
        <v>12169</v>
      </c>
      <c r="E2562" t="s">
        <v>12170</v>
      </c>
      <c r="F2562" t="s">
        <v>5</v>
      </c>
      <c r="G2562" t="s">
        <v>6</v>
      </c>
      <c r="L2562" t="s">
        <v>7</v>
      </c>
      <c r="M2562">
        <v>2000</v>
      </c>
      <c r="N2562" s="1">
        <v>44607</v>
      </c>
      <c r="O2562" t="s">
        <v>12171</v>
      </c>
      <c r="P2562">
        <v>1</v>
      </c>
      <c r="Q2562" t="s">
        <v>9893</v>
      </c>
      <c r="S2562">
        <v>217.95</v>
      </c>
      <c r="T2562">
        <v>250</v>
      </c>
      <c r="U2562">
        <v>190</v>
      </c>
      <c r="V2562" t="s">
        <v>79</v>
      </c>
      <c r="W2562" t="s">
        <v>138</v>
      </c>
      <c r="X2562" t="s">
        <v>138</v>
      </c>
      <c r="Y2562" t="s">
        <v>2824</v>
      </c>
      <c r="AF2562" t="s">
        <v>13</v>
      </c>
      <c r="AG2562" t="str">
        <f>HYPERLINK("https://doi.org/10.1515/9781474472159")</f>
        <v>https://doi.org/10.1515/9781474472159</v>
      </c>
      <c r="AH2562" t="str">
        <f>HYPERLINK("http://www.degruyter.com/isbn/9781474472159")</f>
        <v>http://www.degruyter.com/isbn/9781474472159</v>
      </c>
      <c r="AI2562" t="s">
        <v>68</v>
      </c>
      <c r="AL2562" t="s">
        <v>83</v>
      </c>
      <c r="AM2562">
        <v>1</v>
      </c>
      <c r="AN2562" s="2">
        <v>9780748610129</v>
      </c>
    </row>
    <row r="2563" spans="1:40" x14ac:dyDescent="0.3">
      <c r="A2563" t="s">
        <v>12172</v>
      </c>
      <c r="B2563" t="s">
        <v>1</v>
      </c>
      <c r="C2563" t="s">
        <v>12173</v>
      </c>
      <c r="D2563" t="s">
        <v>12174</v>
      </c>
      <c r="E2563" t="s">
        <v>12175</v>
      </c>
      <c r="F2563" t="s">
        <v>5</v>
      </c>
      <c r="G2563" t="s">
        <v>6</v>
      </c>
      <c r="L2563" t="s">
        <v>7</v>
      </c>
      <c r="M2563">
        <v>1997</v>
      </c>
      <c r="N2563" s="1">
        <v>44719</v>
      </c>
      <c r="O2563" t="s">
        <v>12176</v>
      </c>
      <c r="P2563">
        <v>1</v>
      </c>
      <c r="Q2563" t="s">
        <v>11205</v>
      </c>
      <c r="S2563">
        <v>217.95</v>
      </c>
      <c r="T2563">
        <v>250</v>
      </c>
      <c r="U2563">
        <v>190</v>
      </c>
      <c r="V2563" t="s">
        <v>42</v>
      </c>
      <c r="W2563" t="s">
        <v>107</v>
      </c>
      <c r="X2563" t="s">
        <v>108</v>
      </c>
      <c r="Y2563" t="s">
        <v>109</v>
      </c>
      <c r="AF2563" t="s">
        <v>13</v>
      </c>
      <c r="AG2563" t="str">
        <f>HYPERLINK("https://doi.org/10.1515/9780748674220")</f>
        <v>https://doi.org/10.1515/9780748674220</v>
      </c>
      <c r="AH2563" t="str">
        <f>HYPERLINK("http://www.degruyter.com/isbn/9780748674220")</f>
        <v>http://www.degruyter.com/isbn/9780748674220</v>
      </c>
      <c r="AI2563" t="s">
        <v>24</v>
      </c>
      <c r="AL2563" t="s">
        <v>47</v>
      </c>
      <c r="AM2563">
        <v>1</v>
      </c>
      <c r="AN2563" s="2">
        <v>9780748608263</v>
      </c>
    </row>
    <row r="2564" spans="1:40" x14ac:dyDescent="0.3">
      <c r="A2564" t="s">
        <v>12177</v>
      </c>
      <c r="B2564" t="s">
        <v>1</v>
      </c>
      <c r="C2564" t="s">
        <v>12178</v>
      </c>
      <c r="E2564" t="s">
        <v>12179</v>
      </c>
      <c r="F2564" t="s">
        <v>5</v>
      </c>
      <c r="G2564" t="s">
        <v>6</v>
      </c>
      <c r="L2564" t="s">
        <v>7</v>
      </c>
      <c r="M2564">
        <v>2019</v>
      </c>
      <c r="N2564" s="1">
        <v>44656</v>
      </c>
      <c r="O2564" t="s">
        <v>12180</v>
      </c>
      <c r="P2564">
        <v>1</v>
      </c>
      <c r="Q2564" t="s">
        <v>12181</v>
      </c>
      <c r="S2564">
        <v>217.95</v>
      </c>
      <c r="T2564">
        <v>250</v>
      </c>
      <c r="U2564">
        <v>190</v>
      </c>
      <c r="V2564" t="s">
        <v>79</v>
      </c>
      <c r="W2564" t="s">
        <v>783</v>
      </c>
      <c r="X2564" t="s">
        <v>783</v>
      </c>
      <c r="Y2564" t="s">
        <v>784</v>
      </c>
      <c r="AF2564" t="s">
        <v>13</v>
      </c>
      <c r="AG2564" t="str">
        <f>HYPERLINK("https://doi.org/10.1515/9781474442756")</f>
        <v>https://doi.org/10.1515/9781474442756</v>
      </c>
      <c r="AH2564" t="str">
        <f>HYPERLINK("http://www.degruyter.com/isbn/9781474442756")</f>
        <v>http://www.degruyter.com/isbn/9781474442756</v>
      </c>
      <c r="AI2564" t="s">
        <v>280</v>
      </c>
      <c r="AL2564" t="s">
        <v>83</v>
      </c>
      <c r="AM2564">
        <v>1</v>
      </c>
      <c r="AN2564" s="2">
        <v>9781474442725</v>
      </c>
    </row>
    <row r="2565" spans="1:40" x14ac:dyDescent="0.3">
      <c r="A2565" t="s">
        <v>12182</v>
      </c>
      <c r="B2565" t="s">
        <v>1</v>
      </c>
      <c r="C2565" t="s">
        <v>12183</v>
      </c>
      <c r="E2565" t="s">
        <v>12184</v>
      </c>
      <c r="F2565" t="s">
        <v>5</v>
      </c>
      <c r="G2565" t="s">
        <v>6</v>
      </c>
      <c r="L2565" t="s">
        <v>7</v>
      </c>
      <c r="M2565">
        <v>1994</v>
      </c>
      <c r="N2565" s="1">
        <v>44607</v>
      </c>
      <c r="O2565" t="s">
        <v>12185</v>
      </c>
      <c r="P2565">
        <v>1</v>
      </c>
      <c r="Q2565" t="s">
        <v>6923</v>
      </c>
      <c r="S2565">
        <v>217.95</v>
      </c>
      <c r="T2565">
        <v>250</v>
      </c>
      <c r="U2565">
        <v>190</v>
      </c>
      <c r="V2565" t="s">
        <v>89</v>
      </c>
      <c r="W2565" t="s">
        <v>90</v>
      </c>
      <c r="X2565" t="s">
        <v>91</v>
      </c>
      <c r="Y2565" t="s">
        <v>717</v>
      </c>
      <c r="AF2565" t="s">
        <v>13</v>
      </c>
      <c r="AG2565" t="str">
        <f>HYPERLINK("https://doi.org/10.1515/9781474469135")</f>
        <v>https://doi.org/10.1515/9781474469135</v>
      </c>
      <c r="AH2565" t="str">
        <f>HYPERLINK("http://www.degruyter.com/isbn/9781474469135")</f>
        <v>http://www.degruyter.com/isbn/9781474469135</v>
      </c>
      <c r="AI2565" t="s">
        <v>24</v>
      </c>
      <c r="AL2565" t="s">
        <v>83</v>
      </c>
      <c r="AM2565">
        <v>1</v>
      </c>
      <c r="AN2565" s="2">
        <v>9780748604555</v>
      </c>
    </row>
    <row r="2566" spans="1:40" x14ac:dyDescent="0.3">
      <c r="A2566" t="s">
        <v>12186</v>
      </c>
      <c r="B2566" t="s">
        <v>1</v>
      </c>
      <c r="C2566" t="s">
        <v>12187</v>
      </c>
      <c r="E2566" t="s">
        <v>12188</v>
      </c>
      <c r="F2566" t="s">
        <v>5</v>
      </c>
      <c r="G2566" t="s">
        <v>6</v>
      </c>
      <c r="L2566" t="s">
        <v>7</v>
      </c>
      <c r="M2566">
        <v>2001</v>
      </c>
      <c r="N2566" s="1">
        <v>44599</v>
      </c>
      <c r="O2566" t="s">
        <v>12189</v>
      </c>
      <c r="P2566">
        <v>1</v>
      </c>
      <c r="Q2566" t="s">
        <v>6929</v>
      </c>
      <c r="S2566">
        <v>217.95</v>
      </c>
      <c r="T2566">
        <v>250</v>
      </c>
      <c r="U2566">
        <v>190</v>
      </c>
      <c r="V2566" t="s">
        <v>20</v>
      </c>
      <c r="W2566" t="s">
        <v>21</v>
      </c>
      <c r="X2566" t="s">
        <v>3919</v>
      </c>
      <c r="Y2566" t="s">
        <v>4359</v>
      </c>
      <c r="AF2566" t="s">
        <v>13</v>
      </c>
      <c r="AG2566" t="str">
        <f>HYPERLINK("https://doi.org/10.1515/9780585443874")</f>
        <v>https://doi.org/10.1515/9780585443874</v>
      </c>
      <c r="AH2566" t="str">
        <f>HYPERLINK("http://www.degruyter.com/isbn/9780585443874")</f>
        <v>http://www.degruyter.com/isbn/9780585443874</v>
      </c>
      <c r="AI2566" t="s">
        <v>68</v>
      </c>
      <c r="AL2566" t="s">
        <v>15</v>
      </c>
      <c r="AM2566">
        <v>1</v>
      </c>
      <c r="AN2566" s="2">
        <v>9780748615773</v>
      </c>
    </row>
    <row r="2567" spans="1:40" x14ac:dyDescent="0.3">
      <c r="A2567" t="s">
        <v>12190</v>
      </c>
      <c r="B2567" t="s">
        <v>1</v>
      </c>
      <c r="C2567" t="s">
        <v>12191</v>
      </c>
      <c r="E2567" t="s">
        <v>12192</v>
      </c>
      <c r="F2567" t="s">
        <v>5</v>
      </c>
      <c r="G2567" t="s">
        <v>6</v>
      </c>
      <c r="L2567" t="s">
        <v>7</v>
      </c>
      <c r="M2567">
        <v>2014</v>
      </c>
      <c r="N2567" s="1">
        <v>41813</v>
      </c>
      <c r="O2567" t="s">
        <v>12193</v>
      </c>
      <c r="P2567">
        <v>1</v>
      </c>
      <c r="Q2567" t="s">
        <v>10408</v>
      </c>
      <c r="S2567">
        <v>217.95</v>
      </c>
      <c r="T2567">
        <v>250</v>
      </c>
      <c r="U2567">
        <v>190</v>
      </c>
      <c r="V2567" t="s">
        <v>9</v>
      </c>
      <c r="W2567" t="s">
        <v>10</v>
      </c>
      <c r="X2567" t="s">
        <v>596</v>
      </c>
      <c r="Y2567" t="s">
        <v>2473</v>
      </c>
      <c r="AF2567" t="s">
        <v>13</v>
      </c>
      <c r="AG2567" t="str">
        <f>HYPERLINK("https://doi.org/10.1515/9780748678181")</f>
        <v>https://doi.org/10.1515/9780748678181</v>
      </c>
      <c r="AH2567" t="str">
        <f>HYPERLINK("http://www.degruyter.com/isbn/9780748678181")</f>
        <v>http://www.degruyter.com/isbn/9780748678181</v>
      </c>
      <c r="AI2567" t="s">
        <v>34</v>
      </c>
      <c r="AL2567" t="s">
        <v>15</v>
      </c>
      <c r="AM2567">
        <v>1</v>
      </c>
      <c r="AN2567" s="2">
        <v>9780748640881</v>
      </c>
    </row>
    <row r="2568" spans="1:40" x14ac:dyDescent="0.3">
      <c r="A2568" t="s">
        <v>12194</v>
      </c>
      <c r="B2568" t="s">
        <v>1</v>
      </c>
      <c r="C2568" t="s">
        <v>12195</v>
      </c>
      <c r="D2568" t="s">
        <v>12196</v>
      </c>
      <c r="E2568" t="s">
        <v>12197</v>
      </c>
      <c r="F2568" t="s">
        <v>5</v>
      </c>
      <c r="G2568" t="s">
        <v>6</v>
      </c>
      <c r="K2568" t="s">
        <v>929</v>
      </c>
      <c r="L2568" t="s">
        <v>7</v>
      </c>
      <c r="M2568">
        <v>2021</v>
      </c>
      <c r="N2568" s="1">
        <v>44201</v>
      </c>
      <c r="O2568" t="s">
        <v>12198</v>
      </c>
      <c r="P2568">
        <v>1</v>
      </c>
      <c r="Q2568" t="s">
        <v>7283</v>
      </c>
      <c r="V2568" t="s">
        <v>305</v>
      </c>
      <c r="W2568" t="s">
        <v>2566</v>
      </c>
      <c r="X2568" t="s">
        <v>2567</v>
      </c>
      <c r="Y2568" t="s">
        <v>12199</v>
      </c>
      <c r="AF2568" t="s">
        <v>13</v>
      </c>
      <c r="AG2568" t="str">
        <f>HYPERLINK("https://doi.org/10.1515/9781474463386")</f>
        <v>https://doi.org/10.1515/9781474463386</v>
      </c>
      <c r="AH2568" t="str">
        <f>HYPERLINK("http://www.degruyter.com/isbn/9781474463386")</f>
        <v>http://www.degruyter.com/isbn/9781474463386</v>
      </c>
      <c r="AI2568" t="s">
        <v>908</v>
      </c>
      <c r="AM2568">
        <v>1</v>
      </c>
      <c r="AN2568" s="2"/>
    </row>
    <row r="2569" spans="1:40" x14ac:dyDescent="0.3">
      <c r="A2569" t="s">
        <v>12200</v>
      </c>
      <c r="B2569" t="s">
        <v>1</v>
      </c>
      <c r="C2569" t="s">
        <v>12201</v>
      </c>
      <c r="D2569" t="s">
        <v>12202</v>
      </c>
      <c r="E2569" t="s">
        <v>10088</v>
      </c>
      <c r="F2569" t="s">
        <v>5</v>
      </c>
      <c r="G2569" t="s">
        <v>6</v>
      </c>
      <c r="L2569" t="s">
        <v>7</v>
      </c>
      <c r="M2569">
        <v>2011</v>
      </c>
      <c r="N2569" s="1">
        <v>40877</v>
      </c>
      <c r="O2569" t="s">
        <v>12203</v>
      </c>
      <c r="P2569">
        <v>1</v>
      </c>
      <c r="Q2569" t="s">
        <v>10090</v>
      </c>
      <c r="S2569">
        <v>453.95</v>
      </c>
      <c r="T2569">
        <v>520</v>
      </c>
      <c r="U2569">
        <v>400</v>
      </c>
      <c r="V2569" t="s">
        <v>42</v>
      </c>
      <c r="W2569" t="s">
        <v>116</v>
      </c>
      <c r="X2569" t="s">
        <v>116</v>
      </c>
      <c r="Y2569" t="s">
        <v>3967</v>
      </c>
      <c r="AF2569" t="s">
        <v>13</v>
      </c>
      <c r="AG2569" t="str">
        <f>HYPERLINK("https://doi.org/10.1515/9780748628964")</f>
        <v>https://doi.org/10.1515/9780748628964</v>
      </c>
      <c r="AH2569" t="str">
        <f>HYPERLINK("http://www.degruyter.com/isbn/9780748628964")</f>
        <v>http://www.degruyter.com/isbn/9780748628964</v>
      </c>
      <c r="AI2569" t="s">
        <v>68</v>
      </c>
      <c r="AL2569" t="s">
        <v>47</v>
      </c>
      <c r="AM2569">
        <v>1</v>
      </c>
      <c r="AN2569" s="2">
        <v>9780748619122</v>
      </c>
    </row>
    <row r="2570" spans="1:40" x14ac:dyDescent="0.3">
      <c r="A2570" t="s">
        <v>12204</v>
      </c>
      <c r="B2570" t="s">
        <v>1</v>
      </c>
      <c r="C2570" t="s">
        <v>12205</v>
      </c>
      <c r="E2570" t="s">
        <v>12206</v>
      </c>
      <c r="F2570" t="s">
        <v>5</v>
      </c>
      <c r="G2570" t="s">
        <v>6</v>
      </c>
      <c r="L2570" t="s">
        <v>7</v>
      </c>
      <c r="M2570">
        <v>2011</v>
      </c>
      <c r="N2570" s="1">
        <v>40700</v>
      </c>
      <c r="O2570" t="s">
        <v>12207</v>
      </c>
      <c r="P2570">
        <v>1</v>
      </c>
      <c r="Q2570" t="s">
        <v>10501</v>
      </c>
      <c r="S2570">
        <v>261.95</v>
      </c>
      <c r="T2570">
        <v>300</v>
      </c>
      <c r="U2570">
        <v>230</v>
      </c>
      <c r="V2570" t="s">
        <v>20</v>
      </c>
      <c r="W2570" t="s">
        <v>21</v>
      </c>
      <c r="X2570" t="s">
        <v>575</v>
      </c>
      <c r="Y2570" t="s">
        <v>576</v>
      </c>
      <c r="AF2570" t="s">
        <v>13</v>
      </c>
      <c r="AG2570" t="str">
        <f>HYPERLINK("https://doi.org/10.1515/9780748629503")</f>
        <v>https://doi.org/10.1515/9780748629503</v>
      </c>
      <c r="AH2570" t="str">
        <f>HYPERLINK("http://www.degruyter.com/isbn/9780748629503")</f>
        <v>http://www.degruyter.com/isbn/9780748629503</v>
      </c>
      <c r="AI2570" t="s">
        <v>68</v>
      </c>
      <c r="AL2570" t="s">
        <v>15</v>
      </c>
      <c r="AM2570">
        <v>1</v>
      </c>
      <c r="AN2570" s="2">
        <v>9780748621569</v>
      </c>
    </row>
    <row r="2571" spans="1:40" x14ac:dyDescent="0.3">
      <c r="A2571" t="s">
        <v>12208</v>
      </c>
      <c r="B2571" t="s">
        <v>1</v>
      </c>
      <c r="C2571" t="s">
        <v>12209</v>
      </c>
      <c r="E2571" t="s">
        <v>12210</v>
      </c>
      <c r="F2571" t="s">
        <v>5</v>
      </c>
      <c r="G2571" t="s">
        <v>6</v>
      </c>
      <c r="L2571" t="s">
        <v>7</v>
      </c>
      <c r="M2571">
        <v>2020</v>
      </c>
      <c r="N2571" s="1">
        <v>44644</v>
      </c>
      <c r="O2571" t="s">
        <v>12211</v>
      </c>
      <c r="P2571">
        <v>1</v>
      </c>
      <c r="Q2571" t="s">
        <v>6539</v>
      </c>
      <c r="S2571">
        <v>227.95</v>
      </c>
      <c r="T2571">
        <v>260</v>
      </c>
      <c r="U2571">
        <v>200</v>
      </c>
      <c r="V2571" t="s">
        <v>42</v>
      </c>
      <c r="W2571" t="s">
        <v>107</v>
      </c>
      <c r="X2571" t="s">
        <v>108</v>
      </c>
      <c r="Y2571" t="s">
        <v>109</v>
      </c>
      <c r="AF2571" t="s">
        <v>13</v>
      </c>
      <c r="AG2571" t="str">
        <f>HYPERLINK("https://doi.org/10.1515/9781474448185?locatt=mode:legacy")</f>
        <v>https://doi.org/10.1515/9781474448185?locatt=mode:legacy</v>
      </c>
      <c r="AH2571" t="str">
        <f>HYPERLINK("http://www.degruyter.com/isbn/9781474448185")</f>
        <v>http://www.degruyter.com/isbn/9781474448185</v>
      </c>
      <c r="AI2571" t="s">
        <v>14</v>
      </c>
      <c r="AL2571" t="s">
        <v>47</v>
      </c>
      <c r="AM2571">
        <v>1</v>
      </c>
      <c r="AN2571" s="2">
        <v>9781474448161</v>
      </c>
    </row>
    <row r="2572" spans="1:40" x14ac:dyDescent="0.3">
      <c r="A2572" t="s">
        <v>12212</v>
      </c>
      <c r="B2572" t="s">
        <v>1</v>
      </c>
      <c r="C2572" t="s">
        <v>12213</v>
      </c>
      <c r="D2572" t="s">
        <v>12214</v>
      </c>
      <c r="E2572" t="s">
        <v>12215</v>
      </c>
      <c r="F2572" t="s">
        <v>5</v>
      </c>
      <c r="G2572" t="s">
        <v>6</v>
      </c>
      <c r="L2572" t="s">
        <v>7</v>
      </c>
      <c r="M2572">
        <v>2020</v>
      </c>
      <c r="N2572" s="1">
        <v>44656</v>
      </c>
      <c r="O2572" t="s">
        <v>12216</v>
      </c>
      <c r="P2572">
        <v>1</v>
      </c>
      <c r="Q2572" t="s">
        <v>6858</v>
      </c>
      <c r="S2572">
        <v>253.95</v>
      </c>
      <c r="T2572">
        <v>290</v>
      </c>
      <c r="U2572">
        <v>220</v>
      </c>
      <c r="V2572" t="s">
        <v>20</v>
      </c>
      <c r="W2572" t="s">
        <v>470</v>
      </c>
      <c r="X2572" t="s">
        <v>7276</v>
      </c>
      <c r="Y2572" t="s">
        <v>7277</v>
      </c>
      <c r="AF2572" t="s">
        <v>13</v>
      </c>
      <c r="AG2572" t="str">
        <f>HYPERLINK("https://doi.org/10.1515/9781474459099")</f>
        <v>https://doi.org/10.1515/9781474459099</v>
      </c>
      <c r="AH2572" t="str">
        <f>HYPERLINK("http://www.degruyter.com/isbn/9781474459099")</f>
        <v>http://www.degruyter.com/isbn/9781474459099</v>
      </c>
      <c r="AI2572" t="s">
        <v>14</v>
      </c>
      <c r="AJ2572" t="s">
        <v>35</v>
      </c>
      <c r="AL2572" t="s">
        <v>1346</v>
      </c>
      <c r="AM2572">
        <v>1</v>
      </c>
      <c r="AN2572" s="2">
        <v>9781474459075</v>
      </c>
    </row>
    <row r="2573" spans="1:40" x14ac:dyDescent="0.3">
      <c r="A2573" t="s">
        <v>12217</v>
      </c>
      <c r="B2573" t="s">
        <v>1</v>
      </c>
      <c r="C2573" t="s">
        <v>12218</v>
      </c>
      <c r="E2573" t="s">
        <v>12219</v>
      </c>
      <c r="F2573" t="s">
        <v>5</v>
      </c>
      <c r="G2573" t="s">
        <v>6</v>
      </c>
      <c r="L2573" t="s">
        <v>7</v>
      </c>
      <c r="M2573">
        <v>2018</v>
      </c>
      <c r="N2573" s="1">
        <v>44644</v>
      </c>
      <c r="O2573" t="s">
        <v>12220</v>
      </c>
      <c r="P2573">
        <v>1</v>
      </c>
      <c r="Q2573" t="s">
        <v>8750</v>
      </c>
      <c r="S2573">
        <v>227.95</v>
      </c>
      <c r="T2573">
        <v>260</v>
      </c>
      <c r="U2573">
        <v>200</v>
      </c>
      <c r="V2573" t="s">
        <v>42</v>
      </c>
      <c r="W2573" t="s">
        <v>107</v>
      </c>
      <c r="X2573" t="s">
        <v>108</v>
      </c>
      <c r="Y2573" t="s">
        <v>109</v>
      </c>
      <c r="AF2573" t="s">
        <v>13</v>
      </c>
      <c r="AG2573" t="str">
        <f>HYPERLINK("https://doi.org/10.1515/9781474439671?locatt=mode:legacy")</f>
        <v>https://doi.org/10.1515/9781474439671?locatt=mode:legacy</v>
      </c>
      <c r="AH2573" t="str">
        <f>HYPERLINK("http://www.degruyter.com/isbn/9781474439671")</f>
        <v>http://www.degruyter.com/isbn/9781474439671</v>
      </c>
      <c r="AI2573" t="s">
        <v>46</v>
      </c>
      <c r="AL2573" t="s">
        <v>47</v>
      </c>
      <c r="AM2573">
        <v>1</v>
      </c>
      <c r="AN2573" s="2">
        <v>9781474439657</v>
      </c>
    </row>
    <row r="2574" spans="1:40" x14ac:dyDescent="0.3">
      <c r="A2574" t="s">
        <v>12221</v>
      </c>
      <c r="B2574" t="s">
        <v>1</v>
      </c>
      <c r="C2574" t="s">
        <v>12222</v>
      </c>
      <c r="D2574" t="s">
        <v>12223</v>
      </c>
      <c r="E2574" t="s">
        <v>12224</v>
      </c>
      <c r="F2574" t="s">
        <v>5</v>
      </c>
      <c r="G2574" t="s">
        <v>6</v>
      </c>
      <c r="L2574" t="s">
        <v>7</v>
      </c>
      <c r="M2574">
        <v>2011</v>
      </c>
      <c r="N2574" s="1">
        <v>40616</v>
      </c>
      <c r="O2574" t="s">
        <v>12225</v>
      </c>
      <c r="P2574">
        <v>1</v>
      </c>
      <c r="Q2574" t="s">
        <v>6906</v>
      </c>
      <c r="S2574">
        <v>253.95</v>
      </c>
      <c r="T2574">
        <v>290</v>
      </c>
      <c r="U2574">
        <v>220</v>
      </c>
      <c r="V2574" t="s">
        <v>20</v>
      </c>
      <c r="W2574" t="s">
        <v>1018</v>
      </c>
      <c r="X2574" t="s">
        <v>1018</v>
      </c>
      <c r="Y2574" t="s">
        <v>2215</v>
      </c>
      <c r="AF2574" t="s">
        <v>13</v>
      </c>
      <c r="AG2574" t="str">
        <f>HYPERLINK("https://doi.org/10.1515/9780748631520?locatt=mode:legacy")</f>
        <v>https://doi.org/10.1515/9780748631520?locatt=mode:legacy</v>
      </c>
      <c r="AH2574" t="str">
        <f>HYPERLINK("http://www.degruyter.com/isbn/9780748631520")</f>
        <v>http://www.degruyter.com/isbn/9780748631520</v>
      </c>
      <c r="AI2574" t="s">
        <v>68</v>
      </c>
      <c r="AL2574" t="s">
        <v>15</v>
      </c>
      <c r="AM2574">
        <v>1</v>
      </c>
      <c r="AN2574" s="2">
        <v>9780748627462</v>
      </c>
    </row>
    <row r="2575" spans="1:40" x14ac:dyDescent="0.3">
      <c r="A2575" t="s">
        <v>12226</v>
      </c>
      <c r="B2575" t="s">
        <v>1</v>
      </c>
      <c r="C2575" t="s">
        <v>12227</v>
      </c>
      <c r="E2575" t="s">
        <v>12228</v>
      </c>
      <c r="F2575" t="s">
        <v>5</v>
      </c>
      <c r="G2575" t="s">
        <v>6</v>
      </c>
      <c r="L2575" t="s">
        <v>7</v>
      </c>
      <c r="M2575">
        <v>2009</v>
      </c>
      <c r="N2575" s="1">
        <v>39912</v>
      </c>
      <c r="O2575" t="s">
        <v>12229</v>
      </c>
      <c r="P2575">
        <v>1</v>
      </c>
      <c r="Q2575" t="s">
        <v>8456</v>
      </c>
      <c r="S2575">
        <v>217.95</v>
      </c>
      <c r="T2575">
        <v>250</v>
      </c>
      <c r="U2575">
        <v>190</v>
      </c>
      <c r="V2575" t="s">
        <v>20</v>
      </c>
      <c r="W2575" t="s">
        <v>21</v>
      </c>
      <c r="X2575" t="s">
        <v>3919</v>
      </c>
      <c r="Y2575" t="s">
        <v>4359</v>
      </c>
      <c r="AF2575" t="s">
        <v>13</v>
      </c>
      <c r="AG2575" t="str">
        <f>HYPERLINK("https://doi.org/10.1515/9780748635214?locatt=mode:legacy")</f>
        <v>https://doi.org/10.1515/9780748635214?locatt=mode:legacy</v>
      </c>
      <c r="AH2575" t="str">
        <f>HYPERLINK("http://www.degruyter.com/isbn/9780748635214")</f>
        <v>http://www.degruyter.com/isbn/9780748635214</v>
      </c>
      <c r="AI2575" t="s">
        <v>68</v>
      </c>
      <c r="AL2575" t="s">
        <v>15</v>
      </c>
      <c r="AM2575">
        <v>1</v>
      </c>
      <c r="AN2575" s="2">
        <v>9780748635221</v>
      </c>
    </row>
    <row r="2576" spans="1:40" x14ac:dyDescent="0.3">
      <c r="A2576" t="s">
        <v>12230</v>
      </c>
      <c r="B2576" t="s">
        <v>1</v>
      </c>
      <c r="C2576" t="s">
        <v>12231</v>
      </c>
      <c r="E2576" t="s">
        <v>12232</v>
      </c>
      <c r="F2576" t="s">
        <v>5</v>
      </c>
      <c r="G2576" t="s">
        <v>6</v>
      </c>
      <c r="L2576" t="s">
        <v>7</v>
      </c>
      <c r="M2576">
        <v>2020</v>
      </c>
      <c r="N2576" s="1">
        <v>44644</v>
      </c>
      <c r="O2576" t="s">
        <v>12233</v>
      </c>
      <c r="P2576">
        <v>1</v>
      </c>
      <c r="Q2576" t="s">
        <v>7164</v>
      </c>
      <c r="S2576">
        <v>253.95</v>
      </c>
      <c r="T2576">
        <v>290</v>
      </c>
      <c r="U2576">
        <v>220</v>
      </c>
      <c r="V2576" t="s">
        <v>58</v>
      </c>
      <c r="W2576" t="s">
        <v>59</v>
      </c>
      <c r="X2576" t="s">
        <v>60</v>
      </c>
      <c r="Y2576" t="s">
        <v>2093</v>
      </c>
      <c r="AF2576" t="s">
        <v>13</v>
      </c>
      <c r="AG2576" t="str">
        <f>HYPERLINK("https://doi.org/10.1515/9781474450089")</f>
        <v>https://doi.org/10.1515/9781474450089</v>
      </c>
      <c r="AH2576" t="str">
        <f>HYPERLINK("http://www.degruyter.com/isbn/9781474450089")</f>
        <v>http://www.degruyter.com/isbn/9781474450089</v>
      </c>
      <c r="AI2576" t="s">
        <v>14</v>
      </c>
      <c r="AL2576" t="s">
        <v>62</v>
      </c>
      <c r="AM2576">
        <v>1</v>
      </c>
      <c r="AN2576" s="2">
        <v>9781474450065</v>
      </c>
    </row>
    <row r="2577" spans="1:40" x14ac:dyDescent="0.3">
      <c r="A2577" t="s">
        <v>12234</v>
      </c>
      <c r="B2577" t="s">
        <v>1</v>
      </c>
      <c r="C2577" t="s">
        <v>12235</v>
      </c>
      <c r="E2577" t="s">
        <v>12236</v>
      </c>
      <c r="F2577" t="s">
        <v>5</v>
      </c>
      <c r="G2577" t="s">
        <v>6</v>
      </c>
      <c r="L2577" t="s">
        <v>7</v>
      </c>
      <c r="M2577">
        <v>2013</v>
      </c>
      <c r="N2577" s="1">
        <v>41407</v>
      </c>
      <c r="O2577" t="s">
        <v>12237</v>
      </c>
      <c r="P2577">
        <v>1</v>
      </c>
      <c r="Q2577" t="s">
        <v>8942</v>
      </c>
      <c r="S2577">
        <v>253.95</v>
      </c>
      <c r="T2577">
        <v>290</v>
      </c>
      <c r="U2577">
        <v>220</v>
      </c>
      <c r="V2577" t="s">
        <v>79</v>
      </c>
      <c r="W2577" t="s">
        <v>209</v>
      </c>
      <c r="X2577" t="s">
        <v>209</v>
      </c>
      <c r="Y2577" t="s">
        <v>510</v>
      </c>
      <c r="AF2577" t="s">
        <v>13</v>
      </c>
      <c r="AG2577" t="str">
        <f>HYPERLINK("https://doi.org/10.1515/9780748646852")</f>
        <v>https://doi.org/10.1515/9780748646852</v>
      </c>
      <c r="AH2577" t="str">
        <f>HYPERLINK("http://www.degruyter.com/isbn/9780748646852")</f>
        <v>http://www.degruyter.com/isbn/9780748646852</v>
      </c>
      <c r="AI2577" t="s">
        <v>68</v>
      </c>
      <c r="AL2577" t="s">
        <v>83</v>
      </c>
      <c r="AM2577">
        <v>1</v>
      </c>
      <c r="AN2577" s="2">
        <v>9780748646845</v>
      </c>
    </row>
    <row r="2578" spans="1:40" x14ac:dyDescent="0.3">
      <c r="A2578" t="s">
        <v>12238</v>
      </c>
      <c r="B2578" t="s">
        <v>1</v>
      </c>
      <c r="C2578" t="s">
        <v>12239</v>
      </c>
      <c r="D2578" t="s">
        <v>12240</v>
      </c>
      <c r="E2578" t="s">
        <v>12241</v>
      </c>
      <c r="F2578" t="s">
        <v>5</v>
      </c>
      <c r="G2578" t="s">
        <v>6</v>
      </c>
      <c r="L2578" t="s">
        <v>7</v>
      </c>
      <c r="M2578">
        <v>1991</v>
      </c>
      <c r="N2578" s="1">
        <v>44607</v>
      </c>
      <c r="O2578" t="s">
        <v>12242</v>
      </c>
      <c r="P2578">
        <v>1</v>
      </c>
      <c r="Q2578" t="s">
        <v>6929</v>
      </c>
      <c r="S2578">
        <v>217.95</v>
      </c>
      <c r="T2578">
        <v>250</v>
      </c>
      <c r="U2578">
        <v>190</v>
      </c>
      <c r="V2578" t="s">
        <v>58</v>
      </c>
      <c r="W2578" t="s">
        <v>129</v>
      </c>
      <c r="X2578" t="s">
        <v>504</v>
      </c>
      <c r="Y2578" t="s">
        <v>505</v>
      </c>
      <c r="AF2578" t="s">
        <v>13</v>
      </c>
      <c r="AG2578" t="str">
        <f>HYPERLINK("https://doi.org/10.1515/9781474468145")</f>
        <v>https://doi.org/10.1515/9781474468145</v>
      </c>
      <c r="AH2578" t="str">
        <f>HYPERLINK("http://www.degruyter.com/isbn/9781474468145")</f>
        <v>http://www.degruyter.com/isbn/9781474468145</v>
      </c>
      <c r="AI2578" t="s">
        <v>24</v>
      </c>
      <c r="AL2578" t="s">
        <v>62</v>
      </c>
      <c r="AM2578">
        <v>1</v>
      </c>
      <c r="AN2578" s="2">
        <v>9780748602841</v>
      </c>
    </row>
    <row r="2579" spans="1:40" x14ac:dyDescent="0.3">
      <c r="A2579" t="s">
        <v>12243</v>
      </c>
      <c r="B2579" t="s">
        <v>1</v>
      </c>
      <c r="C2579" t="s">
        <v>12244</v>
      </c>
      <c r="E2579" t="s">
        <v>12245</v>
      </c>
      <c r="F2579" t="s">
        <v>5</v>
      </c>
      <c r="G2579" t="s">
        <v>6</v>
      </c>
      <c r="L2579" t="s">
        <v>7</v>
      </c>
      <c r="M2579">
        <v>2008</v>
      </c>
      <c r="N2579" s="1">
        <v>39735</v>
      </c>
      <c r="O2579" t="s">
        <v>12246</v>
      </c>
      <c r="P2579">
        <v>1</v>
      </c>
      <c r="Q2579" t="s">
        <v>10408</v>
      </c>
      <c r="S2579">
        <v>217.95</v>
      </c>
      <c r="T2579">
        <v>250</v>
      </c>
      <c r="U2579">
        <v>190</v>
      </c>
      <c r="V2579" t="s">
        <v>9</v>
      </c>
      <c r="W2579" t="s">
        <v>10</v>
      </c>
      <c r="X2579" t="s">
        <v>596</v>
      </c>
      <c r="Y2579" t="s">
        <v>2473</v>
      </c>
      <c r="AF2579" t="s">
        <v>13</v>
      </c>
      <c r="AG2579" t="str">
        <f>HYPERLINK("https://doi.org/10.1515/9780748631575?locatt=mode:legacy")</f>
        <v>https://doi.org/10.1515/9780748631575?locatt=mode:legacy</v>
      </c>
      <c r="AH2579" t="str">
        <f>HYPERLINK("http://www.degruyter.com/isbn/9780748631575")</f>
        <v>http://www.degruyter.com/isbn/9780748631575</v>
      </c>
      <c r="AI2579" t="s">
        <v>68</v>
      </c>
      <c r="AL2579" t="s">
        <v>15</v>
      </c>
      <c r="AM2579">
        <v>1</v>
      </c>
      <c r="AN2579" s="2">
        <v>9780748627523</v>
      </c>
    </row>
    <row r="2580" spans="1:40" x14ac:dyDescent="0.3">
      <c r="A2580" t="s">
        <v>12247</v>
      </c>
      <c r="B2580" t="s">
        <v>1</v>
      </c>
      <c r="C2580" t="s">
        <v>12248</v>
      </c>
      <c r="D2580" t="s">
        <v>12249</v>
      </c>
      <c r="E2580" t="s">
        <v>12250</v>
      </c>
      <c r="F2580" t="s">
        <v>5</v>
      </c>
      <c r="G2580" t="s">
        <v>6</v>
      </c>
      <c r="L2580" t="s">
        <v>7</v>
      </c>
      <c r="M2580">
        <v>2019</v>
      </c>
      <c r="N2580" s="1">
        <v>44656</v>
      </c>
      <c r="O2580" t="s">
        <v>12251</v>
      </c>
      <c r="P2580">
        <v>1</v>
      </c>
      <c r="Q2580" t="s">
        <v>6539</v>
      </c>
      <c r="S2580">
        <v>227.95</v>
      </c>
      <c r="T2580">
        <v>260</v>
      </c>
      <c r="U2580">
        <v>200</v>
      </c>
      <c r="V2580" t="s">
        <v>42</v>
      </c>
      <c r="W2580" t="s">
        <v>107</v>
      </c>
      <c r="X2580" t="s">
        <v>108</v>
      </c>
      <c r="Y2580" t="s">
        <v>109</v>
      </c>
      <c r="AF2580" t="s">
        <v>13</v>
      </c>
      <c r="AG2580" t="str">
        <f>HYPERLINK("https://doi.org/10.1515/9781474433983?locatt=mode:legacy")</f>
        <v>https://doi.org/10.1515/9781474433983?locatt=mode:legacy</v>
      </c>
      <c r="AH2580" t="str">
        <f>HYPERLINK("http://www.degruyter.com/isbn/9781474433983")</f>
        <v>http://www.degruyter.com/isbn/9781474433983</v>
      </c>
      <c r="AI2580" t="s">
        <v>280</v>
      </c>
      <c r="AL2580" t="s">
        <v>47</v>
      </c>
      <c r="AM2580">
        <v>1</v>
      </c>
      <c r="AN2580" s="2">
        <v>9781474433952</v>
      </c>
    </row>
    <row r="2581" spans="1:40" x14ac:dyDescent="0.3">
      <c r="A2581" t="s">
        <v>12252</v>
      </c>
      <c r="B2581" t="s">
        <v>1</v>
      </c>
      <c r="C2581" t="s">
        <v>12253</v>
      </c>
      <c r="D2581" t="s">
        <v>12254</v>
      </c>
      <c r="E2581" t="s">
        <v>12255</v>
      </c>
      <c r="F2581" t="s">
        <v>5</v>
      </c>
      <c r="G2581" t="s">
        <v>6</v>
      </c>
      <c r="K2581" t="s">
        <v>929</v>
      </c>
      <c r="L2581" t="s">
        <v>7</v>
      </c>
      <c r="M2581">
        <v>2016</v>
      </c>
      <c r="N2581" s="1">
        <v>42709</v>
      </c>
      <c r="O2581" t="s">
        <v>12256</v>
      </c>
      <c r="P2581">
        <v>1</v>
      </c>
      <c r="Q2581" t="s">
        <v>7019</v>
      </c>
      <c r="V2581" t="s">
        <v>42</v>
      </c>
      <c r="W2581" t="s">
        <v>107</v>
      </c>
      <c r="X2581" t="s">
        <v>108</v>
      </c>
      <c r="Y2581" t="s">
        <v>952</v>
      </c>
      <c r="AF2581" t="s">
        <v>13</v>
      </c>
      <c r="AG2581" t="str">
        <f>HYPERLINK("https://doi.org/10.1515/9781474405614")</f>
        <v>https://doi.org/10.1515/9781474405614</v>
      </c>
      <c r="AH2581" t="str">
        <f>HYPERLINK("http://www.degruyter.com/isbn/9781474405614")</f>
        <v>http://www.degruyter.com/isbn/9781474405614</v>
      </c>
      <c r="AI2581" t="s">
        <v>180</v>
      </c>
      <c r="AM2581">
        <v>1</v>
      </c>
      <c r="AN2581" s="2"/>
    </row>
    <row r="2582" spans="1:40" x14ac:dyDescent="0.3">
      <c r="A2582" t="s">
        <v>12257</v>
      </c>
      <c r="B2582" t="s">
        <v>1</v>
      </c>
      <c r="C2582" t="s">
        <v>12258</v>
      </c>
      <c r="E2582" t="s">
        <v>12259</v>
      </c>
      <c r="F2582" t="s">
        <v>5</v>
      </c>
      <c r="G2582" t="s">
        <v>6</v>
      </c>
      <c r="L2582" t="s">
        <v>7</v>
      </c>
      <c r="M2582">
        <v>2019</v>
      </c>
      <c r="N2582" s="1">
        <v>44644</v>
      </c>
      <c r="O2582" t="s">
        <v>12260</v>
      </c>
      <c r="P2582">
        <v>1</v>
      </c>
      <c r="Q2582" t="s">
        <v>7238</v>
      </c>
      <c r="S2582">
        <v>243.95</v>
      </c>
      <c r="T2582">
        <v>280</v>
      </c>
      <c r="U2582">
        <v>210</v>
      </c>
      <c r="V2582" t="s">
        <v>329</v>
      </c>
      <c r="W2582" t="s">
        <v>330</v>
      </c>
      <c r="X2582" t="s">
        <v>12261</v>
      </c>
      <c r="Y2582" t="s">
        <v>12262</v>
      </c>
      <c r="AF2582" t="s">
        <v>13</v>
      </c>
      <c r="AG2582" t="str">
        <f>HYPERLINK("https://doi.org/10.1515/9781474452380?locatt=mode:legacy")</f>
        <v>https://doi.org/10.1515/9781474452380?locatt=mode:legacy</v>
      </c>
      <c r="AH2582" t="str">
        <f>HYPERLINK("http://www.degruyter.com/isbn/9781474452380")</f>
        <v>http://www.degruyter.com/isbn/9781474452380</v>
      </c>
      <c r="AI2582" t="s">
        <v>280</v>
      </c>
      <c r="AL2582" t="s">
        <v>333</v>
      </c>
      <c r="AM2582">
        <v>1</v>
      </c>
      <c r="AN2582" s="2">
        <v>9781474452366</v>
      </c>
    </row>
    <row r="2583" spans="1:40" x14ac:dyDescent="0.3">
      <c r="A2583" t="s">
        <v>12263</v>
      </c>
      <c r="B2583" t="s">
        <v>1</v>
      </c>
      <c r="C2583" t="s">
        <v>12264</v>
      </c>
      <c r="E2583" t="s">
        <v>12265</v>
      </c>
      <c r="F2583" t="s">
        <v>5</v>
      </c>
      <c r="G2583" t="s">
        <v>6</v>
      </c>
      <c r="L2583" t="s">
        <v>7</v>
      </c>
      <c r="M2583">
        <v>2015</v>
      </c>
      <c r="N2583" s="1">
        <v>42270</v>
      </c>
      <c r="O2583" t="s">
        <v>12266</v>
      </c>
      <c r="P2583">
        <v>1</v>
      </c>
      <c r="Q2583" t="s">
        <v>8750</v>
      </c>
      <c r="S2583">
        <v>217.95</v>
      </c>
      <c r="T2583">
        <v>250</v>
      </c>
      <c r="U2583">
        <v>190</v>
      </c>
      <c r="V2583" t="s">
        <v>42</v>
      </c>
      <c r="W2583" t="s">
        <v>116</v>
      </c>
      <c r="X2583" t="s">
        <v>116</v>
      </c>
      <c r="Y2583" t="s">
        <v>1129</v>
      </c>
      <c r="AF2583" t="s">
        <v>13</v>
      </c>
      <c r="AG2583" t="str">
        <f>HYPERLINK("https://doi.org/10.1515/9781474400398")</f>
        <v>https://doi.org/10.1515/9781474400398</v>
      </c>
      <c r="AH2583" t="str">
        <f>HYPERLINK("http://www.degruyter.com/isbn/9781474400398")</f>
        <v>http://www.degruyter.com/isbn/9781474400398</v>
      </c>
      <c r="AI2583" t="s">
        <v>34</v>
      </c>
      <c r="AL2583" t="s">
        <v>47</v>
      </c>
      <c r="AM2583">
        <v>1</v>
      </c>
      <c r="AN2583" s="2">
        <v>9781474400381</v>
      </c>
    </row>
    <row r="2584" spans="1:40" x14ac:dyDescent="0.3">
      <c r="A2584" t="s">
        <v>12267</v>
      </c>
      <c r="B2584" t="s">
        <v>1</v>
      </c>
      <c r="C2584" t="s">
        <v>12268</v>
      </c>
      <c r="D2584" t="s">
        <v>12269</v>
      </c>
      <c r="E2584" t="s">
        <v>12270</v>
      </c>
      <c r="F2584" t="s">
        <v>5</v>
      </c>
      <c r="G2584" t="s">
        <v>6</v>
      </c>
      <c r="L2584" t="s">
        <v>7</v>
      </c>
      <c r="M2584">
        <v>2015</v>
      </c>
      <c r="N2584" s="1">
        <v>42072</v>
      </c>
      <c r="O2584" t="s">
        <v>9316</v>
      </c>
      <c r="P2584">
        <v>1</v>
      </c>
      <c r="Q2584" t="s">
        <v>7515</v>
      </c>
      <c r="S2584">
        <v>243.95</v>
      </c>
      <c r="T2584">
        <v>280</v>
      </c>
      <c r="U2584">
        <v>210</v>
      </c>
      <c r="V2584" t="s">
        <v>58</v>
      </c>
      <c r="W2584" t="s">
        <v>59</v>
      </c>
      <c r="X2584" t="s">
        <v>60</v>
      </c>
      <c r="Y2584" t="s">
        <v>145</v>
      </c>
      <c r="AF2584" t="s">
        <v>13</v>
      </c>
      <c r="AG2584" t="str">
        <f>HYPERLINK("https://doi.org/10.1515/9781474400411")</f>
        <v>https://doi.org/10.1515/9781474400411</v>
      </c>
      <c r="AH2584" t="str">
        <f>HYPERLINK("http://www.degruyter.com/isbn/9781474400411")</f>
        <v>http://www.degruyter.com/isbn/9781474400411</v>
      </c>
      <c r="AI2584" t="s">
        <v>5054</v>
      </c>
      <c r="AL2584" t="s">
        <v>62</v>
      </c>
      <c r="AM2584">
        <v>1</v>
      </c>
      <c r="AN2584" s="2">
        <v>9781474400404</v>
      </c>
    </row>
    <row r="2585" spans="1:40" x14ac:dyDescent="0.3">
      <c r="A2585" t="s">
        <v>12271</v>
      </c>
      <c r="B2585" t="s">
        <v>1</v>
      </c>
      <c r="C2585" t="s">
        <v>12272</v>
      </c>
      <c r="D2585" t="s">
        <v>12273</v>
      </c>
      <c r="E2585" t="s">
        <v>12274</v>
      </c>
      <c r="F2585" t="s">
        <v>5</v>
      </c>
      <c r="G2585" t="s">
        <v>6</v>
      </c>
      <c r="L2585" t="s">
        <v>7</v>
      </c>
      <c r="M2585">
        <v>1996</v>
      </c>
      <c r="N2585" s="1">
        <v>44607</v>
      </c>
      <c r="O2585" t="s">
        <v>12275</v>
      </c>
      <c r="P2585">
        <v>1</v>
      </c>
      <c r="Q2585" t="s">
        <v>7257</v>
      </c>
      <c r="S2585">
        <v>217.95</v>
      </c>
      <c r="T2585">
        <v>250</v>
      </c>
      <c r="U2585">
        <v>190</v>
      </c>
      <c r="V2585" t="s">
        <v>1325</v>
      </c>
      <c r="W2585" t="s">
        <v>2407</v>
      </c>
      <c r="X2585" t="s">
        <v>2407</v>
      </c>
      <c r="Y2585" t="s">
        <v>3653</v>
      </c>
      <c r="AF2585" t="s">
        <v>13</v>
      </c>
      <c r="AG2585" t="str">
        <f>HYPERLINK("https://doi.org/10.1515/9781474468442")</f>
        <v>https://doi.org/10.1515/9781474468442</v>
      </c>
      <c r="AH2585" t="str">
        <f>HYPERLINK("http://www.degruyter.com/isbn/9781474468442")</f>
        <v>http://www.degruyter.com/isbn/9781474468442</v>
      </c>
      <c r="AI2585" t="s">
        <v>24</v>
      </c>
      <c r="AL2585" t="s">
        <v>1328</v>
      </c>
      <c r="AM2585">
        <v>1</v>
      </c>
      <c r="AN2585" s="2">
        <v>9780748608447</v>
      </c>
    </row>
    <row r="2586" spans="1:40" x14ac:dyDescent="0.3">
      <c r="A2586" t="s">
        <v>12276</v>
      </c>
      <c r="B2586" t="s">
        <v>1</v>
      </c>
      <c r="C2586" t="s">
        <v>12277</v>
      </c>
      <c r="D2586" t="s">
        <v>12278</v>
      </c>
      <c r="E2586" t="s">
        <v>12279</v>
      </c>
      <c r="F2586" t="s">
        <v>5</v>
      </c>
      <c r="G2586" t="s">
        <v>6</v>
      </c>
      <c r="L2586" t="s">
        <v>7</v>
      </c>
      <c r="M2586">
        <v>2014</v>
      </c>
      <c r="N2586" s="1">
        <v>41738</v>
      </c>
      <c r="O2586" t="s">
        <v>12280</v>
      </c>
      <c r="P2586">
        <v>1</v>
      </c>
      <c r="Q2586" t="s">
        <v>7194</v>
      </c>
      <c r="S2586">
        <v>227.95</v>
      </c>
      <c r="T2586">
        <v>260</v>
      </c>
      <c r="U2586">
        <v>200</v>
      </c>
      <c r="V2586" t="s">
        <v>79</v>
      </c>
      <c r="W2586" t="s">
        <v>209</v>
      </c>
      <c r="X2586" t="s">
        <v>209</v>
      </c>
      <c r="Y2586" t="s">
        <v>510</v>
      </c>
      <c r="AF2586" t="s">
        <v>13</v>
      </c>
      <c r="AG2586" t="str">
        <f>HYPERLINK("https://doi.org/10.1515/9780748668229?locatt=mode:legacy")</f>
        <v>https://doi.org/10.1515/9780748668229?locatt=mode:legacy</v>
      </c>
      <c r="AH2586" t="str">
        <f>HYPERLINK("http://www.degruyter.com/isbn/9780748668229")</f>
        <v>http://www.degruyter.com/isbn/9780748668229</v>
      </c>
      <c r="AI2586" t="s">
        <v>34</v>
      </c>
      <c r="AL2586" t="s">
        <v>83</v>
      </c>
      <c r="AM2586">
        <v>1</v>
      </c>
      <c r="AN2586" s="2">
        <v>9780748668212</v>
      </c>
    </row>
    <row r="2587" spans="1:40" x14ac:dyDescent="0.3">
      <c r="A2587" t="s">
        <v>12281</v>
      </c>
      <c r="B2587" t="s">
        <v>1</v>
      </c>
      <c r="C2587" t="s">
        <v>12282</v>
      </c>
      <c r="D2587" t="s">
        <v>12283</v>
      </c>
      <c r="E2587" t="s">
        <v>12284</v>
      </c>
      <c r="F2587" t="s">
        <v>5</v>
      </c>
      <c r="G2587" t="s">
        <v>6</v>
      </c>
      <c r="L2587" t="s">
        <v>7</v>
      </c>
      <c r="M2587">
        <v>2021</v>
      </c>
      <c r="N2587" s="1">
        <v>44656</v>
      </c>
      <c r="O2587" t="s">
        <v>12285</v>
      </c>
      <c r="P2587">
        <v>1</v>
      </c>
      <c r="Q2587" t="s">
        <v>8607</v>
      </c>
      <c r="S2587">
        <v>243.95</v>
      </c>
      <c r="T2587">
        <v>280</v>
      </c>
      <c r="U2587">
        <v>210</v>
      </c>
      <c r="V2587" t="s">
        <v>58</v>
      </c>
      <c r="W2587" t="s">
        <v>59</v>
      </c>
      <c r="X2587" t="s">
        <v>60</v>
      </c>
      <c r="Y2587" t="s">
        <v>6571</v>
      </c>
      <c r="AF2587" t="s">
        <v>13</v>
      </c>
      <c r="AG2587" t="str">
        <f>HYPERLINK("https://doi.org/10.1515/9781474483278")</f>
        <v>https://doi.org/10.1515/9781474483278</v>
      </c>
      <c r="AH2587" t="str">
        <f>HYPERLINK("http://www.degruyter.com/isbn/9781474483278")</f>
        <v>http://www.degruyter.com/isbn/9781474483278</v>
      </c>
      <c r="AI2587" t="s">
        <v>5150</v>
      </c>
      <c r="AL2587" t="s">
        <v>62</v>
      </c>
      <c r="AM2587">
        <v>1</v>
      </c>
      <c r="AN2587" s="2">
        <v>9781474483254</v>
      </c>
    </row>
    <row r="2588" spans="1:40" x14ac:dyDescent="0.3">
      <c r="A2588" t="s">
        <v>12286</v>
      </c>
      <c r="B2588" t="s">
        <v>1</v>
      </c>
      <c r="C2588" t="s">
        <v>12287</v>
      </c>
      <c r="D2588" t="s">
        <v>12288</v>
      </c>
      <c r="E2588" t="s">
        <v>12289</v>
      </c>
      <c r="F2588" t="s">
        <v>5</v>
      </c>
      <c r="G2588" t="s">
        <v>6</v>
      </c>
      <c r="L2588" t="s">
        <v>7</v>
      </c>
      <c r="M2588">
        <v>2019</v>
      </c>
      <c r="N2588" s="1">
        <v>44644</v>
      </c>
      <c r="O2588" t="s">
        <v>12290</v>
      </c>
      <c r="P2588">
        <v>1</v>
      </c>
      <c r="Q2588" t="s">
        <v>6665</v>
      </c>
      <c r="S2588">
        <v>217.95</v>
      </c>
      <c r="T2588">
        <v>250</v>
      </c>
      <c r="U2588">
        <v>190</v>
      </c>
      <c r="V2588" t="s">
        <v>20</v>
      </c>
      <c r="W2588" t="s">
        <v>21</v>
      </c>
      <c r="X2588" t="s">
        <v>22</v>
      </c>
      <c r="Y2588" t="s">
        <v>1345</v>
      </c>
      <c r="AF2588" t="s">
        <v>13</v>
      </c>
      <c r="AG2588" t="str">
        <f>HYPERLINK("https://doi.org/10.1515/9781474424240")</f>
        <v>https://doi.org/10.1515/9781474424240</v>
      </c>
      <c r="AH2588" t="str">
        <f>HYPERLINK("http://www.degruyter.com/isbn/9781474424240")</f>
        <v>http://www.degruyter.com/isbn/9781474424240</v>
      </c>
      <c r="AI2588" t="s">
        <v>280</v>
      </c>
      <c r="AL2588" t="s">
        <v>15</v>
      </c>
      <c r="AM2588">
        <v>1</v>
      </c>
      <c r="AN2588" s="2">
        <v>9781474424233</v>
      </c>
    </row>
    <row r="2589" spans="1:40" x14ac:dyDescent="0.3">
      <c r="A2589" t="s">
        <v>12291</v>
      </c>
      <c r="B2589" t="s">
        <v>1</v>
      </c>
      <c r="C2589" t="s">
        <v>12292</v>
      </c>
      <c r="D2589" t="s">
        <v>7731</v>
      </c>
      <c r="E2589" t="s">
        <v>12293</v>
      </c>
      <c r="F2589" t="s">
        <v>5</v>
      </c>
      <c r="G2589" t="s">
        <v>6</v>
      </c>
      <c r="L2589" t="s">
        <v>7</v>
      </c>
      <c r="M2589">
        <v>2008</v>
      </c>
      <c r="N2589" s="1">
        <v>39588</v>
      </c>
      <c r="O2589" t="s">
        <v>2986</v>
      </c>
      <c r="P2589">
        <v>1</v>
      </c>
      <c r="Q2589" t="s">
        <v>7733</v>
      </c>
      <c r="S2589">
        <v>279.95</v>
      </c>
      <c r="T2589">
        <v>320</v>
      </c>
      <c r="U2589">
        <v>240</v>
      </c>
      <c r="V2589" t="s">
        <v>79</v>
      </c>
      <c r="W2589" t="s">
        <v>209</v>
      </c>
      <c r="X2589" t="s">
        <v>209</v>
      </c>
      <c r="Y2589" t="s">
        <v>3051</v>
      </c>
      <c r="AF2589" t="s">
        <v>13</v>
      </c>
      <c r="AG2589" t="str">
        <f>HYPERLINK("https://doi.org/10.1515/9780748631384")</f>
        <v>https://doi.org/10.1515/9780748631384</v>
      </c>
      <c r="AH2589" t="str">
        <f>HYPERLINK("http://www.degruyter.com/isbn/9780748631384")</f>
        <v>http://www.degruyter.com/isbn/9780748631384</v>
      </c>
      <c r="AI2589" t="s">
        <v>68</v>
      </c>
      <c r="AL2589" t="s">
        <v>83</v>
      </c>
      <c r="AM2589">
        <v>1</v>
      </c>
      <c r="AN2589" s="2">
        <v>9780748626106</v>
      </c>
    </row>
    <row r="2590" spans="1:40" x14ac:dyDescent="0.3">
      <c r="A2590" t="s">
        <v>12294</v>
      </c>
      <c r="B2590" t="s">
        <v>1</v>
      </c>
      <c r="C2590" t="s">
        <v>12295</v>
      </c>
      <c r="D2590" t="s">
        <v>12296</v>
      </c>
      <c r="E2590" t="s">
        <v>12297</v>
      </c>
      <c r="F2590" t="s">
        <v>5</v>
      </c>
      <c r="G2590" t="s">
        <v>6</v>
      </c>
      <c r="L2590" t="s">
        <v>7</v>
      </c>
      <c r="M2590">
        <v>2007</v>
      </c>
      <c r="N2590" s="1">
        <v>39263</v>
      </c>
      <c r="O2590" t="s">
        <v>9402</v>
      </c>
      <c r="P2590">
        <v>1</v>
      </c>
      <c r="Q2590" t="s">
        <v>6785</v>
      </c>
      <c r="S2590">
        <v>287.95</v>
      </c>
      <c r="T2590">
        <v>330</v>
      </c>
      <c r="U2590">
        <v>250</v>
      </c>
      <c r="V2590" t="s">
        <v>58</v>
      </c>
      <c r="W2590" t="s">
        <v>59</v>
      </c>
      <c r="X2590" t="s">
        <v>60</v>
      </c>
      <c r="Y2590" t="s">
        <v>169</v>
      </c>
      <c r="AF2590" t="s">
        <v>13</v>
      </c>
      <c r="AG2590" t="str">
        <f>HYPERLINK("https://doi.org/10.1515/9780748630684?locatt=mode:legacy")</f>
        <v>https://doi.org/10.1515/9780748630684?locatt=mode:legacy</v>
      </c>
      <c r="AH2590" t="str">
        <f>HYPERLINK("http://www.degruyter.com/isbn/9780748630684")</f>
        <v>http://www.degruyter.com/isbn/9780748630684</v>
      </c>
      <c r="AI2590" t="s">
        <v>68</v>
      </c>
      <c r="AL2590" t="s">
        <v>62</v>
      </c>
      <c r="AM2590">
        <v>1</v>
      </c>
      <c r="AN2590" s="2">
        <v>9780748624973</v>
      </c>
    </row>
    <row r="2591" spans="1:40" x14ac:dyDescent="0.3">
      <c r="A2591" t="s">
        <v>12298</v>
      </c>
      <c r="B2591" t="s">
        <v>1</v>
      </c>
      <c r="C2591" t="s">
        <v>12299</v>
      </c>
      <c r="D2591" t="s">
        <v>12300</v>
      </c>
      <c r="E2591" t="s">
        <v>12301</v>
      </c>
      <c r="F2591" t="s">
        <v>5</v>
      </c>
      <c r="G2591" t="s">
        <v>6</v>
      </c>
      <c r="L2591" t="s">
        <v>7</v>
      </c>
      <c r="M2591">
        <v>2010</v>
      </c>
      <c r="N2591" s="1">
        <v>40463</v>
      </c>
      <c r="O2591" t="s">
        <v>12302</v>
      </c>
      <c r="P2591">
        <v>1</v>
      </c>
      <c r="Q2591" t="s">
        <v>6539</v>
      </c>
      <c r="S2591">
        <v>227.95</v>
      </c>
      <c r="T2591">
        <v>260</v>
      </c>
      <c r="U2591">
        <v>200</v>
      </c>
      <c r="V2591" t="s">
        <v>42</v>
      </c>
      <c r="W2591" t="s">
        <v>107</v>
      </c>
      <c r="X2591" t="s">
        <v>108</v>
      </c>
      <c r="Y2591" t="s">
        <v>109</v>
      </c>
      <c r="AF2591" t="s">
        <v>13</v>
      </c>
      <c r="AG2591" t="str">
        <f>HYPERLINK("https://doi.org/10.1515/9780748643721")</f>
        <v>https://doi.org/10.1515/9780748643721</v>
      </c>
      <c r="AH2591" t="str">
        <f>HYPERLINK("http://www.degruyter.com/isbn/9780748643721")</f>
        <v>http://www.degruyter.com/isbn/9780748643721</v>
      </c>
      <c r="AI2591" t="s">
        <v>68</v>
      </c>
      <c r="AL2591" t="s">
        <v>47</v>
      </c>
      <c r="AM2591">
        <v>1</v>
      </c>
      <c r="AN2591" s="2">
        <v>9780748641499</v>
      </c>
    </row>
    <row r="2592" spans="1:40" x14ac:dyDescent="0.3">
      <c r="A2592" t="s">
        <v>12303</v>
      </c>
      <c r="B2592" t="s">
        <v>1</v>
      </c>
      <c r="C2592" t="s">
        <v>12304</v>
      </c>
      <c r="D2592" t="s">
        <v>12305</v>
      </c>
      <c r="E2592" t="s">
        <v>12306</v>
      </c>
      <c r="F2592" t="s">
        <v>5</v>
      </c>
      <c r="G2592" t="s">
        <v>6</v>
      </c>
      <c r="L2592" t="s">
        <v>7</v>
      </c>
      <c r="M2592">
        <v>1999</v>
      </c>
      <c r="N2592" s="1">
        <v>44607</v>
      </c>
      <c r="O2592" t="s">
        <v>12307</v>
      </c>
      <c r="P2592">
        <v>1</v>
      </c>
      <c r="Q2592" t="s">
        <v>6929</v>
      </c>
      <c r="S2592">
        <v>217.95</v>
      </c>
      <c r="T2592">
        <v>250</v>
      </c>
      <c r="U2592">
        <v>190</v>
      </c>
      <c r="V2592" t="s">
        <v>58</v>
      </c>
      <c r="W2592" t="s">
        <v>129</v>
      </c>
      <c r="X2592" t="s">
        <v>130</v>
      </c>
      <c r="Y2592" t="s">
        <v>8252</v>
      </c>
      <c r="AF2592" t="s">
        <v>13</v>
      </c>
      <c r="AG2592" t="str">
        <f>HYPERLINK("https://doi.org/10.1515/9781474469579")</f>
        <v>https://doi.org/10.1515/9781474469579</v>
      </c>
      <c r="AH2592" t="str">
        <f>HYPERLINK("http://www.degruyter.com/isbn/9781474469579")</f>
        <v>http://www.degruyter.com/isbn/9781474469579</v>
      </c>
      <c r="AI2592" t="s">
        <v>24</v>
      </c>
      <c r="AL2592" t="s">
        <v>62</v>
      </c>
      <c r="AM2592">
        <v>1</v>
      </c>
      <c r="AN2592" s="2">
        <v>9780748613045</v>
      </c>
    </row>
    <row r="2593" spans="1:40" x14ac:dyDescent="0.3">
      <c r="A2593" t="s">
        <v>12308</v>
      </c>
      <c r="B2593" t="s">
        <v>1</v>
      </c>
      <c r="C2593" t="s">
        <v>12309</v>
      </c>
      <c r="D2593" t="s">
        <v>12310</v>
      </c>
      <c r="E2593" t="s">
        <v>12311</v>
      </c>
      <c r="F2593" t="s">
        <v>5</v>
      </c>
      <c r="G2593" t="s">
        <v>6</v>
      </c>
      <c r="L2593" t="s">
        <v>7</v>
      </c>
      <c r="M2593">
        <v>2012</v>
      </c>
      <c r="N2593" s="1">
        <v>41127</v>
      </c>
      <c r="O2593" t="s">
        <v>12312</v>
      </c>
      <c r="P2593">
        <v>1</v>
      </c>
      <c r="Q2593" t="s">
        <v>7728</v>
      </c>
      <c r="S2593">
        <v>217.95</v>
      </c>
      <c r="T2593">
        <v>250</v>
      </c>
      <c r="U2593">
        <v>190</v>
      </c>
      <c r="V2593" t="s">
        <v>42</v>
      </c>
      <c r="W2593" t="s">
        <v>107</v>
      </c>
      <c r="X2593" t="s">
        <v>108</v>
      </c>
      <c r="Y2593" t="s">
        <v>109</v>
      </c>
      <c r="AF2593" t="s">
        <v>13</v>
      </c>
      <c r="AG2593" t="str">
        <f>HYPERLINK("https://doi.org/10.1515/9780748655830?locatt=mode:legacy")</f>
        <v>https://doi.org/10.1515/9780748655830?locatt=mode:legacy</v>
      </c>
      <c r="AH2593" t="str">
        <f>HYPERLINK("http://www.degruyter.com/isbn/9780748655830")</f>
        <v>http://www.degruyter.com/isbn/9780748655830</v>
      </c>
      <c r="AI2593" t="s">
        <v>68</v>
      </c>
      <c r="AL2593" t="s">
        <v>47</v>
      </c>
      <c r="AM2593">
        <v>1</v>
      </c>
      <c r="AN2593" s="2">
        <v>9780748655823</v>
      </c>
    </row>
    <row r="2594" spans="1:40" x14ac:dyDescent="0.3">
      <c r="A2594" t="s">
        <v>12313</v>
      </c>
      <c r="B2594" t="s">
        <v>1</v>
      </c>
      <c r="C2594" t="s">
        <v>12314</v>
      </c>
      <c r="E2594" t="s">
        <v>12315</v>
      </c>
      <c r="F2594" t="s">
        <v>5</v>
      </c>
      <c r="G2594" t="s">
        <v>6</v>
      </c>
      <c r="L2594" t="s">
        <v>7</v>
      </c>
      <c r="M2594">
        <v>1988</v>
      </c>
      <c r="N2594" s="1">
        <v>44719</v>
      </c>
      <c r="O2594" t="s">
        <v>12316</v>
      </c>
      <c r="P2594">
        <v>1</v>
      </c>
      <c r="Q2594" t="s">
        <v>7677</v>
      </c>
      <c r="S2594">
        <v>739.95</v>
      </c>
      <c r="T2594">
        <v>850</v>
      </c>
      <c r="U2594">
        <v>650</v>
      </c>
      <c r="V2594" t="s">
        <v>20</v>
      </c>
      <c r="W2594" t="s">
        <v>21</v>
      </c>
      <c r="X2594" t="s">
        <v>22</v>
      </c>
      <c r="Y2594" t="s">
        <v>23</v>
      </c>
      <c r="AF2594" t="s">
        <v>13</v>
      </c>
      <c r="AG2594" t="str">
        <f>HYPERLINK("https://www.degruyter.com/isbn/9781474467896")</f>
        <v>https://www.degruyter.com/isbn/9781474467896</v>
      </c>
      <c r="AH2594" t="str">
        <f>HYPERLINK("http://www.degruyter.com/isbn/9781474467896")</f>
        <v>http://www.degruyter.com/isbn/9781474467896</v>
      </c>
      <c r="AI2594" t="s">
        <v>24</v>
      </c>
      <c r="AL2594" t="s">
        <v>15</v>
      </c>
      <c r="AM2594">
        <v>1</v>
      </c>
      <c r="AN2594" s="2">
        <v>9780852245439</v>
      </c>
    </row>
    <row r="2595" spans="1:40" x14ac:dyDescent="0.3">
      <c r="A2595" t="s">
        <v>12317</v>
      </c>
      <c r="B2595" t="s">
        <v>1</v>
      </c>
      <c r="C2595" t="s">
        <v>12318</v>
      </c>
      <c r="E2595" t="s">
        <v>12319</v>
      </c>
      <c r="F2595" t="s">
        <v>5</v>
      </c>
      <c r="G2595" t="s">
        <v>6</v>
      </c>
      <c r="L2595" t="s">
        <v>7</v>
      </c>
      <c r="M2595">
        <v>2011</v>
      </c>
      <c r="N2595" s="1">
        <v>40731</v>
      </c>
      <c r="O2595" t="s">
        <v>4527</v>
      </c>
      <c r="P2595">
        <v>1</v>
      </c>
      <c r="Q2595" t="s">
        <v>6418</v>
      </c>
      <c r="S2595">
        <v>253.95</v>
      </c>
      <c r="T2595">
        <v>290</v>
      </c>
      <c r="U2595">
        <v>220</v>
      </c>
      <c r="V2595" t="s">
        <v>79</v>
      </c>
      <c r="W2595" t="s">
        <v>734</v>
      </c>
      <c r="X2595" t="s">
        <v>734</v>
      </c>
      <c r="Y2595" t="s">
        <v>6064</v>
      </c>
      <c r="AF2595" t="s">
        <v>13</v>
      </c>
      <c r="AG2595" t="str">
        <f>HYPERLINK("https://doi.org/10.1515/9780748647514?locatt=mode:legacy")</f>
        <v>https://doi.org/10.1515/9780748647514?locatt=mode:legacy</v>
      </c>
      <c r="AH2595" t="str">
        <f>HYPERLINK("http://www.degruyter.com/isbn/9780748647514")</f>
        <v>http://www.degruyter.com/isbn/9780748647514</v>
      </c>
      <c r="AI2595" t="s">
        <v>68</v>
      </c>
      <c r="AL2595" t="s">
        <v>83</v>
      </c>
      <c r="AM2595">
        <v>1</v>
      </c>
      <c r="AN2595" s="2">
        <v>9780748642618</v>
      </c>
    </row>
    <row r="2596" spans="1:40" x14ac:dyDescent="0.3">
      <c r="A2596" t="s">
        <v>12320</v>
      </c>
      <c r="B2596" t="s">
        <v>1</v>
      </c>
      <c r="C2596" t="s">
        <v>12321</v>
      </c>
      <c r="D2596" t="s">
        <v>12322</v>
      </c>
      <c r="E2596" t="s">
        <v>12323</v>
      </c>
      <c r="F2596" t="s">
        <v>5</v>
      </c>
      <c r="G2596" t="s">
        <v>6</v>
      </c>
      <c r="L2596" t="s">
        <v>7</v>
      </c>
      <c r="M2596">
        <v>2012</v>
      </c>
      <c r="N2596" s="1">
        <v>41003</v>
      </c>
      <c r="O2596" t="s">
        <v>12324</v>
      </c>
      <c r="P2596">
        <v>1</v>
      </c>
      <c r="Q2596" t="s">
        <v>7174</v>
      </c>
      <c r="S2596">
        <v>217.95</v>
      </c>
      <c r="T2596">
        <v>250</v>
      </c>
      <c r="U2596">
        <v>190</v>
      </c>
      <c r="V2596" t="s">
        <v>42</v>
      </c>
      <c r="W2596" t="s">
        <v>116</v>
      </c>
      <c r="X2596" t="s">
        <v>116</v>
      </c>
      <c r="Y2596" t="s">
        <v>117</v>
      </c>
      <c r="AF2596" t="s">
        <v>13</v>
      </c>
      <c r="AG2596" t="str">
        <f>HYPERLINK("https://doi.org/10.1515/9780748647453")</f>
        <v>https://doi.org/10.1515/9780748647453</v>
      </c>
      <c r="AH2596" t="str">
        <f>HYPERLINK("http://www.degruyter.com/isbn/9780748647453")</f>
        <v>http://www.degruyter.com/isbn/9780748647453</v>
      </c>
      <c r="AI2596" t="s">
        <v>68</v>
      </c>
      <c r="AL2596" t="s">
        <v>47</v>
      </c>
      <c r="AM2596">
        <v>1</v>
      </c>
      <c r="AN2596" s="2">
        <v>9780748647446</v>
      </c>
    </row>
    <row r="2597" spans="1:40" x14ac:dyDescent="0.3">
      <c r="A2597" t="s">
        <v>12325</v>
      </c>
      <c r="B2597" t="s">
        <v>1</v>
      </c>
      <c r="C2597" t="s">
        <v>12326</v>
      </c>
      <c r="E2597" t="s">
        <v>12327</v>
      </c>
      <c r="F2597" t="s">
        <v>5</v>
      </c>
      <c r="G2597" t="s">
        <v>6</v>
      </c>
      <c r="L2597" t="s">
        <v>7</v>
      </c>
      <c r="M2597">
        <v>2021</v>
      </c>
      <c r="N2597" s="1">
        <v>44656</v>
      </c>
      <c r="O2597" t="s">
        <v>12328</v>
      </c>
      <c r="P2597">
        <v>1</v>
      </c>
      <c r="Q2597" t="s">
        <v>8883</v>
      </c>
      <c r="S2597">
        <v>217.95</v>
      </c>
      <c r="T2597">
        <v>250</v>
      </c>
      <c r="U2597">
        <v>190</v>
      </c>
      <c r="V2597" t="s">
        <v>79</v>
      </c>
      <c r="W2597" t="s">
        <v>123</v>
      </c>
      <c r="X2597" t="s">
        <v>123</v>
      </c>
      <c r="Y2597" t="s">
        <v>124</v>
      </c>
      <c r="AF2597" t="s">
        <v>13</v>
      </c>
      <c r="AG2597" t="str">
        <f>HYPERLINK("https://doi.org/10.1515/9781474478427")</f>
        <v>https://doi.org/10.1515/9781474478427</v>
      </c>
      <c r="AH2597" t="str">
        <f>HYPERLINK("http://www.degruyter.com/isbn/9781474478427")</f>
        <v>http://www.degruyter.com/isbn/9781474478427</v>
      </c>
      <c r="AI2597" t="s">
        <v>4630</v>
      </c>
      <c r="AL2597" t="s">
        <v>83</v>
      </c>
      <c r="AM2597">
        <v>1</v>
      </c>
      <c r="AN2597" s="2">
        <v>9781474478397</v>
      </c>
    </row>
    <row r="2598" spans="1:40" x14ac:dyDescent="0.3">
      <c r="A2598" t="s">
        <v>12329</v>
      </c>
      <c r="B2598" t="s">
        <v>1</v>
      </c>
      <c r="C2598" t="s">
        <v>12330</v>
      </c>
      <c r="E2598" t="s">
        <v>12331</v>
      </c>
      <c r="F2598" t="s">
        <v>5</v>
      </c>
      <c r="G2598" t="s">
        <v>6</v>
      </c>
      <c r="L2598" t="s">
        <v>7</v>
      </c>
      <c r="M2598">
        <v>2011</v>
      </c>
      <c r="N2598" s="1">
        <v>40662</v>
      </c>
      <c r="O2598" t="s">
        <v>12332</v>
      </c>
      <c r="P2598">
        <v>1</v>
      </c>
      <c r="Q2598" t="s">
        <v>6881</v>
      </c>
      <c r="S2598">
        <v>227.95</v>
      </c>
      <c r="T2598">
        <v>260</v>
      </c>
      <c r="U2598">
        <v>200</v>
      </c>
      <c r="V2598" t="s">
        <v>98</v>
      </c>
      <c r="W2598" t="s">
        <v>99</v>
      </c>
      <c r="X2598" t="s">
        <v>386</v>
      </c>
      <c r="Y2598" t="s">
        <v>387</v>
      </c>
      <c r="AF2598" t="s">
        <v>13</v>
      </c>
      <c r="AG2598" t="str">
        <f>HYPERLINK("https://doi.org/10.1515/9780748637638")</f>
        <v>https://doi.org/10.1515/9780748637638</v>
      </c>
      <c r="AH2598" t="str">
        <f>HYPERLINK("http://www.degruyter.com/isbn/9780748637638")</f>
        <v>http://www.degruyter.com/isbn/9780748637638</v>
      </c>
      <c r="AI2598" t="s">
        <v>68</v>
      </c>
      <c r="AL2598" t="s">
        <v>102</v>
      </c>
      <c r="AM2598">
        <v>1</v>
      </c>
      <c r="AN2598" s="2">
        <v>9780748637614</v>
      </c>
    </row>
    <row r="2599" spans="1:40" x14ac:dyDescent="0.3">
      <c r="A2599" t="s">
        <v>12333</v>
      </c>
      <c r="B2599" t="s">
        <v>1</v>
      </c>
      <c r="C2599" t="s">
        <v>12334</v>
      </c>
      <c r="D2599" t="s">
        <v>12335</v>
      </c>
      <c r="E2599" t="s">
        <v>12336</v>
      </c>
      <c r="F2599" t="s">
        <v>5</v>
      </c>
      <c r="G2599" t="s">
        <v>6</v>
      </c>
      <c r="L2599" t="s">
        <v>7</v>
      </c>
      <c r="M2599">
        <v>2014</v>
      </c>
      <c r="N2599" s="1">
        <v>41773</v>
      </c>
      <c r="O2599" t="s">
        <v>12337</v>
      </c>
      <c r="P2599">
        <v>1</v>
      </c>
      <c r="Q2599" t="s">
        <v>6539</v>
      </c>
      <c r="S2599">
        <v>217.95</v>
      </c>
      <c r="T2599">
        <v>250</v>
      </c>
      <c r="U2599">
        <v>190</v>
      </c>
      <c r="V2599" t="s">
        <v>42</v>
      </c>
      <c r="W2599" t="s">
        <v>161</v>
      </c>
      <c r="X2599" t="s">
        <v>162</v>
      </c>
      <c r="Y2599" t="s">
        <v>12338</v>
      </c>
      <c r="AF2599" t="s">
        <v>13</v>
      </c>
      <c r="AG2599" t="str">
        <f>HYPERLINK("https://doi.org/10.1515/9780748692965")</f>
        <v>https://doi.org/10.1515/9780748692965</v>
      </c>
      <c r="AH2599" t="str">
        <f>HYPERLINK("http://www.degruyter.com/isbn/9780748692965")</f>
        <v>http://www.degruyter.com/isbn/9780748692965</v>
      </c>
      <c r="AI2599" t="s">
        <v>34</v>
      </c>
      <c r="AL2599" t="s">
        <v>47</v>
      </c>
      <c r="AM2599">
        <v>1</v>
      </c>
      <c r="AN2599" s="2">
        <v>9780748692958</v>
      </c>
    </row>
    <row r="2600" spans="1:40" x14ac:dyDescent="0.3">
      <c r="A2600" t="s">
        <v>12339</v>
      </c>
      <c r="B2600" t="s">
        <v>1</v>
      </c>
      <c r="C2600" t="s">
        <v>12340</v>
      </c>
      <c r="D2600" t="s">
        <v>12341</v>
      </c>
      <c r="E2600" t="s">
        <v>12342</v>
      </c>
      <c r="F2600" t="s">
        <v>5</v>
      </c>
      <c r="G2600" t="s">
        <v>6</v>
      </c>
      <c r="L2600" t="s">
        <v>7</v>
      </c>
      <c r="M2600">
        <v>2019</v>
      </c>
      <c r="N2600" s="1">
        <v>44656</v>
      </c>
      <c r="O2600" t="s">
        <v>12343</v>
      </c>
      <c r="P2600">
        <v>1</v>
      </c>
      <c r="Q2600" t="s">
        <v>7362</v>
      </c>
      <c r="S2600">
        <v>253.95</v>
      </c>
      <c r="T2600">
        <v>290</v>
      </c>
      <c r="U2600">
        <v>220</v>
      </c>
      <c r="V2600" t="s">
        <v>268</v>
      </c>
      <c r="W2600" t="s">
        <v>269</v>
      </c>
      <c r="X2600" t="s">
        <v>269</v>
      </c>
      <c r="Y2600" t="s">
        <v>2528</v>
      </c>
      <c r="AF2600" t="s">
        <v>13</v>
      </c>
      <c r="AG2600" t="str">
        <f>HYPERLINK("https://doi.org/10.1515/9781474437936")</f>
        <v>https://doi.org/10.1515/9781474437936</v>
      </c>
      <c r="AH2600" t="str">
        <f>HYPERLINK("http://www.degruyter.com/isbn/9781474437936")</f>
        <v>http://www.degruyter.com/isbn/9781474437936</v>
      </c>
      <c r="AI2600" t="s">
        <v>12344</v>
      </c>
      <c r="AL2600" t="s">
        <v>272</v>
      </c>
      <c r="AM2600">
        <v>1</v>
      </c>
      <c r="AN2600" s="2">
        <v>9781474437912</v>
      </c>
    </row>
    <row r="2601" spans="1:40" x14ac:dyDescent="0.3">
      <c r="A2601" t="s">
        <v>12345</v>
      </c>
      <c r="B2601" t="s">
        <v>1</v>
      </c>
      <c r="C2601" t="s">
        <v>12346</v>
      </c>
      <c r="E2601" t="s">
        <v>12347</v>
      </c>
      <c r="F2601" t="s">
        <v>5</v>
      </c>
      <c r="G2601" t="s">
        <v>6</v>
      </c>
      <c r="L2601" t="s">
        <v>7</v>
      </c>
      <c r="M2601">
        <v>2010</v>
      </c>
      <c r="N2601" s="1">
        <v>40276</v>
      </c>
      <c r="O2601" t="s">
        <v>2735</v>
      </c>
      <c r="P2601">
        <v>1</v>
      </c>
      <c r="Q2601" t="s">
        <v>7174</v>
      </c>
      <c r="S2601">
        <v>279.95</v>
      </c>
      <c r="T2601">
        <v>320</v>
      </c>
      <c r="U2601">
        <v>240</v>
      </c>
      <c r="V2601" t="s">
        <v>98</v>
      </c>
      <c r="W2601" t="s">
        <v>1513</v>
      </c>
      <c r="X2601" t="s">
        <v>1514</v>
      </c>
      <c r="Y2601" t="s">
        <v>1515</v>
      </c>
      <c r="AF2601" t="s">
        <v>13</v>
      </c>
      <c r="AG2601" t="str">
        <f>HYPERLINK("https://doi.org/10.1515/9780748642311")</f>
        <v>https://doi.org/10.1515/9780748642311</v>
      </c>
      <c r="AH2601" t="str">
        <f>HYPERLINK("http://www.degruyter.com/isbn/9780748642311")</f>
        <v>http://www.degruyter.com/isbn/9780748642311</v>
      </c>
      <c r="AI2601" t="s">
        <v>68</v>
      </c>
      <c r="AL2601" t="s">
        <v>102</v>
      </c>
      <c r="AM2601">
        <v>1</v>
      </c>
      <c r="AN2601" s="2">
        <v>9780748640539</v>
      </c>
    </row>
    <row r="2602" spans="1:40" x14ac:dyDescent="0.3">
      <c r="A2602" t="s">
        <v>12348</v>
      </c>
      <c r="B2602" t="s">
        <v>1</v>
      </c>
      <c r="C2602" t="s">
        <v>12349</v>
      </c>
      <c r="E2602" t="s">
        <v>12350</v>
      </c>
      <c r="F2602" t="s">
        <v>5</v>
      </c>
      <c r="G2602" t="s">
        <v>6</v>
      </c>
      <c r="L2602" t="s">
        <v>7</v>
      </c>
      <c r="M2602">
        <v>2020</v>
      </c>
      <c r="N2602" s="1">
        <v>44656</v>
      </c>
      <c r="O2602" t="s">
        <v>12351</v>
      </c>
      <c r="P2602">
        <v>1</v>
      </c>
      <c r="Q2602" t="s">
        <v>8554</v>
      </c>
      <c r="S2602">
        <v>321.95</v>
      </c>
      <c r="T2602">
        <v>370</v>
      </c>
      <c r="U2602">
        <v>280</v>
      </c>
      <c r="V2602" t="s">
        <v>42</v>
      </c>
      <c r="W2602" t="s">
        <v>116</v>
      </c>
      <c r="X2602" t="s">
        <v>116</v>
      </c>
      <c r="Y2602" t="s">
        <v>5610</v>
      </c>
      <c r="AF2602" t="s">
        <v>13</v>
      </c>
      <c r="AG2602" t="str">
        <f>HYPERLINK("https://doi.org/10.1515/9781474442268")</f>
        <v>https://doi.org/10.1515/9781474442268</v>
      </c>
      <c r="AH2602" t="str">
        <f>HYPERLINK("http://www.degruyter.com/isbn/9781474442268")</f>
        <v>http://www.degruyter.com/isbn/9781474442268</v>
      </c>
      <c r="AI2602" t="s">
        <v>14</v>
      </c>
      <c r="AL2602" t="s">
        <v>47</v>
      </c>
      <c r="AM2602">
        <v>1</v>
      </c>
      <c r="AN2602" s="2">
        <v>9781474442244</v>
      </c>
    </row>
    <row r="2603" spans="1:40" x14ac:dyDescent="0.3">
      <c r="A2603" t="s">
        <v>12352</v>
      </c>
      <c r="B2603" t="s">
        <v>1</v>
      </c>
      <c r="C2603" t="s">
        <v>12353</v>
      </c>
      <c r="D2603" t="s">
        <v>12354</v>
      </c>
      <c r="E2603" t="s">
        <v>12355</v>
      </c>
      <c r="F2603" t="s">
        <v>5</v>
      </c>
      <c r="G2603" t="s">
        <v>6</v>
      </c>
      <c r="L2603" t="s">
        <v>7</v>
      </c>
      <c r="M2603">
        <v>2010</v>
      </c>
      <c r="N2603" s="1">
        <v>40456</v>
      </c>
      <c r="O2603" t="s">
        <v>12356</v>
      </c>
      <c r="P2603">
        <v>1</v>
      </c>
      <c r="Q2603" t="s">
        <v>6539</v>
      </c>
      <c r="S2603">
        <v>217.95</v>
      </c>
      <c r="T2603">
        <v>250</v>
      </c>
      <c r="U2603">
        <v>190</v>
      </c>
      <c r="V2603" t="s">
        <v>42</v>
      </c>
      <c r="W2603" t="s">
        <v>107</v>
      </c>
      <c r="X2603" t="s">
        <v>108</v>
      </c>
      <c r="Y2603" t="s">
        <v>109</v>
      </c>
      <c r="AF2603" t="s">
        <v>13</v>
      </c>
      <c r="AG2603" t="str">
        <f>HYPERLINK("https://doi.org/10.1515/9780748643677")</f>
        <v>https://doi.org/10.1515/9780748643677</v>
      </c>
      <c r="AH2603" t="str">
        <f>HYPERLINK("http://www.degruyter.com/isbn/9780748643677")</f>
        <v>http://www.degruyter.com/isbn/9780748643677</v>
      </c>
      <c r="AI2603" t="s">
        <v>68</v>
      </c>
      <c r="AL2603" t="s">
        <v>47</v>
      </c>
      <c r="AM2603">
        <v>1</v>
      </c>
      <c r="AN2603" s="2">
        <v>9780748641154</v>
      </c>
    </row>
    <row r="2604" spans="1:40" x14ac:dyDescent="0.3">
      <c r="A2604" t="s">
        <v>12357</v>
      </c>
      <c r="B2604" t="s">
        <v>1</v>
      </c>
      <c r="C2604" t="s">
        <v>12358</v>
      </c>
      <c r="E2604" t="s">
        <v>12359</v>
      </c>
      <c r="F2604" t="s">
        <v>5</v>
      </c>
      <c r="G2604" t="s">
        <v>6</v>
      </c>
      <c r="L2604" t="s">
        <v>7</v>
      </c>
      <c r="M2604">
        <v>2014</v>
      </c>
      <c r="N2604" s="1">
        <v>41715</v>
      </c>
      <c r="O2604" t="s">
        <v>12360</v>
      </c>
      <c r="P2604">
        <v>1</v>
      </c>
      <c r="Q2604" t="s">
        <v>7423</v>
      </c>
      <c r="S2604">
        <v>217.95</v>
      </c>
      <c r="T2604">
        <v>250</v>
      </c>
      <c r="U2604">
        <v>190</v>
      </c>
      <c r="V2604" t="s">
        <v>98</v>
      </c>
      <c r="W2604" t="s">
        <v>99</v>
      </c>
      <c r="X2604" t="s">
        <v>386</v>
      </c>
      <c r="Y2604" t="s">
        <v>387</v>
      </c>
      <c r="AF2604" t="s">
        <v>13</v>
      </c>
      <c r="AG2604" t="str">
        <f>HYPERLINK("https://doi.org/10.1515/9780748668465?locatt=mode:legacy")</f>
        <v>https://doi.org/10.1515/9780748668465?locatt=mode:legacy</v>
      </c>
      <c r="AH2604" t="str">
        <f>HYPERLINK("http://www.degruyter.com/isbn/9780748668465")</f>
        <v>http://www.degruyter.com/isbn/9780748668465</v>
      </c>
      <c r="AI2604" t="s">
        <v>34</v>
      </c>
      <c r="AL2604" t="s">
        <v>102</v>
      </c>
      <c r="AM2604">
        <v>1</v>
      </c>
      <c r="AN2604" s="2">
        <v>9780748668458</v>
      </c>
    </row>
    <row r="2605" spans="1:40" x14ac:dyDescent="0.3">
      <c r="A2605" t="s">
        <v>12361</v>
      </c>
      <c r="B2605" t="s">
        <v>1</v>
      </c>
      <c r="C2605" t="s">
        <v>12362</v>
      </c>
      <c r="D2605" t="s">
        <v>12363</v>
      </c>
      <c r="E2605" t="s">
        <v>12364</v>
      </c>
      <c r="F2605" t="s">
        <v>5</v>
      </c>
      <c r="G2605" t="s">
        <v>6</v>
      </c>
      <c r="L2605" t="s">
        <v>7</v>
      </c>
      <c r="M2605">
        <v>2009</v>
      </c>
      <c r="N2605" s="1">
        <v>39814</v>
      </c>
      <c r="O2605" t="s">
        <v>12365</v>
      </c>
      <c r="P2605">
        <v>1</v>
      </c>
      <c r="Q2605" t="s">
        <v>7571</v>
      </c>
      <c r="S2605">
        <v>243.95</v>
      </c>
      <c r="T2605">
        <v>280</v>
      </c>
      <c r="U2605">
        <v>210</v>
      </c>
      <c r="V2605" t="s">
        <v>20</v>
      </c>
      <c r="W2605" t="s">
        <v>21</v>
      </c>
      <c r="X2605" t="s">
        <v>575</v>
      </c>
      <c r="Y2605" t="s">
        <v>576</v>
      </c>
      <c r="AF2605" t="s">
        <v>13</v>
      </c>
      <c r="AG2605" t="str">
        <f>HYPERLINK("https://doi.org/10.1515/9780748630790")</f>
        <v>https://doi.org/10.1515/9780748630790</v>
      </c>
      <c r="AH2605" t="str">
        <f>HYPERLINK("http://www.degruyter.com/isbn/9780748630790")</f>
        <v>http://www.degruyter.com/isbn/9780748630790</v>
      </c>
      <c r="AI2605" t="s">
        <v>68</v>
      </c>
      <c r="AL2605" t="s">
        <v>15</v>
      </c>
      <c r="AM2605">
        <v>1</v>
      </c>
      <c r="AN2605" s="2">
        <v>9780748625147</v>
      </c>
    </row>
    <row r="2606" spans="1:40" x14ac:dyDescent="0.3">
      <c r="A2606" t="s">
        <v>12366</v>
      </c>
      <c r="B2606" t="s">
        <v>1</v>
      </c>
      <c r="C2606" t="s">
        <v>12367</v>
      </c>
      <c r="D2606" t="s">
        <v>12368</v>
      </c>
      <c r="E2606" t="s">
        <v>12369</v>
      </c>
      <c r="F2606" t="s">
        <v>5</v>
      </c>
      <c r="G2606" t="s">
        <v>6</v>
      </c>
      <c r="L2606" t="s">
        <v>7</v>
      </c>
      <c r="M2606">
        <v>2014</v>
      </c>
      <c r="N2606" s="1">
        <v>41947</v>
      </c>
      <c r="O2606" t="s">
        <v>11950</v>
      </c>
      <c r="P2606">
        <v>1</v>
      </c>
      <c r="Q2606" t="s">
        <v>7174</v>
      </c>
      <c r="S2606">
        <v>217.95</v>
      </c>
      <c r="T2606">
        <v>250</v>
      </c>
      <c r="U2606">
        <v>190</v>
      </c>
      <c r="V2606" t="s">
        <v>42</v>
      </c>
      <c r="W2606" t="s">
        <v>161</v>
      </c>
      <c r="X2606" t="s">
        <v>162</v>
      </c>
      <c r="Y2606" t="s">
        <v>896</v>
      </c>
      <c r="AF2606" t="s">
        <v>13</v>
      </c>
      <c r="AG2606" t="str">
        <f>HYPERLINK("https://doi.org/10.1515/9780748692422?locatt=mode:legacy")</f>
        <v>https://doi.org/10.1515/9780748692422?locatt=mode:legacy</v>
      </c>
      <c r="AH2606" t="str">
        <f>HYPERLINK("http://www.degruyter.com/isbn/9780748692422")</f>
        <v>http://www.degruyter.com/isbn/9780748692422</v>
      </c>
      <c r="AI2606" t="s">
        <v>34</v>
      </c>
      <c r="AL2606" t="s">
        <v>47</v>
      </c>
      <c r="AM2606">
        <v>1</v>
      </c>
      <c r="AN2606" s="2">
        <v>9780748692415</v>
      </c>
    </row>
    <row r="2607" spans="1:40" x14ac:dyDescent="0.3">
      <c r="A2607" t="s">
        <v>12370</v>
      </c>
      <c r="B2607" t="s">
        <v>1</v>
      </c>
      <c r="C2607" t="s">
        <v>12371</v>
      </c>
      <c r="E2607" t="s">
        <v>12372</v>
      </c>
      <c r="F2607" t="s">
        <v>5</v>
      </c>
      <c r="G2607" t="s">
        <v>6</v>
      </c>
      <c r="L2607" t="s">
        <v>7</v>
      </c>
      <c r="M2607">
        <v>2005</v>
      </c>
      <c r="N2607" s="1">
        <v>44634</v>
      </c>
      <c r="O2607" t="s">
        <v>12373</v>
      </c>
      <c r="P2607">
        <v>1</v>
      </c>
      <c r="Q2607" t="s">
        <v>6665</v>
      </c>
      <c r="S2607">
        <v>217.95</v>
      </c>
      <c r="T2607">
        <v>250</v>
      </c>
      <c r="U2607">
        <v>190</v>
      </c>
      <c r="V2607" t="s">
        <v>9</v>
      </c>
      <c r="W2607" t="s">
        <v>10</v>
      </c>
      <c r="X2607" t="s">
        <v>11</v>
      </c>
      <c r="Y2607" t="s">
        <v>12</v>
      </c>
      <c r="AF2607" t="s">
        <v>13</v>
      </c>
      <c r="AG2607" t="str">
        <f>HYPERLINK("https://doi.org/10.1515/9781474472166?locatt=mode:legacy")</f>
        <v>https://doi.org/10.1515/9781474472166?locatt=mode:legacy</v>
      </c>
      <c r="AH2607" t="str">
        <f>HYPERLINK("http://www.degruyter.com/isbn/9781474472166")</f>
        <v>http://www.degruyter.com/isbn/9781474472166</v>
      </c>
      <c r="AI2607" t="s">
        <v>68</v>
      </c>
      <c r="AL2607" t="s">
        <v>15</v>
      </c>
      <c r="AM2607">
        <v>1</v>
      </c>
      <c r="AN2607" s="2">
        <v>9780748620357</v>
      </c>
    </row>
    <row r="2608" spans="1:40" x14ac:dyDescent="0.3">
      <c r="A2608" t="s">
        <v>12374</v>
      </c>
      <c r="B2608" t="s">
        <v>1</v>
      </c>
      <c r="C2608" t="s">
        <v>12375</v>
      </c>
      <c r="D2608" t="s">
        <v>12376</v>
      </c>
      <c r="E2608" t="s">
        <v>12377</v>
      </c>
      <c r="F2608" t="s">
        <v>5</v>
      </c>
      <c r="G2608" t="s">
        <v>6</v>
      </c>
      <c r="K2608" t="s">
        <v>923</v>
      </c>
      <c r="L2608" t="s">
        <v>7</v>
      </c>
      <c r="M2608">
        <v>2017</v>
      </c>
      <c r="N2608" s="1">
        <v>43012</v>
      </c>
      <c r="O2608" t="s">
        <v>12378</v>
      </c>
      <c r="P2608">
        <v>1</v>
      </c>
      <c r="Q2608" t="s">
        <v>9604</v>
      </c>
      <c r="V2608" t="s">
        <v>20</v>
      </c>
      <c r="W2608" t="s">
        <v>21</v>
      </c>
      <c r="X2608" t="s">
        <v>22</v>
      </c>
      <c r="Y2608" t="s">
        <v>23</v>
      </c>
      <c r="AF2608" t="s">
        <v>13</v>
      </c>
      <c r="AG2608" t="str">
        <f>HYPERLINK("https://doi.org/10.1515/9781474410465")</f>
        <v>https://doi.org/10.1515/9781474410465</v>
      </c>
      <c r="AH2608" t="str">
        <f>HYPERLINK("http://www.degruyter.com/isbn/9781474410465")</f>
        <v>http://www.degruyter.com/isbn/9781474410465</v>
      </c>
      <c r="AI2608" t="s">
        <v>222</v>
      </c>
      <c r="AM2608">
        <v>1</v>
      </c>
      <c r="AN2608" s="2"/>
    </row>
    <row r="2609" spans="1:40" x14ac:dyDescent="0.3">
      <c r="A2609" t="s">
        <v>12379</v>
      </c>
      <c r="B2609" t="s">
        <v>1</v>
      </c>
      <c r="C2609" t="s">
        <v>12380</v>
      </c>
      <c r="D2609" t="s">
        <v>12381</v>
      </c>
      <c r="E2609" t="s">
        <v>12382</v>
      </c>
      <c r="F2609" t="s">
        <v>5</v>
      </c>
      <c r="G2609" t="s">
        <v>6</v>
      </c>
      <c r="L2609" t="s">
        <v>7</v>
      </c>
      <c r="M2609">
        <v>2012</v>
      </c>
      <c r="N2609" s="1">
        <v>41148</v>
      </c>
      <c r="O2609" t="s">
        <v>12383</v>
      </c>
      <c r="P2609">
        <v>1</v>
      </c>
      <c r="Q2609" t="s">
        <v>8650</v>
      </c>
      <c r="S2609">
        <v>217.95</v>
      </c>
      <c r="T2609">
        <v>250</v>
      </c>
      <c r="U2609">
        <v>190</v>
      </c>
      <c r="V2609" t="s">
        <v>20</v>
      </c>
      <c r="W2609" t="s">
        <v>21</v>
      </c>
      <c r="X2609" t="s">
        <v>22</v>
      </c>
      <c r="Y2609" t="s">
        <v>23</v>
      </c>
      <c r="AF2609" t="s">
        <v>13</v>
      </c>
      <c r="AG2609" t="str">
        <f>HYPERLINK("https://doi.org/10.1515/9780748668076?locatt=mode:legacy")</f>
        <v>https://doi.org/10.1515/9780748668076?locatt=mode:legacy</v>
      </c>
      <c r="AH2609" t="str">
        <f>HYPERLINK("http://www.degruyter.com/isbn/9780748668076")</f>
        <v>http://www.degruyter.com/isbn/9780748668076</v>
      </c>
      <c r="AI2609" t="s">
        <v>68</v>
      </c>
      <c r="AL2609" t="s">
        <v>15</v>
      </c>
      <c r="AM2609">
        <v>1</v>
      </c>
      <c r="AN2609" s="2">
        <v>9780748646241</v>
      </c>
    </row>
    <row r="2610" spans="1:40" x14ac:dyDescent="0.3">
      <c r="A2610" t="s">
        <v>12384</v>
      </c>
      <c r="B2610" t="s">
        <v>1</v>
      </c>
      <c r="C2610" t="s">
        <v>12385</v>
      </c>
      <c r="E2610" t="s">
        <v>12386</v>
      </c>
      <c r="F2610" t="s">
        <v>5</v>
      </c>
      <c r="G2610" t="s">
        <v>6</v>
      </c>
      <c r="L2610" t="s">
        <v>7</v>
      </c>
      <c r="M2610">
        <v>2002</v>
      </c>
      <c r="N2610" s="1">
        <v>37335</v>
      </c>
      <c r="O2610" t="s">
        <v>661</v>
      </c>
      <c r="P2610">
        <v>1</v>
      </c>
      <c r="S2610">
        <v>876.95</v>
      </c>
      <c r="T2610">
        <v>990</v>
      </c>
      <c r="U2610">
        <v>760</v>
      </c>
      <c r="V2610" t="s">
        <v>42</v>
      </c>
      <c r="W2610" t="s">
        <v>161</v>
      </c>
      <c r="X2610" t="s">
        <v>162</v>
      </c>
      <c r="Y2610" t="s">
        <v>896</v>
      </c>
      <c r="AF2610" t="s">
        <v>13</v>
      </c>
      <c r="AG2610" t="str">
        <f>HYPERLINK("https://doi.org/10.1515/9780748672554")</f>
        <v>https://doi.org/10.1515/9780748672554</v>
      </c>
      <c r="AH2610" t="str">
        <f>HYPERLINK("http://www.degruyter.com/isbn/9780748672554")</f>
        <v>http://www.degruyter.com/isbn/9780748672554</v>
      </c>
      <c r="AI2610" t="s">
        <v>68</v>
      </c>
      <c r="AL2610" t="s">
        <v>47</v>
      </c>
      <c r="AM2610">
        <v>1</v>
      </c>
      <c r="AN2610" s="2">
        <v>9780748613014</v>
      </c>
    </row>
    <row r="2611" spans="1:40" x14ac:dyDescent="0.3">
      <c r="A2611" t="s">
        <v>12387</v>
      </c>
      <c r="B2611" t="s">
        <v>1</v>
      </c>
      <c r="C2611" t="s">
        <v>12388</v>
      </c>
      <c r="E2611" t="s">
        <v>12389</v>
      </c>
      <c r="F2611" t="s">
        <v>5</v>
      </c>
      <c r="G2611" t="s">
        <v>6</v>
      </c>
      <c r="L2611" t="s">
        <v>7</v>
      </c>
      <c r="M2611">
        <v>2010</v>
      </c>
      <c r="N2611" s="1">
        <v>40365</v>
      </c>
      <c r="O2611" t="s">
        <v>12390</v>
      </c>
      <c r="P2611">
        <v>1</v>
      </c>
      <c r="Q2611" t="s">
        <v>7047</v>
      </c>
      <c r="S2611">
        <v>209.95</v>
      </c>
      <c r="T2611">
        <v>240</v>
      </c>
      <c r="U2611">
        <v>180</v>
      </c>
      <c r="V2611" t="s">
        <v>42</v>
      </c>
      <c r="W2611" t="s">
        <v>107</v>
      </c>
      <c r="X2611" t="s">
        <v>108</v>
      </c>
      <c r="Y2611" t="s">
        <v>109</v>
      </c>
      <c r="AF2611" t="s">
        <v>13</v>
      </c>
      <c r="AG2611" t="str">
        <f>HYPERLINK("https://doi.org/10.1515/9780748635566")</f>
        <v>https://doi.org/10.1515/9780748635566</v>
      </c>
      <c r="AH2611" t="str">
        <f>HYPERLINK("http://www.degruyter.com/isbn/9780748635566")</f>
        <v>http://www.degruyter.com/isbn/9780748635566</v>
      </c>
      <c r="AI2611" t="s">
        <v>68</v>
      </c>
      <c r="AL2611" t="s">
        <v>47</v>
      </c>
      <c r="AM2611">
        <v>1</v>
      </c>
      <c r="AN2611" s="2">
        <v>9780748635542</v>
      </c>
    </row>
    <row r="2612" spans="1:40" x14ac:dyDescent="0.3">
      <c r="A2612" t="s">
        <v>12391</v>
      </c>
      <c r="B2612" t="s">
        <v>1</v>
      </c>
      <c r="C2612" t="s">
        <v>12392</v>
      </c>
      <c r="D2612" t="s">
        <v>7030</v>
      </c>
      <c r="E2612" t="s">
        <v>12393</v>
      </c>
      <c r="F2612" t="s">
        <v>5</v>
      </c>
      <c r="G2612" t="s">
        <v>6</v>
      </c>
      <c r="L2612" t="s">
        <v>7</v>
      </c>
      <c r="M2612">
        <v>2013</v>
      </c>
      <c r="N2612" s="1">
        <v>41333</v>
      </c>
      <c r="O2612" t="s">
        <v>12394</v>
      </c>
      <c r="P2612">
        <v>1</v>
      </c>
      <c r="Q2612" t="s">
        <v>7033</v>
      </c>
      <c r="S2612">
        <v>253.95</v>
      </c>
      <c r="T2612">
        <v>290</v>
      </c>
      <c r="U2612">
        <v>220</v>
      </c>
      <c r="V2612" t="s">
        <v>79</v>
      </c>
      <c r="W2612" t="s">
        <v>209</v>
      </c>
      <c r="X2612" t="s">
        <v>209</v>
      </c>
      <c r="Y2612" t="s">
        <v>510</v>
      </c>
      <c r="AF2612" t="s">
        <v>13</v>
      </c>
      <c r="AG2612" t="str">
        <f>HYPERLINK("https://doi.org/10.1515/9780748647279")</f>
        <v>https://doi.org/10.1515/9780748647279</v>
      </c>
      <c r="AH2612" t="str">
        <f>HYPERLINK("http://www.degruyter.com/isbn/9780748647279")</f>
        <v>http://www.degruyter.com/isbn/9780748647279</v>
      </c>
      <c r="AI2612" t="s">
        <v>68</v>
      </c>
      <c r="AL2612" t="s">
        <v>83</v>
      </c>
      <c r="AM2612">
        <v>1</v>
      </c>
      <c r="AN2612" s="2">
        <v>9780748647262</v>
      </c>
    </row>
    <row r="2613" spans="1:40" x14ac:dyDescent="0.3">
      <c r="A2613" t="s">
        <v>12395</v>
      </c>
      <c r="B2613" t="s">
        <v>1</v>
      </c>
      <c r="C2613" t="s">
        <v>12396</v>
      </c>
      <c r="D2613" t="s">
        <v>12397</v>
      </c>
      <c r="E2613" t="s">
        <v>12398</v>
      </c>
      <c r="F2613" t="s">
        <v>5</v>
      </c>
      <c r="G2613" t="s">
        <v>6</v>
      </c>
      <c r="L2613" t="s">
        <v>7</v>
      </c>
      <c r="M2613">
        <v>1991</v>
      </c>
      <c r="N2613" s="1">
        <v>44599</v>
      </c>
      <c r="O2613" t="s">
        <v>12399</v>
      </c>
      <c r="P2613">
        <v>1</v>
      </c>
      <c r="Q2613" t="s">
        <v>6929</v>
      </c>
      <c r="S2613">
        <v>217.95</v>
      </c>
      <c r="T2613">
        <v>250</v>
      </c>
      <c r="U2613">
        <v>190</v>
      </c>
      <c r="V2613" t="s">
        <v>58</v>
      </c>
      <c r="W2613" t="s">
        <v>129</v>
      </c>
      <c r="X2613" t="s">
        <v>504</v>
      </c>
      <c r="Y2613" t="s">
        <v>505</v>
      </c>
      <c r="AF2613" t="s">
        <v>13</v>
      </c>
      <c r="AG2613" t="str">
        <f>HYPERLINK("https://doi.org/10.1515/9780748699186")</f>
        <v>https://doi.org/10.1515/9780748699186</v>
      </c>
      <c r="AH2613" t="str">
        <f>HYPERLINK("http://www.degruyter.com/isbn/9780748699186")</f>
        <v>http://www.degruyter.com/isbn/9780748699186</v>
      </c>
      <c r="AI2613" t="s">
        <v>24</v>
      </c>
      <c r="AL2613" t="s">
        <v>62</v>
      </c>
      <c r="AM2613">
        <v>1</v>
      </c>
      <c r="AN2613" s="2">
        <v>9780748602100</v>
      </c>
    </row>
    <row r="2614" spans="1:40" x14ac:dyDescent="0.3">
      <c r="A2614" t="s">
        <v>12400</v>
      </c>
      <c r="B2614" t="s">
        <v>1</v>
      </c>
      <c r="C2614" t="s">
        <v>12401</v>
      </c>
      <c r="E2614" t="s">
        <v>12402</v>
      </c>
      <c r="F2614" t="s">
        <v>5</v>
      </c>
      <c r="G2614" t="s">
        <v>6</v>
      </c>
      <c r="L2614" t="s">
        <v>7</v>
      </c>
      <c r="M2614">
        <v>2020</v>
      </c>
      <c r="N2614" s="1">
        <v>44656</v>
      </c>
      <c r="O2614" t="s">
        <v>12403</v>
      </c>
      <c r="P2614">
        <v>1</v>
      </c>
      <c r="Q2614" t="s">
        <v>6539</v>
      </c>
      <c r="S2614">
        <v>217.95</v>
      </c>
      <c r="T2614">
        <v>250</v>
      </c>
      <c r="U2614">
        <v>190</v>
      </c>
      <c r="V2614" t="s">
        <v>42</v>
      </c>
      <c r="W2614" t="s">
        <v>107</v>
      </c>
      <c r="X2614" t="s">
        <v>108</v>
      </c>
      <c r="Y2614" t="s">
        <v>109</v>
      </c>
      <c r="AF2614" t="s">
        <v>13</v>
      </c>
      <c r="AG2614" t="str">
        <f>HYPERLINK("https://doi.org/10.1515/9781474474368?locatt=mode:legacy")</f>
        <v>https://doi.org/10.1515/9781474474368?locatt=mode:legacy</v>
      </c>
      <c r="AH2614" t="str">
        <f>HYPERLINK("http://www.degruyter.com/isbn/9781474474368")</f>
        <v>http://www.degruyter.com/isbn/9781474474368</v>
      </c>
      <c r="AI2614" t="s">
        <v>14</v>
      </c>
      <c r="AL2614" t="s">
        <v>47</v>
      </c>
      <c r="AM2614">
        <v>1</v>
      </c>
      <c r="AN2614" s="2">
        <v>9781474474344</v>
      </c>
    </row>
    <row r="2615" spans="1:40" x14ac:dyDescent="0.3">
      <c r="A2615" t="s">
        <v>12404</v>
      </c>
      <c r="B2615" t="s">
        <v>1</v>
      </c>
      <c r="C2615" t="s">
        <v>12405</v>
      </c>
      <c r="E2615" t="s">
        <v>12406</v>
      </c>
      <c r="F2615" t="s">
        <v>5</v>
      </c>
      <c r="G2615" t="s">
        <v>6</v>
      </c>
      <c r="L2615" t="s">
        <v>7</v>
      </c>
      <c r="M2615">
        <v>1997</v>
      </c>
      <c r="N2615" s="1">
        <v>44719</v>
      </c>
      <c r="O2615" t="s">
        <v>12407</v>
      </c>
      <c r="P2615">
        <v>1</v>
      </c>
      <c r="Q2615" t="s">
        <v>6797</v>
      </c>
      <c r="S2615">
        <v>487.95</v>
      </c>
      <c r="T2615">
        <v>560</v>
      </c>
      <c r="U2615">
        <v>430</v>
      </c>
      <c r="V2615" t="s">
        <v>79</v>
      </c>
      <c r="W2615" t="s">
        <v>209</v>
      </c>
      <c r="X2615" t="s">
        <v>209</v>
      </c>
      <c r="Y2615" t="s">
        <v>510</v>
      </c>
      <c r="AF2615" t="s">
        <v>13</v>
      </c>
      <c r="AG2615" t="str">
        <f>HYPERLINK("https://doi.org/10.1515/9781474471923")</f>
        <v>https://doi.org/10.1515/9781474471923</v>
      </c>
      <c r="AH2615" t="str">
        <f>HYPERLINK("http://www.degruyter.com/isbn/9781474471923")</f>
        <v>http://www.degruyter.com/isbn/9781474471923</v>
      </c>
      <c r="AI2615" t="s">
        <v>24</v>
      </c>
      <c r="AL2615" t="s">
        <v>83</v>
      </c>
      <c r="AM2615">
        <v>1</v>
      </c>
      <c r="AN2615" s="2">
        <v>9780748607228</v>
      </c>
    </row>
    <row r="2616" spans="1:40" x14ac:dyDescent="0.3">
      <c r="A2616" t="s">
        <v>12408</v>
      </c>
      <c r="B2616" t="s">
        <v>1</v>
      </c>
      <c r="C2616" t="s">
        <v>12409</v>
      </c>
      <c r="D2616" t="s">
        <v>12410</v>
      </c>
      <c r="E2616" t="s">
        <v>12411</v>
      </c>
      <c r="F2616" t="s">
        <v>5</v>
      </c>
      <c r="G2616" t="s">
        <v>6</v>
      </c>
      <c r="L2616" t="s">
        <v>7</v>
      </c>
      <c r="M2616">
        <v>2020</v>
      </c>
      <c r="N2616" s="1">
        <v>44644</v>
      </c>
      <c r="O2616" t="s">
        <v>12412</v>
      </c>
      <c r="P2616">
        <v>1</v>
      </c>
      <c r="Q2616" t="s">
        <v>6539</v>
      </c>
      <c r="S2616">
        <v>217.95</v>
      </c>
      <c r="T2616">
        <v>250</v>
      </c>
      <c r="U2616">
        <v>190</v>
      </c>
      <c r="V2616" t="s">
        <v>329</v>
      </c>
      <c r="W2616" t="s">
        <v>330</v>
      </c>
      <c r="X2616" t="s">
        <v>12261</v>
      </c>
      <c r="Y2616" t="s">
        <v>12262</v>
      </c>
      <c r="AF2616" t="s">
        <v>13</v>
      </c>
      <c r="AG2616" t="str">
        <f>HYPERLINK("https://doi.org/10.1515/9781474476263")</f>
        <v>https://doi.org/10.1515/9781474476263</v>
      </c>
      <c r="AH2616" t="str">
        <f>HYPERLINK("http://www.degruyter.com/isbn/9781474476263")</f>
        <v>http://www.degruyter.com/isbn/9781474476263</v>
      </c>
      <c r="AI2616" t="s">
        <v>14</v>
      </c>
      <c r="AL2616" t="s">
        <v>333</v>
      </c>
      <c r="AM2616">
        <v>1</v>
      </c>
      <c r="AN2616" s="2">
        <v>9781474476249</v>
      </c>
    </row>
    <row r="2617" spans="1:40" x14ac:dyDescent="0.3">
      <c r="A2617" t="s">
        <v>12413</v>
      </c>
      <c r="B2617" t="s">
        <v>1</v>
      </c>
      <c r="C2617" t="s">
        <v>12414</v>
      </c>
      <c r="D2617" t="s">
        <v>12415</v>
      </c>
      <c r="E2617" t="s">
        <v>12416</v>
      </c>
      <c r="F2617" t="s">
        <v>5</v>
      </c>
      <c r="G2617" t="s">
        <v>6</v>
      </c>
      <c r="L2617" t="s">
        <v>7</v>
      </c>
      <c r="M2617">
        <v>2006</v>
      </c>
      <c r="N2617" s="1">
        <v>39034</v>
      </c>
      <c r="O2617" t="s">
        <v>1981</v>
      </c>
      <c r="P2617">
        <v>1</v>
      </c>
      <c r="Q2617" t="s">
        <v>12417</v>
      </c>
      <c r="R2617" s="3" t="s">
        <v>12418</v>
      </c>
      <c r="S2617">
        <v>380.95</v>
      </c>
      <c r="T2617">
        <v>430</v>
      </c>
      <c r="U2617">
        <v>330</v>
      </c>
      <c r="V2617" t="s">
        <v>42</v>
      </c>
      <c r="W2617" t="s">
        <v>116</v>
      </c>
      <c r="X2617" t="s">
        <v>116</v>
      </c>
      <c r="Y2617" t="s">
        <v>3967</v>
      </c>
      <c r="AF2617" t="s">
        <v>13</v>
      </c>
      <c r="AG2617" t="str">
        <f>HYPERLINK("https://www.degruyter.com/isbn/9780748630646")</f>
        <v>https://www.degruyter.com/isbn/9780748630646</v>
      </c>
      <c r="AH2617" t="str">
        <f>HYPERLINK("http://www.degruyter.com/isbn/9780748630646")</f>
        <v>http://www.degruyter.com/isbn/9780748630646</v>
      </c>
      <c r="AI2617" t="s">
        <v>12419</v>
      </c>
      <c r="AL2617" t="s">
        <v>47</v>
      </c>
      <c r="AM2617">
        <v>1</v>
      </c>
      <c r="AN2617" s="2">
        <v>9780748624812</v>
      </c>
    </row>
    <row r="2618" spans="1:40" x14ac:dyDescent="0.3">
      <c r="A2618" t="s">
        <v>12420</v>
      </c>
      <c r="B2618" t="s">
        <v>1</v>
      </c>
      <c r="C2618" t="s">
        <v>12421</v>
      </c>
      <c r="D2618" t="s">
        <v>12422</v>
      </c>
      <c r="E2618" t="s">
        <v>12423</v>
      </c>
      <c r="F2618" t="s">
        <v>5</v>
      </c>
      <c r="G2618" t="s">
        <v>6</v>
      </c>
      <c r="L2618" t="s">
        <v>7</v>
      </c>
      <c r="M2618">
        <v>2012</v>
      </c>
      <c r="N2618" s="1">
        <v>41105</v>
      </c>
      <c r="O2618" t="s">
        <v>12424</v>
      </c>
      <c r="P2618">
        <v>1</v>
      </c>
      <c r="Q2618" t="s">
        <v>8587</v>
      </c>
      <c r="S2618">
        <v>253.95</v>
      </c>
      <c r="T2618">
        <v>290</v>
      </c>
      <c r="U2618">
        <v>220</v>
      </c>
      <c r="V2618" t="s">
        <v>20</v>
      </c>
      <c r="W2618" t="s">
        <v>21</v>
      </c>
      <c r="X2618" t="s">
        <v>458</v>
      </c>
      <c r="Y2618" t="s">
        <v>459</v>
      </c>
      <c r="AF2618" t="s">
        <v>13</v>
      </c>
      <c r="AG2618" t="str">
        <f>HYPERLINK("https://doi.org/10.1515/9780748644575")</f>
        <v>https://doi.org/10.1515/9780748644575</v>
      </c>
      <c r="AH2618" t="str">
        <f>HYPERLINK("http://www.degruyter.com/isbn/9780748644575")</f>
        <v>http://www.degruyter.com/isbn/9780748644575</v>
      </c>
      <c r="AI2618" t="s">
        <v>68</v>
      </c>
      <c r="AL2618" t="s">
        <v>15</v>
      </c>
      <c r="AM2618">
        <v>1</v>
      </c>
      <c r="AN2618" s="2">
        <v>9780748644568</v>
      </c>
    </row>
    <row r="2619" spans="1:40" x14ac:dyDescent="0.3">
      <c r="A2619" t="s">
        <v>12425</v>
      </c>
      <c r="B2619" t="s">
        <v>1</v>
      </c>
      <c r="C2619" t="s">
        <v>12426</v>
      </c>
      <c r="E2619" t="s">
        <v>12427</v>
      </c>
      <c r="F2619" t="s">
        <v>5</v>
      </c>
      <c r="G2619" t="s">
        <v>6</v>
      </c>
      <c r="L2619" t="s">
        <v>7</v>
      </c>
      <c r="M2619">
        <v>2018</v>
      </c>
      <c r="N2619" s="1">
        <v>44656</v>
      </c>
      <c r="O2619" t="s">
        <v>12428</v>
      </c>
      <c r="P2619">
        <v>1</v>
      </c>
      <c r="Q2619" t="s">
        <v>8869</v>
      </c>
      <c r="S2619">
        <v>279.95</v>
      </c>
      <c r="T2619">
        <v>320</v>
      </c>
      <c r="U2619">
        <v>240</v>
      </c>
      <c r="V2619" t="s">
        <v>329</v>
      </c>
      <c r="W2619" t="s">
        <v>330</v>
      </c>
      <c r="X2619" t="s">
        <v>331</v>
      </c>
      <c r="Y2619" t="s">
        <v>332</v>
      </c>
      <c r="AF2619" t="s">
        <v>13</v>
      </c>
      <c r="AG2619" t="str">
        <f>HYPERLINK("https://doi.org/10.1515/9781474442022")</f>
        <v>https://doi.org/10.1515/9781474442022</v>
      </c>
      <c r="AH2619" t="str">
        <f>HYPERLINK("http://www.degruyter.com/isbn/9781474442022")</f>
        <v>http://www.degruyter.com/isbn/9781474442022</v>
      </c>
      <c r="AI2619" t="s">
        <v>46</v>
      </c>
      <c r="AL2619" t="s">
        <v>333</v>
      </c>
      <c r="AM2619">
        <v>1</v>
      </c>
      <c r="AN2619" s="2">
        <v>9781474442008</v>
      </c>
    </row>
    <row r="2620" spans="1:40" x14ac:dyDescent="0.3">
      <c r="A2620" t="s">
        <v>12429</v>
      </c>
      <c r="B2620" t="s">
        <v>1</v>
      </c>
      <c r="C2620" t="s">
        <v>12430</v>
      </c>
      <c r="E2620" t="s">
        <v>12431</v>
      </c>
      <c r="F2620" t="s">
        <v>5</v>
      </c>
      <c r="G2620" t="s">
        <v>6</v>
      </c>
      <c r="L2620" t="s">
        <v>7</v>
      </c>
      <c r="M2620">
        <v>2018</v>
      </c>
      <c r="N2620" s="1">
        <v>44656</v>
      </c>
      <c r="O2620" t="s">
        <v>12432</v>
      </c>
      <c r="P2620">
        <v>1</v>
      </c>
      <c r="Q2620" t="s">
        <v>6665</v>
      </c>
      <c r="S2620">
        <v>217.95</v>
      </c>
      <c r="T2620">
        <v>250</v>
      </c>
      <c r="U2620">
        <v>190</v>
      </c>
      <c r="V2620" t="s">
        <v>42</v>
      </c>
      <c r="W2620" t="s">
        <v>43</v>
      </c>
      <c r="X2620" t="s">
        <v>44</v>
      </c>
      <c r="Y2620" t="s">
        <v>45</v>
      </c>
      <c r="AF2620" t="s">
        <v>13</v>
      </c>
      <c r="AG2620" t="str">
        <f>HYPERLINK("https://doi.org/10.1515/9781474431118?locatt=mode:legacy")</f>
        <v>https://doi.org/10.1515/9781474431118?locatt=mode:legacy</v>
      </c>
      <c r="AH2620" t="str">
        <f>HYPERLINK("http://www.degruyter.com/isbn/9781474431118")</f>
        <v>http://www.degruyter.com/isbn/9781474431118</v>
      </c>
      <c r="AI2620" t="s">
        <v>46</v>
      </c>
      <c r="AL2620" t="s">
        <v>47</v>
      </c>
      <c r="AM2620">
        <v>1</v>
      </c>
      <c r="AN2620" s="2">
        <v>9780748645732</v>
      </c>
    </row>
    <row r="2621" spans="1:40" x14ac:dyDescent="0.3">
      <c r="A2621" t="s">
        <v>12433</v>
      </c>
      <c r="B2621" t="s">
        <v>1</v>
      </c>
      <c r="C2621" t="s">
        <v>12434</v>
      </c>
      <c r="E2621" t="s">
        <v>12435</v>
      </c>
      <c r="F2621" t="s">
        <v>5</v>
      </c>
      <c r="G2621" t="s">
        <v>6</v>
      </c>
      <c r="L2621" t="s">
        <v>7</v>
      </c>
      <c r="M2621">
        <v>2015</v>
      </c>
      <c r="N2621" s="1">
        <v>42143</v>
      </c>
      <c r="O2621" t="s">
        <v>12436</v>
      </c>
      <c r="P2621">
        <v>1</v>
      </c>
      <c r="Q2621" t="s">
        <v>7283</v>
      </c>
      <c r="S2621">
        <v>227.95</v>
      </c>
      <c r="T2621">
        <v>260</v>
      </c>
      <c r="U2621">
        <v>200</v>
      </c>
      <c r="V2621" t="s">
        <v>9</v>
      </c>
      <c r="W2621" t="s">
        <v>10</v>
      </c>
      <c r="X2621" t="s">
        <v>11</v>
      </c>
      <c r="Y2621" t="s">
        <v>12</v>
      </c>
      <c r="AF2621" t="s">
        <v>13</v>
      </c>
      <c r="AG2621" t="str">
        <f>HYPERLINK("https://doi.org/10.1515/9780748697984?locatt=mode:legacy")</f>
        <v>https://doi.org/10.1515/9780748697984?locatt=mode:legacy</v>
      </c>
      <c r="AH2621" t="str">
        <f>HYPERLINK("http://www.degruyter.com/isbn/9780748697984")</f>
        <v>http://www.degruyter.com/isbn/9780748697984</v>
      </c>
      <c r="AI2621" t="s">
        <v>34</v>
      </c>
      <c r="AJ2621" t="s">
        <v>35</v>
      </c>
      <c r="AL2621" t="s">
        <v>53</v>
      </c>
      <c r="AM2621">
        <v>1</v>
      </c>
      <c r="AN2621" s="2">
        <v>9780748697977</v>
      </c>
    </row>
    <row r="2622" spans="1:40" x14ac:dyDescent="0.3">
      <c r="A2622" t="s">
        <v>12437</v>
      </c>
      <c r="B2622" t="s">
        <v>1</v>
      </c>
      <c r="C2622" t="s">
        <v>12438</v>
      </c>
      <c r="D2622" t="s">
        <v>12439</v>
      </c>
      <c r="E2622" t="s">
        <v>12440</v>
      </c>
      <c r="F2622" t="s">
        <v>5</v>
      </c>
      <c r="G2622" t="s">
        <v>6</v>
      </c>
      <c r="L2622" t="s">
        <v>7</v>
      </c>
      <c r="M2622">
        <v>2014</v>
      </c>
      <c r="N2622" s="1">
        <v>41688</v>
      </c>
      <c r="O2622" t="s">
        <v>12441</v>
      </c>
      <c r="P2622">
        <v>1</v>
      </c>
      <c r="Q2622" t="s">
        <v>6923</v>
      </c>
      <c r="S2622">
        <v>243.95</v>
      </c>
      <c r="T2622">
        <v>280</v>
      </c>
      <c r="U2622">
        <v>210</v>
      </c>
      <c r="V2622" t="s">
        <v>20</v>
      </c>
      <c r="W2622" t="s">
        <v>21</v>
      </c>
      <c r="X2622" t="s">
        <v>22</v>
      </c>
      <c r="Y2622" t="s">
        <v>489</v>
      </c>
      <c r="AF2622" t="s">
        <v>13</v>
      </c>
      <c r="AG2622" t="str">
        <f>HYPERLINK("https://doi.org/10.1515/9780748678297")</f>
        <v>https://doi.org/10.1515/9780748678297</v>
      </c>
      <c r="AH2622" t="str">
        <f>HYPERLINK("http://www.degruyter.com/isbn/9780748678297")</f>
        <v>http://www.degruyter.com/isbn/9780748678297</v>
      </c>
      <c r="AI2622" t="s">
        <v>34</v>
      </c>
      <c r="AL2622" t="s">
        <v>15</v>
      </c>
      <c r="AM2622">
        <v>1</v>
      </c>
      <c r="AN2622" s="2">
        <v>9780748639595</v>
      </c>
    </row>
    <row r="2623" spans="1:40" x14ac:dyDescent="0.3">
      <c r="A2623" t="s">
        <v>12442</v>
      </c>
      <c r="B2623" t="s">
        <v>1</v>
      </c>
      <c r="C2623" t="s">
        <v>12443</v>
      </c>
      <c r="E2623" t="s">
        <v>12444</v>
      </c>
      <c r="F2623" t="s">
        <v>5</v>
      </c>
      <c r="G2623" t="s">
        <v>6</v>
      </c>
      <c r="L2623" t="s">
        <v>7</v>
      </c>
      <c r="M2623">
        <v>2017</v>
      </c>
      <c r="N2623" s="1">
        <v>42760</v>
      </c>
      <c r="O2623" t="s">
        <v>12445</v>
      </c>
      <c r="P2623">
        <v>1</v>
      </c>
      <c r="Q2623" t="s">
        <v>8537</v>
      </c>
      <c r="S2623">
        <v>191.95</v>
      </c>
      <c r="T2623">
        <v>220</v>
      </c>
      <c r="U2623">
        <v>170</v>
      </c>
      <c r="V2623" t="s">
        <v>42</v>
      </c>
      <c r="W2623" t="s">
        <v>116</v>
      </c>
      <c r="X2623" t="s">
        <v>116</v>
      </c>
      <c r="Y2623" t="s">
        <v>117</v>
      </c>
      <c r="AF2623" t="s">
        <v>13</v>
      </c>
      <c r="AG2623" t="str">
        <f>HYPERLINK("https://doi.org/10.1515/9781474411042")</f>
        <v>https://doi.org/10.1515/9781474411042</v>
      </c>
      <c r="AH2623" t="str">
        <f>HYPERLINK("http://www.degruyter.com/isbn/9781474411042")</f>
        <v>http://www.degruyter.com/isbn/9781474411042</v>
      </c>
      <c r="AI2623" t="s">
        <v>222</v>
      </c>
      <c r="AL2623" t="s">
        <v>47</v>
      </c>
      <c r="AM2623">
        <v>1</v>
      </c>
      <c r="AN2623" s="2">
        <v>9781474411035</v>
      </c>
    </row>
    <row r="2624" spans="1:40" x14ac:dyDescent="0.3">
      <c r="A2624" t="s">
        <v>12446</v>
      </c>
      <c r="B2624" t="s">
        <v>1</v>
      </c>
      <c r="C2624" t="s">
        <v>12447</v>
      </c>
      <c r="E2624" t="s">
        <v>12448</v>
      </c>
      <c r="F2624" t="s">
        <v>5</v>
      </c>
      <c r="G2624" t="s">
        <v>6</v>
      </c>
      <c r="L2624" t="s">
        <v>7</v>
      </c>
      <c r="M2624">
        <v>2010</v>
      </c>
      <c r="N2624" s="1">
        <v>40410</v>
      </c>
      <c r="O2624" t="s">
        <v>12449</v>
      </c>
      <c r="P2624">
        <v>1</v>
      </c>
      <c r="Q2624" t="s">
        <v>7298</v>
      </c>
      <c r="S2624">
        <v>443.95</v>
      </c>
      <c r="T2624">
        <v>510</v>
      </c>
      <c r="U2624">
        <v>390</v>
      </c>
      <c r="V2624" t="s">
        <v>20</v>
      </c>
      <c r="W2624" t="s">
        <v>556</v>
      </c>
      <c r="X2624" t="s">
        <v>10593</v>
      </c>
      <c r="Y2624" t="s">
        <v>10594</v>
      </c>
      <c r="AF2624" t="s">
        <v>13</v>
      </c>
      <c r="AG2624" t="str">
        <f>HYPERLINK("https://doi.org/10.1515/9781474469920")</f>
        <v>https://doi.org/10.1515/9781474469920</v>
      </c>
      <c r="AH2624" t="str">
        <f>HYPERLINK("http://www.degruyter.com/isbn/9781474469920")</f>
        <v>http://www.degruyter.com/isbn/9781474469920</v>
      </c>
      <c r="AI2624" t="s">
        <v>68</v>
      </c>
      <c r="AL2624" t="s">
        <v>15</v>
      </c>
      <c r="AM2624">
        <v>1</v>
      </c>
      <c r="AN2624" s="2">
        <v>9780748634903</v>
      </c>
    </row>
    <row r="2625" spans="1:40" x14ac:dyDescent="0.3">
      <c r="A2625" t="s">
        <v>12450</v>
      </c>
      <c r="B2625" t="s">
        <v>1</v>
      </c>
      <c r="C2625" t="s">
        <v>12451</v>
      </c>
      <c r="D2625" t="s">
        <v>7209</v>
      </c>
      <c r="E2625" t="s">
        <v>12452</v>
      </c>
      <c r="F2625" t="s">
        <v>5</v>
      </c>
      <c r="G2625" t="s">
        <v>6</v>
      </c>
      <c r="L2625" t="s">
        <v>7</v>
      </c>
      <c r="M2625">
        <v>2019</v>
      </c>
      <c r="N2625" s="1">
        <v>44644</v>
      </c>
      <c r="O2625" t="s">
        <v>12453</v>
      </c>
      <c r="P2625">
        <v>1</v>
      </c>
      <c r="Q2625" t="s">
        <v>9604</v>
      </c>
      <c r="S2625">
        <v>253.95</v>
      </c>
      <c r="T2625">
        <v>290</v>
      </c>
      <c r="U2625">
        <v>220</v>
      </c>
      <c r="V2625" t="s">
        <v>20</v>
      </c>
      <c r="W2625" t="s">
        <v>556</v>
      </c>
      <c r="X2625" t="s">
        <v>1731</v>
      </c>
      <c r="Y2625" t="s">
        <v>1732</v>
      </c>
      <c r="AF2625" t="s">
        <v>13</v>
      </c>
      <c r="AG2625" t="str">
        <f>HYPERLINK("https://doi.org/10.1515/9781474435628?locatt=mode:legacy")</f>
        <v>https://doi.org/10.1515/9781474435628?locatt=mode:legacy</v>
      </c>
      <c r="AH2625" t="str">
        <f>HYPERLINK("http://www.degruyter.com/isbn/9781474435628")</f>
        <v>http://www.degruyter.com/isbn/9781474435628</v>
      </c>
      <c r="AI2625" t="s">
        <v>280</v>
      </c>
      <c r="AL2625" t="s">
        <v>15</v>
      </c>
      <c r="AM2625">
        <v>1</v>
      </c>
      <c r="AN2625" s="2">
        <v>9781474435611</v>
      </c>
    </row>
    <row r="2626" spans="1:40" x14ac:dyDescent="0.3">
      <c r="A2626" t="s">
        <v>12454</v>
      </c>
      <c r="B2626" t="s">
        <v>1</v>
      </c>
      <c r="C2626" t="s">
        <v>12455</v>
      </c>
      <c r="D2626" t="s">
        <v>12456</v>
      </c>
      <c r="E2626" t="s">
        <v>12457</v>
      </c>
      <c r="F2626" t="s">
        <v>5</v>
      </c>
      <c r="G2626" t="s">
        <v>6</v>
      </c>
      <c r="L2626" t="s">
        <v>7</v>
      </c>
      <c r="M2626">
        <v>2007</v>
      </c>
      <c r="N2626" s="1">
        <v>39295</v>
      </c>
      <c r="O2626" t="s">
        <v>2656</v>
      </c>
      <c r="P2626">
        <v>1</v>
      </c>
      <c r="Q2626" t="s">
        <v>7052</v>
      </c>
      <c r="S2626">
        <v>243.95</v>
      </c>
      <c r="T2626">
        <v>280</v>
      </c>
      <c r="U2626">
        <v>210</v>
      </c>
      <c r="V2626" t="s">
        <v>42</v>
      </c>
      <c r="W2626" t="s">
        <v>116</v>
      </c>
      <c r="X2626" t="s">
        <v>116</v>
      </c>
      <c r="Y2626" t="s">
        <v>117</v>
      </c>
      <c r="AF2626" t="s">
        <v>13</v>
      </c>
      <c r="AG2626" t="str">
        <f>HYPERLINK("https://doi.org/10.1515/9780748630875?locatt=mode:legacy")</f>
        <v>https://doi.org/10.1515/9780748630875?locatt=mode:legacy</v>
      </c>
      <c r="AH2626" t="str">
        <f>HYPERLINK("http://www.degruyter.com/isbn/9780748630875")</f>
        <v>http://www.degruyter.com/isbn/9780748630875</v>
      </c>
      <c r="AI2626" t="s">
        <v>68</v>
      </c>
      <c r="AL2626" t="s">
        <v>47</v>
      </c>
      <c r="AM2626">
        <v>1</v>
      </c>
      <c r="AN2626" s="2">
        <v>9780748625260</v>
      </c>
    </row>
    <row r="2627" spans="1:40" x14ac:dyDescent="0.3">
      <c r="A2627" t="s">
        <v>12458</v>
      </c>
      <c r="B2627" t="s">
        <v>1</v>
      </c>
      <c r="C2627" t="s">
        <v>12459</v>
      </c>
      <c r="D2627" t="s">
        <v>12460</v>
      </c>
      <c r="E2627" t="s">
        <v>12461</v>
      </c>
      <c r="F2627" t="s">
        <v>5</v>
      </c>
      <c r="G2627" t="s">
        <v>6</v>
      </c>
      <c r="L2627" t="s">
        <v>7</v>
      </c>
      <c r="M2627">
        <v>2014</v>
      </c>
      <c r="N2627" s="1">
        <v>41794</v>
      </c>
      <c r="O2627" t="s">
        <v>12462</v>
      </c>
      <c r="P2627">
        <v>1</v>
      </c>
      <c r="Q2627" t="s">
        <v>8702</v>
      </c>
      <c r="S2627">
        <v>253.95</v>
      </c>
      <c r="T2627">
        <v>290</v>
      </c>
      <c r="U2627">
        <v>220</v>
      </c>
      <c r="V2627" t="s">
        <v>79</v>
      </c>
      <c r="W2627" t="s">
        <v>209</v>
      </c>
      <c r="X2627" t="s">
        <v>209</v>
      </c>
      <c r="Y2627" t="s">
        <v>510</v>
      </c>
      <c r="AF2627" t="s">
        <v>13</v>
      </c>
      <c r="AG2627" t="str">
        <f>HYPERLINK("https://doi.org/10.1515/9780748684847")</f>
        <v>https://doi.org/10.1515/9780748684847</v>
      </c>
      <c r="AH2627" t="str">
        <f>HYPERLINK("http://www.degruyter.com/isbn/9780748684847")</f>
        <v>http://www.degruyter.com/isbn/9780748684847</v>
      </c>
      <c r="AI2627" t="s">
        <v>34</v>
      </c>
      <c r="AL2627" t="s">
        <v>83</v>
      </c>
      <c r="AM2627">
        <v>1</v>
      </c>
      <c r="AN2627" s="2">
        <v>9780748684823</v>
      </c>
    </row>
    <row r="2628" spans="1:40" x14ac:dyDescent="0.3">
      <c r="A2628" t="s">
        <v>12463</v>
      </c>
      <c r="B2628" t="s">
        <v>1</v>
      </c>
      <c r="C2628" t="s">
        <v>12464</v>
      </c>
      <c r="D2628" t="s">
        <v>12465</v>
      </c>
      <c r="E2628" t="s">
        <v>12466</v>
      </c>
      <c r="F2628" t="s">
        <v>5</v>
      </c>
      <c r="G2628" t="s">
        <v>6</v>
      </c>
      <c r="L2628" t="s">
        <v>7</v>
      </c>
      <c r="M2628">
        <v>2017</v>
      </c>
      <c r="N2628" s="1">
        <v>42786</v>
      </c>
      <c r="O2628" t="s">
        <v>12467</v>
      </c>
      <c r="P2628">
        <v>1</v>
      </c>
      <c r="Q2628" t="s">
        <v>6815</v>
      </c>
      <c r="S2628">
        <v>217.95</v>
      </c>
      <c r="T2628">
        <v>250</v>
      </c>
      <c r="U2628">
        <v>190</v>
      </c>
      <c r="V2628" t="s">
        <v>20</v>
      </c>
      <c r="W2628" t="s">
        <v>556</v>
      </c>
      <c r="X2628" t="s">
        <v>1540</v>
      </c>
      <c r="Y2628" t="s">
        <v>2706</v>
      </c>
      <c r="AF2628" t="s">
        <v>13</v>
      </c>
      <c r="AG2628" t="str">
        <f>HYPERLINK("https://doi.org/10.1515/9781474402156")</f>
        <v>https://doi.org/10.1515/9781474402156</v>
      </c>
      <c r="AH2628" t="str">
        <f>HYPERLINK("http://www.degruyter.com/isbn/9781474402156")</f>
        <v>http://www.degruyter.com/isbn/9781474402156</v>
      </c>
      <c r="AI2628" t="s">
        <v>222</v>
      </c>
      <c r="AL2628" t="s">
        <v>15</v>
      </c>
      <c r="AM2628">
        <v>1</v>
      </c>
      <c r="AN2628" s="2">
        <v>9781474402132</v>
      </c>
    </row>
    <row r="2629" spans="1:40" x14ac:dyDescent="0.3">
      <c r="A2629" t="s">
        <v>12468</v>
      </c>
      <c r="B2629" t="s">
        <v>1</v>
      </c>
      <c r="C2629" t="s">
        <v>12469</v>
      </c>
      <c r="E2629" t="s">
        <v>12470</v>
      </c>
      <c r="F2629" t="s">
        <v>5</v>
      </c>
      <c r="G2629" t="s">
        <v>6</v>
      </c>
      <c r="L2629" t="s">
        <v>7</v>
      </c>
      <c r="M2629">
        <v>2004</v>
      </c>
      <c r="N2629" s="1">
        <v>44607</v>
      </c>
      <c r="O2629" t="s">
        <v>3021</v>
      </c>
      <c r="P2629">
        <v>1</v>
      </c>
      <c r="Q2629" t="s">
        <v>7225</v>
      </c>
      <c r="S2629">
        <v>217.95</v>
      </c>
      <c r="T2629">
        <v>250</v>
      </c>
      <c r="U2629">
        <v>190</v>
      </c>
      <c r="V2629" t="s">
        <v>98</v>
      </c>
      <c r="W2629" t="s">
        <v>99</v>
      </c>
      <c r="X2629" t="s">
        <v>100</v>
      </c>
      <c r="Y2629" t="s">
        <v>4678</v>
      </c>
      <c r="AF2629" t="s">
        <v>13</v>
      </c>
      <c r="AG2629" t="str">
        <f>HYPERLINK("https://doi.org/10.1515/9781474464277")</f>
        <v>https://doi.org/10.1515/9781474464277</v>
      </c>
      <c r="AH2629" t="str">
        <f>HYPERLINK("http://www.degruyter.com/isbn/9781474464277")</f>
        <v>http://www.degruyter.com/isbn/9781474464277</v>
      </c>
      <c r="AI2629" t="s">
        <v>68</v>
      </c>
      <c r="AL2629" t="s">
        <v>102</v>
      </c>
      <c r="AM2629">
        <v>1</v>
      </c>
      <c r="AN2629" s="2">
        <v>9780748618538</v>
      </c>
    </row>
    <row r="2630" spans="1:40" x14ac:dyDescent="0.3">
      <c r="A2630" t="s">
        <v>12471</v>
      </c>
      <c r="B2630" t="s">
        <v>1</v>
      </c>
      <c r="C2630" t="s">
        <v>12472</v>
      </c>
      <c r="E2630" t="s">
        <v>12473</v>
      </c>
      <c r="F2630" t="s">
        <v>5</v>
      </c>
      <c r="G2630" t="s">
        <v>6</v>
      </c>
      <c r="L2630" t="s">
        <v>7</v>
      </c>
      <c r="M2630">
        <v>2018</v>
      </c>
      <c r="N2630" s="1">
        <v>44656</v>
      </c>
      <c r="O2630" t="s">
        <v>12474</v>
      </c>
      <c r="P2630">
        <v>1</v>
      </c>
      <c r="Q2630" t="s">
        <v>6539</v>
      </c>
      <c r="S2630">
        <v>217.95</v>
      </c>
      <c r="T2630">
        <v>250</v>
      </c>
      <c r="U2630">
        <v>190</v>
      </c>
      <c r="V2630" t="s">
        <v>42</v>
      </c>
      <c r="W2630" t="s">
        <v>107</v>
      </c>
      <c r="X2630" t="s">
        <v>108</v>
      </c>
      <c r="Y2630" t="s">
        <v>109</v>
      </c>
      <c r="AF2630" t="s">
        <v>13</v>
      </c>
      <c r="AG2630" t="str">
        <f>HYPERLINK("https://doi.org/10.1515/9781474426237?locatt=mode:legacy")</f>
        <v>https://doi.org/10.1515/9781474426237?locatt=mode:legacy</v>
      </c>
      <c r="AH2630" t="str">
        <f>HYPERLINK("http://www.degruyter.com/isbn/9781474426237")</f>
        <v>http://www.degruyter.com/isbn/9781474426237</v>
      </c>
      <c r="AI2630" t="s">
        <v>46</v>
      </c>
      <c r="AL2630" t="s">
        <v>47</v>
      </c>
      <c r="AM2630">
        <v>1</v>
      </c>
      <c r="AN2630" s="2">
        <v>9781474426213</v>
      </c>
    </row>
    <row r="2631" spans="1:40" x14ac:dyDescent="0.3">
      <c r="A2631" t="s">
        <v>12475</v>
      </c>
      <c r="B2631" t="s">
        <v>1</v>
      </c>
      <c r="C2631" t="s">
        <v>12476</v>
      </c>
      <c r="E2631" t="s">
        <v>12477</v>
      </c>
      <c r="F2631" t="s">
        <v>5</v>
      </c>
      <c r="G2631" t="s">
        <v>6</v>
      </c>
      <c r="L2631" t="s">
        <v>7</v>
      </c>
      <c r="M2631">
        <v>1984</v>
      </c>
      <c r="N2631" s="1">
        <v>44607</v>
      </c>
      <c r="O2631" t="s">
        <v>6997</v>
      </c>
      <c r="P2631">
        <v>1</v>
      </c>
      <c r="Q2631" t="s">
        <v>6998</v>
      </c>
      <c r="S2631">
        <v>876.95</v>
      </c>
      <c r="T2631">
        <v>990</v>
      </c>
      <c r="U2631">
        <v>760</v>
      </c>
      <c r="V2631" t="s">
        <v>1325</v>
      </c>
      <c r="W2631" t="s">
        <v>1326</v>
      </c>
      <c r="X2631" t="s">
        <v>1326</v>
      </c>
      <c r="Y2631" t="s">
        <v>6999</v>
      </c>
      <c r="AF2631" t="s">
        <v>13</v>
      </c>
      <c r="AG2631" t="str">
        <f>HYPERLINK("https://doi.org/10.1515/9781474466097")</f>
        <v>https://doi.org/10.1515/9781474466097</v>
      </c>
      <c r="AH2631" t="str">
        <f>HYPERLINK("http://www.degruyter.com/isbn/9781474466097")</f>
        <v>http://www.degruyter.com/isbn/9781474466097</v>
      </c>
      <c r="AI2631" t="s">
        <v>24</v>
      </c>
      <c r="AL2631" t="s">
        <v>1328</v>
      </c>
      <c r="AM2631">
        <v>1</v>
      </c>
      <c r="AN2631" s="2">
        <v>9780852242087</v>
      </c>
    </row>
    <row r="2632" spans="1:40" x14ac:dyDescent="0.3">
      <c r="A2632" t="s">
        <v>12478</v>
      </c>
      <c r="B2632" t="s">
        <v>1</v>
      </c>
      <c r="C2632" t="s">
        <v>12479</v>
      </c>
      <c r="E2632" t="s">
        <v>12480</v>
      </c>
      <c r="F2632" t="s">
        <v>5</v>
      </c>
      <c r="G2632" t="s">
        <v>6</v>
      </c>
      <c r="L2632" t="s">
        <v>7</v>
      </c>
      <c r="M2632">
        <v>2014</v>
      </c>
      <c r="N2632" s="1">
        <v>41841</v>
      </c>
      <c r="O2632" t="s">
        <v>12481</v>
      </c>
      <c r="P2632">
        <v>1</v>
      </c>
      <c r="Q2632" t="s">
        <v>7194</v>
      </c>
      <c r="S2632">
        <v>227.95</v>
      </c>
      <c r="T2632">
        <v>260</v>
      </c>
      <c r="U2632">
        <v>200</v>
      </c>
      <c r="V2632" t="s">
        <v>79</v>
      </c>
      <c r="W2632" t="s">
        <v>209</v>
      </c>
      <c r="X2632" t="s">
        <v>209</v>
      </c>
      <c r="Y2632" t="s">
        <v>510</v>
      </c>
      <c r="AF2632" t="s">
        <v>13</v>
      </c>
      <c r="AG2632" t="str">
        <f>HYPERLINK("https://doi.org/10.1515/9780748676781?locatt=mode:legacy")</f>
        <v>https://doi.org/10.1515/9780748676781?locatt=mode:legacy</v>
      </c>
      <c r="AH2632" t="str">
        <f>HYPERLINK("http://www.degruyter.com/isbn/9780748676781")</f>
        <v>http://www.degruyter.com/isbn/9780748676781</v>
      </c>
      <c r="AI2632" t="s">
        <v>34</v>
      </c>
      <c r="AL2632" t="s">
        <v>83</v>
      </c>
      <c r="AM2632">
        <v>1</v>
      </c>
      <c r="AN2632" s="2">
        <v>9780748676774</v>
      </c>
    </row>
    <row r="2633" spans="1:40" x14ac:dyDescent="0.3">
      <c r="A2633" t="s">
        <v>12482</v>
      </c>
      <c r="B2633" t="s">
        <v>1</v>
      </c>
      <c r="C2633" t="s">
        <v>12483</v>
      </c>
      <c r="E2633" t="s">
        <v>12484</v>
      </c>
      <c r="F2633" t="s">
        <v>5</v>
      </c>
      <c r="G2633" t="s">
        <v>6</v>
      </c>
      <c r="L2633" t="s">
        <v>7</v>
      </c>
      <c r="M2633">
        <v>2008</v>
      </c>
      <c r="N2633" s="1">
        <v>39519</v>
      </c>
      <c r="O2633" t="s">
        <v>12485</v>
      </c>
      <c r="P2633">
        <v>1</v>
      </c>
      <c r="Q2633" t="s">
        <v>7027</v>
      </c>
      <c r="S2633">
        <v>217.95</v>
      </c>
      <c r="T2633">
        <v>250</v>
      </c>
      <c r="U2633">
        <v>190</v>
      </c>
      <c r="V2633" t="s">
        <v>98</v>
      </c>
      <c r="W2633" t="s">
        <v>99</v>
      </c>
      <c r="X2633" t="s">
        <v>100</v>
      </c>
      <c r="Y2633" t="s">
        <v>101</v>
      </c>
      <c r="AF2633" t="s">
        <v>13</v>
      </c>
      <c r="AG2633" t="str">
        <f>HYPERLINK("https://doi.org/10.1515/9780748630882?locatt=mode:legacy")</f>
        <v>https://doi.org/10.1515/9780748630882?locatt=mode:legacy</v>
      </c>
      <c r="AH2633" t="str">
        <f>HYPERLINK("http://www.degruyter.com/isbn/9780748630882")</f>
        <v>http://www.degruyter.com/isbn/9780748630882</v>
      </c>
      <c r="AI2633" t="s">
        <v>68</v>
      </c>
      <c r="AL2633" t="s">
        <v>102</v>
      </c>
      <c r="AM2633">
        <v>1</v>
      </c>
      <c r="AN2633" s="2">
        <v>9780748625291</v>
      </c>
    </row>
    <row r="2634" spans="1:40" x14ac:dyDescent="0.3">
      <c r="A2634" t="s">
        <v>12486</v>
      </c>
      <c r="B2634" t="s">
        <v>1</v>
      </c>
      <c r="C2634" t="s">
        <v>12487</v>
      </c>
      <c r="E2634" t="s">
        <v>12488</v>
      </c>
      <c r="F2634" t="s">
        <v>5</v>
      </c>
      <c r="G2634" t="s">
        <v>6</v>
      </c>
      <c r="L2634" t="s">
        <v>7</v>
      </c>
      <c r="M2634">
        <v>2016</v>
      </c>
      <c r="N2634" s="1">
        <v>42612</v>
      </c>
      <c r="O2634" t="s">
        <v>12489</v>
      </c>
      <c r="P2634">
        <v>1</v>
      </c>
      <c r="Q2634" t="s">
        <v>8048</v>
      </c>
      <c r="S2634">
        <v>217.95</v>
      </c>
      <c r="T2634">
        <v>250</v>
      </c>
      <c r="U2634">
        <v>190</v>
      </c>
      <c r="V2634" t="s">
        <v>79</v>
      </c>
      <c r="W2634" t="s">
        <v>783</v>
      </c>
      <c r="X2634" t="s">
        <v>783</v>
      </c>
      <c r="Y2634" t="s">
        <v>784</v>
      </c>
      <c r="AF2634" t="s">
        <v>13</v>
      </c>
      <c r="AG2634" t="str">
        <f>HYPERLINK("https://doi.org/10.1515/9781474404846")</f>
        <v>https://doi.org/10.1515/9781474404846</v>
      </c>
      <c r="AH2634" t="str">
        <f>HYPERLINK("http://www.degruyter.com/isbn/9781474404846")</f>
        <v>http://www.degruyter.com/isbn/9781474404846</v>
      </c>
      <c r="AI2634" t="s">
        <v>180</v>
      </c>
      <c r="AL2634" t="s">
        <v>83</v>
      </c>
      <c r="AM2634">
        <v>1</v>
      </c>
      <c r="AN2634" s="2">
        <v>9781474403993</v>
      </c>
    </row>
    <row r="2635" spans="1:40" x14ac:dyDescent="0.3">
      <c r="A2635" t="s">
        <v>12490</v>
      </c>
      <c r="B2635" t="s">
        <v>1</v>
      </c>
      <c r="C2635" t="s">
        <v>12491</v>
      </c>
      <c r="D2635" t="s">
        <v>12492</v>
      </c>
      <c r="E2635" t="s">
        <v>12493</v>
      </c>
      <c r="F2635" t="s">
        <v>5</v>
      </c>
      <c r="G2635" t="s">
        <v>6</v>
      </c>
      <c r="L2635" t="s">
        <v>7</v>
      </c>
      <c r="M2635">
        <v>2019</v>
      </c>
      <c r="N2635" s="1">
        <v>44656</v>
      </c>
      <c r="O2635" t="s">
        <v>12494</v>
      </c>
      <c r="P2635">
        <v>1</v>
      </c>
      <c r="Q2635" t="s">
        <v>5754</v>
      </c>
      <c r="S2635">
        <v>253.95</v>
      </c>
      <c r="T2635">
        <v>290</v>
      </c>
      <c r="U2635">
        <v>220</v>
      </c>
      <c r="V2635" t="s">
        <v>79</v>
      </c>
      <c r="W2635" t="s">
        <v>123</v>
      </c>
      <c r="X2635" t="s">
        <v>123</v>
      </c>
      <c r="Y2635" t="s">
        <v>124</v>
      </c>
      <c r="AF2635" t="s">
        <v>13</v>
      </c>
      <c r="AG2635" t="str">
        <f>HYPERLINK("https://doi.org/10.1515/9781474444361")</f>
        <v>https://doi.org/10.1515/9781474444361</v>
      </c>
      <c r="AH2635" t="str">
        <f>HYPERLINK("http://www.degruyter.com/isbn/9781474444361")</f>
        <v>http://www.degruyter.com/isbn/9781474444361</v>
      </c>
      <c r="AI2635" t="s">
        <v>280</v>
      </c>
      <c r="AL2635" t="s">
        <v>83</v>
      </c>
      <c r="AM2635">
        <v>1</v>
      </c>
      <c r="AN2635" s="2">
        <v>9781474444330</v>
      </c>
    </row>
    <row r="2636" spans="1:40" x14ac:dyDescent="0.3">
      <c r="A2636" t="s">
        <v>12495</v>
      </c>
      <c r="B2636" t="s">
        <v>1</v>
      </c>
      <c r="C2636" t="s">
        <v>12496</v>
      </c>
      <c r="E2636" t="s">
        <v>12497</v>
      </c>
      <c r="F2636" t="s">
        <v>5</v>
      </c>
      <c r="G2636" t="s">
        <v>6</v>
      </c>
      <c r="L2636" t="s">
        <v>7</v>
      </c>
      <c r="M2636">
        <v>1993</v>
      </c>
      <c r="N2636" s="1">
        <v>44895</v>
      </c>
      <c r="O2636" t="s">
        <v>7265</v>
      </c>
      <c r="P2636">
        <v>1</v>
      </c>
      <c r="Q2636" t="s">
        <v>7266</v>
      </c>
      <c r="S2636">
        <v>227.95</v>
      </c>
      <c r="T2636">
        <v>260</v>
      </c>
      <c r="U2636">
        <v>200</v>
      </c>
      <c r="V2636" t="s">
        <v>42</v>
      </c>
      <c r="W2636" t="s">
        <v>116</v>
      </c>
      <c r="X2636" t="s">
        <v>116</v>
      </c>
      <c r="Y2636" t="s">
        <v>117</v>
      </c>
      <c r="AF2636" t="s">
        <v>13</v>
      </c>
      <c r="AH2636" t="str">
        <f>HYPERLINK("http://www.degruyter.com/isbn/9781474432993")</f>
        <v>http://www.degruyter.com/isbn/9781474432993</v>
      </c>
      <c r="AI2636" t="s">
        <v>24</v>
      </c>
      <c r="AL2636" t="s">
        <v>47</v>
      </c>
      <c r="AM2636">
        <v>1</v>
      </c>
      <c r="AN2636" s="2">
        <v>9780748604371</v>
      </c>
    </row>
    <row r="2637" spans="1:40" x14ac:dyDescent="0.3">
      <c r="A2637" t="s">
        <v>12498</v>
      </c>
      <c r="B2637" t="s">
        <v>1</v>
      </c>
      <c r="C2637" t="s">
        <v>12499</v>
      </c>
      <c r="E2637" t="s">
        <v>12500</v>
      </c>
      <c r="F2637" t="s">
        <v>5</v>
      </c>
      <c r="G2637" t="s">
        <v>6</v>
      </c>
      <c r="L2637" t="s">
        <v>7</v>
      </c>
      <c r="M2637">
        <v>1982</v>
      </c>
      <c r="N2637" s="1">
        <v>44719</v>
      </c>
      <c r="O2637" t="s">
        <v>12501</v>
      </c>
      <c r="P2637">
        <v>1</v>
      </c>
      <c r="Q2637" t="s">
        <v>7677</v>
      </c>
      <c r="S2637">
        <v>453.95</v>
      </c>
      <c r="T2637">
        <v>520</v>
      </c>
      <c r="U2637">
        <v>400</v>
      </c>
      <c r="V2637" t="s">
        <v>20</v>
      </c>
      <c r="W2637" t="s">
        <v>21</v>
      </c>
      <c r="X2637" t="s">
        <v>22</v>
      </c>
      <c r="Y2637" t="s">
        <v>489</v>
      </c>
      <c r="AF2637" t="s">
        <v>13</v>
      </c>
      <c r="AG2637" t="str">
        <f>HYPERLINK("https://www.degruyter.com/isbn/9781474473514")</f>
        <v>https://www.degruyter.com/isbn/9781474473514</v>
      </c>
      <c r="AH2637" t="str">
        <f>HYPERLINK("http://www.degruyter.com/isbn/9781474473514")</f>
        <v>http://www.degruyter.com/isbn/9781474473514</v>
      </c>
      <c r="AI2637" t="s">
        <v>24</v>
      </c>
      <c r="AL2637" t="s">
        <v>15</v>
      </c>
      <c r="AM2637">
        <v>1</v>
      </c>
      <c r="AN2637" s="2">
        <v>9780852243954</v>
      </c>
    </row>
    <row r="2638" spans="1:40" x14ac:dyDescent="0.3">
      <c r="A2638" t="s">
        <v>12502</v>
      </c>
      <c r="B2638" t="s">
        <v>1</v>
      </c>
      <c r="C2638" t="s">
        <v>12503</v>
      </c>
      <c r="D2638" t="s">
        <v>12504</v>
      </c>
      <c r="E2638" t="s">
        <v>12505</v>
      </c>
      <c r="F2638" t="s">
        <v>5</v>
      </c>
      <c r="G2638" t="s">
        <v>6</v>
      </c>
      <c r="L2638" t="s">
        <v>7</v>
      </c>
      <c r="M2638">
        <v>2011</v>
      </c>
      <c r="N2638" s="1">
        <v>40595</v>
      </c>
      <c r="O2638" t="s">
        <v>12506</v>
      </c>
      <c r="P2638">
        <v>1</v>
      </c>
      <c r="Q2638" t="s">
        <v>7217</v>
      </c>
      <c r="S2638">
        <v>261.95</v>
      </c>
      <c r="T2638">
        <v>300</v>
      </c>
      <c r="U2638">
        <v>230</v>
      </c>
      <c r="V2638" t="s">
        <v>20</v>
      </c>
      <c r="W2638" t="s">
        <v>21</v>
      </c>
      <c r="X2638" t="s">
        <v>575</v>
      </c>
      <c r="Y2638" t="s">
        <v>576</v>
      </c>
      <c r="AF2638" t="s">
        <v>13</v>
      </c>
      <c r="AG2638" t="str">
        <f>HYPERLINK("https://doi.org/10.1515/9780748628476")</f>
        <v>https://doi.org/10.1515/9780748628476</v>
      </c>
      <c r="AH2638" t="str">
        <f>HYPERLINK("http://www.degruyter.com/isbn/9780748628476")</f>
        <v>http://www.degruyter.com/isbn/9780748628476</v>
      </c>
      <c r="AI2638" t="s">
        <v>68</v>
      </c>
      <c r="AL2638" t="s">
        <v>15</v>
      </c>
      <c r="AM2638">
        <v>1</v>
      </c>
      <c r="AN2638" s="2">
        <v>9780748614967</v>
      </c>
    </row>
    <row r="2639" spans="1:40" x14ac:dyDescent="0.3">
      <c r="A2639" t="s">
        <v>12507</v>
      </c>
      <c r="B2639" t="s">
        <v>1</v>
      </c>
      <c r="C2639" t="s">
        <v>12508</v>
      </c>
      <c r="E2639" t="s">
        <v>12509</v>
      </c>
      <c r="F2639" t="s">
        <v>5</v>
      </c>
      <c r="G2639" t="s">
        <v>6</v>
      </c>
      <c r="L2639" t="s">
        <v>7</v>
      </c>
      <c r="M2639">
        <v>2017</v>
      </c>
      <c r="N2639" s="1">
        <v>43019</v>
      </c>
      <c r="O2639" t="s">
        <v>12510</v>
      </c>
      <c r="P2639">
        <v>1</v>
      </c>
      <c r="Q2639" t="s">
        <v>8461</v>
      </c>
      <c r="S2639">
        <v>227.95</v>
      </c>
      <c r="T2639">
        <v>260</v>
      </c>
      <c r="U2639">
        <v>200</v>
      </c>
      <c r="V2639" t="s">
        <v>42</v>
      </c>
      <c r="W2639" t="s">
        <v>116</v>
      </c>
      <c r="X2639" t="s">
        <v>116</v>
      </c>
      <c r="Y2639" t="s">
        <v>117</v>
      </c>
      <c r="AF2639" t="s">
        <v>13</v>
      </c>
      <c r="AG2639" t="str">
        <f>HYPERLINK("https://doi.org/10.1515/9781474425667?locatt=mode:legacy")</f>
        <v>https://doi.org/10.1515/9781474425667?locatt=mode:legacy</v>
      </c>
      <c r="AH2639" t="str">
        <f>HYPERLINK("http://www.degruyter.com/isbn/9781474425667")</f>
        <v>http://www.degruyter.com/isbn/9781474425667</v>
      </c>
      <c r="AI2639" t="s">
        <v>222</v>
      </c>
      <c r="AL2639" t="s">
        <v>47</v>
      </c>
      <c r="AM2639">
        <v>1</v>
      </c>
      <c r="AN2639" s="2">
        <v>9781474425643</v>
      </c>
    </row>
    <row r="2640" spans="1:40" x14ac:dyDescent="0.3">
      <c r="A2640" t="s">
        <v>12511</v>
      </c>
      <c r="B2640" t="s">
        <v>1</v>
      </c>
      <c r="C2640" t="s">
        <v>12512</v>
      </c>
      <c r="D2640" t="s">
        <v>12513</v>
      </c>
      <c r="E2640" t="s">
        <v>12514</v>
      </c>
      <c r="F2640" t="s">
        <v>5</v>
      </c>
      <c r="G2640" t="s">
        <v>6</v>
      </c>
      <c r="L2640" t="s">
        <v>7</v>
      </c>
      <c r="M2640">
        <v>2015</v>
      </c>
      <c r="N2640" s="1">
        <v>42018</v>
      </c>
      <c r="O2640" t="s">
        <v>12515</v>
      </c>
      <c r="P2640">
        <v>1</v>
      </c>
      <c r="Q2640" t="s">
        <v>8702</v>
      </c>
      <c r="S2640">
        <v>261.95</v>
      </c>
      <c r="T2640">
        <v>300</v>
      </c>
      <c r="U2640">
        <v>230</v>
      </c>
      <c r="V2640" t="s">
        <v>79</v>
      </c>
      <c r="W2640" t="s">
        <v>762</v>
      </c>
      <c r="X2640" t="s">
        <v>762</v>
      </c>
      <c r="Y2640" t="s">
        <v>763</v>
      </c>
      <c r="AF2640" t="s">
        <v>13</v>
      </c>
      <c r="AG2640" t="str">
        <f>HYPERLINK("https://doi.org/10.1515/9780748692903")</f>
        <v>https://doi.org/10.1515/9780748692903</v>
      </c>
      <c r="AH2640" t="str">
        <f>HYPERLINK("http://www.degruyter.com/isbn/9780748692903")</f>
        <v>http://www.degruyter.com/isbn/9780748692903</v>
      </c>
      <c r="AI2640" t="s">
        <v>34</v>
      </c>
      <c r="AL2640" t="s">
        <v>83</v>
      </c>
      <c r="AM2640">
        <v>1</v>
      </c>
      <c r="AN2640" s="2">
        <v>9780748692880</v>
      </c>
    </row>
    <row r="2641" spans="1:40" x14ac:dyDescent="0.3">
      <c r="A2641" t="s">
        <v>12516</v>
      </c>
      <c r="B2641" t="s">
        <v>1</v>
      </c>
      <c r="C2641" t="s">
        <v>6983</v>
      </c>
      <c r="D2641" t="s">
        <v>12517</v>
      </c>
      <c r="E2641" t="s">
        <v>6985</v>
      </c>
      <c r="F2641" t="s">
        <v>5</v>
      </c>
      <c r="G2641" t="s">
        <v>6</v>
      </c>
      <c r="L2641" t="s">
        <v>7</v>
      </c>
      <c r="M2641">
        <v>2021</v>
      </c>
      <c r="N2641" s="1">
        <v>44656</v>
      </c>
      <c r="O2641" t="s">
        <v>12518</v>
      </c>
      <c r="P2641">
        <v>1</v>
      </c>
      <c r="Q2641" t="s">
        <v>6987</v>
      </c>
      <c r="S2641">
        <v>217.95</v>
      </c>
      <c r="T2641">
        <v>250</v>
      </c>
      <c r="U2641">
        <v>190</v>
      </c>
      <c r="V2641" t="s">
        <v>9</v>
      </c>
      <c r="W2641" t="s">
        <v>10</v>
      </c>
      <c r="X2641" t="s">
        <v>11</v>
      </c>
      <c r="Y2641" t="s">
        <v>52</v>
      </c>
      <c r="AF2641" t="s">
        <v>13</v>
      </c>
      <c r="AG2641" t="str">
        <f>HYPERLINK("https://doi.org/10.1515/9781474479936")</f>
        <v>https://doi.org/10.1515/9781474479936</v>
      </c>
      <c r="AH2641" t="str">
        <f>HYPERLINK("http://www.degruyter.com/isbn/9781474479936")</f>
        <v>http://www.degruyter.com/isbn/9781474479936</v>
      </c>
      <c r="AI2641" t="s">
        <v>908</v>
      </c>
      <c r="AL2641" t="s">
        <v>15</v>
      </c>
      <c r="AM2641">
        <v>1</v>
      </c>
      <c r="AN2641" s="2">
        <v>9781474479912</v>
      </c>
    </row>
    <row r="2642" spans="1:40" x14ac:dyDescent="0.3">
      <c r="A2642" t="s">
        <v>12519</v>
      </c>
      <c r="B2642" t="s">
        <v>1</v>
      </c>
      <c r="C2642" t="s">
        <v>12520</v>
      </c>
      <c r="E2642" t="s">
        <v>12521</v>
      </c>
      <c r="F2642" t="s">
        <v>5</v>
      </c>
      <c r="G2642" t="s">
        <v>6</v>
      </c>
      <c r="L2642" t="s">
        <v>7</v>
      </c>
      <c r="M2642">
        <v>2015</v>
      </c>
      <c r="N2642" s="1">
        <v>42048</v>
      </c>
      <c r="O2642" t="s">
        <v>12522</v>
      </c>
      <c r="P2642">
        <v>1</v>
      </c>
      <c r="Q2642" t="s">
        <v>8317</v>
      </c>
      <c r="S2642">
        <v>217.95</v>
      </c>
      <c r="T2642">
        <v>250</v>
      </c>
      <c r="U2642">
        <v>190</v>
      </c>
      <c r="V2642" t="s">
        <v>9</v>
      </c>
      <c r="W2642" t="s">
        <v>10</v>
      </c>
      <c r="X2642" t="s">
        <v>11</v>
      </c>
      <c r="Y2642" t="s">
        <v>12</v>
      </c>
      <c r="AF2642" t="s">
        <v>13</v>
      </c>
      <c r="AG2642" t="str">
        <f>HYPERLINK("https://doi.org/10.1515/9780748644179")</f>
        <v>https://doi.org/10.1515/9780748644179</v>
      </c>
      <c r="AH2642" t="str">
        <f>HYPERLINK("http://www.degruyter.com/isbn/9780748644179")</f>
        <v>http://www.degruyter.com/isbn/9780748644179</v>
      </c>
      <c r="AI2642" t="s">
        <v>6182</v>
      </c>
      <c r="AJ2642" t="s">
        <v>35</v>
      </c>
      <c r="AL2642" t="s">
        <v>53</v>
      </c>
      <c r="AM2642">
        <v>1</v>
      </c>
      <c r="AN2642" s="2">
        <v>9780748644162</v>
      </c>
    </row>
    <row r="2643" spans="1:40" x14ac:dyDescent="0.3">
      <c r="A2643" t="s">
        <v>12523</v>
      </c>
      <c r="B2643" t="s">
        <v>1</v>
      </c>
      <c r="C2643" t="s">
        <v>12524</v>
      </c>
      <c r="D2643" t="s">
        <v>12525</v>
      </c>
      <c r="E2643" t="s">
        <v>12526</v>
      </c>
      <c r="F2643" t="s">
        <v>5</v>
      </c>
      <c r="G2643" t="s">
        <v>6</v>
      </c>
      <c r="L2643" t="s">
        <v>7</v>
      </c>
      <c r="M2643">
        <v>2006</v>
      </c>
      <c r="N2643" s="1">
        <v>43677</v>
      </c>
      <c r="O2643" t="s">
        <v>12527</v>
      </c>
      <c r="P2643">
        <v>1</v>
      </c>
      <c r="S2643">
        <v>217.95</v>
      </c>
      <c r="T2643">
        <v>250</v>
      </c>
      <c r="U2643">
        <v>190</v>
      </c>
      <c r="V2643" t="s">
        <v>268</v>
      </c>
      <c r="W2643" t="s">
        <v>269</v>
      </c>
      <c r="X2643" t="s">
        <v>269</v>
      </c>
      <c r="Y2643" t="s">
        <v>12528</v>
      </c>
      <c r="AF2643" t="s">
        <v>13</v>
      </c>
      <c r="AG2643" t="str">
        <f>HYPERLINK("https://doi.org/10.1515/9781474469524")</f>
        <v>https://doi.org/10.1515/9781474469524</v>
      </c>
      <c r="AH2643" t="str">
        <f>HYPERLINK("http://www.degruyter.com/isbn/9781474469524")</f>
        <v>http://www.degruyter.com/isbn/9781474469524</v>
      </c>
      <c r="AI2643" t="s">
        <v>412</v>
      </c>
      <c r="AL2643" t="s">
        <v>272</v>
      </c>
      <c r="AM2643">
        <v>1</v>
      </c>
      <c r="AN2643" s="2">
        <v>9781845860172</v>
      </c>
    </row>
    <row r="2644" spans="1:40" x14ac:dyDescent="0.3">
      <c r="A2644" t="s">
        <v>12529</v>
      </c>
      <c r="B2644" t="s">
        <v>1</v>
      </c>
      <c r="C2644" t="s">
        <v>12530</v>
      </c>
      <c r="D2644" t="s">
        <v>12531</v>
      </c>
      <c r="E2644" t="s">
        <v>12532</v>
      </c>
      <c r="F2644" t="s">
        <v>5</v>
      </c>
      <c r="G2644" t="s">
        <v>6</v>
      </c>
      <c r="L2644" t="s">
        <v>7</v>
      </c>
      <c r="M2644">
        <v>2020</v>
      </c>
      <c r="N2644" s="1">
        <v>44644</v>
      </c>
      <c r="O2644" t="s">
        <v>12533</v>
      </c>
      <c r="P2644">
        <v>1</v>
      </c>
      <c r="Q2644" t="s">
        <v>12181</v>
      </c>
      <c r="S2644">
        <v>217.95</v>
      </c>
      <c r="T2644">
        <v>250</v>
      </c>
      <c r="U2644">
        <v>190</v>
      </c>
      <c r="V2644" t="s">
        <v>79</v>
      </c>
      <c r="W2644" t="s">
        <v>783</v>
      </c>
      <c r="X2644" t="s">
        <v>783</v>
      </c>
      <c r="Y2644" t="s">
        <v>784</v>
      </c>
      <c r="AF2644" t="s">
        <v>13</v>
      </c>
      <c r="AG2644" t="str">
        <f>HYPERLINK("https://doi.org/10.1515/9781474467414")</f>
        <v>https://doi.org/10.1515/9781474467414</v>
      </c>
      <c r="AH2644" t="str">
        <f>HYPERLINK("http://www.degruyter.com/isbn/9781474467414")</f>
        <v>http://www.degruyter.com/isbn/9781474467414</v>
      </c>
      <c r="AI2644" t="s">
        <v>14</v>
      </c>
      <c r="AL2644" t="s">
        <v>83</v>
      </c>
      <c r="AM2644">
        <v>1</v>
      </c>
      <c r="AN2644" s="2">
        <v>9781474467391</v>
      </c>
    </row>
    <row r="2645" spans="1:40" x14ac:dyDescent="0.3">
      <c r="A2645" t="s">
        <v>12534</v>
      </c>
      <c r="B2645" t="s">
        <v>1</v>
      </c>
      <c r="C2645" t="s">
        <v>12535</v>
      </c>
      <c r="D2645" t="s">
        <v>12536</v>
      </c>
      <c r="E2645" t="s">
        <v>12537</v>
      </c>
      <c r="F2645" t="s">
        <v>5</v>
      </c>
      <c r="G2645" t="s">
        <v>6</v>
      </c>
      <c r="L2645" t="s">
        <v>7</v>
      </c>
      <c r="M2645">
        <v>2020</v>
      </c>
      <c r="N2645" s="1">
        <v>44656</v>
      </c>
      <c r="O2645" t="s">
        <v>12538</v>
      </c>
      <c r="P2645">
        <v>1</v>
      </c>
      <c r="Q2645" t="s">
        <v>9604</v>
      </c>
      <c r="S2645">
        <v>253.95</v>
      </c>
      <c r="T2645">
        <v>290</v>
      </c>
      <c r="U2645">
        <v>220</v>
      </c>
      <c r="V2645" t="s">
        <v>58</v>
      </c>
      <c r="W2645" t="s">
        <v>59</v>
      </c>
      <c r="X2645" t="s">
        <v>278</v>
      </c>
      <c r="Y2645" t="s">
        <v>932</v>
      </c>
      <c r="AF2645" t="s">
        <v>13</v>
      </c>
      <c r="AG2645" t="str">
        <f>HYPERLINK("https://doi.org/10.1515/9781474428866?locatt=mode:legacy")</f>
        <v>https://doi.org/10.1515/9781474428866?locatt=mode:legacy</v>
      </c>
      <c r="AH2645" t="str">
        <f>HYPERLINK("http://www.degruyter.com/isbn/9781474428866")</f>
        <v>http://www.degruyter.com/isbn/9781474428866</v>
      </c>
      <c r="AI2645" t="s">
        <v>14</v>
      </c>
      <c r="AL2645" t="s">
        <v>62</v>
      </c>
      <c r="AM2645">
        <v>1</v>
      </c>
      <c r="AN2645" s="2">
        <v>9781474428842</v>
      </c>
    </row>
    <row r="2646" spans="1:40" x14ac:dyDescent="0.3">
      <c r="A2646" t="s">
        <v>12539</v>
      </c>
      <c r="B2646" t="s">
        <v>1</v>
      </c>
      <c r="C2646" t="s">
        <v>12540</v>
      </c>
      <c r="E2646" t="s">
        <v>12541</v>
      </c>
      <c r="F2646" t="s">
        <v>5</v>
      </c>
      <c r="G2646" t="s">
        <v>6</v>
      </c>
      <c r="L2646" t="s">
        <v>7</v>
      </c>
      <c r="M2646">
        <v>2019</v>
      </c>
      <c r="N2646" s="1">
        <v>44656</v>
      </c>
      <c r="O2646" t="s">
        <v>12542</v>
      </c>
      <c r="P2646">
        <v>1</v>
      </c>
      <c r="Q2646" t="s">
        <v>6418</v>
      </c>
      <c r="S2646">
        <v>253.95</v>
      </c>
      <c r="T2646">
        <v>290</v>
      </c>
      <c r="U2646">
        <v>220</v>
      </c>
      <c r="V2646" t="s">
        <v>79</v>
      </c>
      <c r="W2646" t="s">
        <v>734</v>
      </c>
      <c r="X2646" t="s">
        <v>734</v>
      </c>
      <c r="Y2646" t="s">
        <v>6064</v>
      </c>
      <c r="AF2646" t="s">
        <v>13</v>
      </c>
      <c r="AG2646" t="str">
        <f>HYPERLINK("https://doi.org/10.1515/9781474423618")</f>
        <v>https://doi.org/10.1515/9781474423618</v>
      </c>
      <c r="AH2646" t="str">
        <f>HYPERLINK("http://www.degruyter.com/isbn/9781474423618")</f>
        <v>http://www.degruyter.com/isbn/9781474423618</v>
      </c>
      <c r="AI2646" t="s">
        <v>280</v>
      </c>
      <c r="AL2646" t="s">
        <v>83</v>
      </c>
      <c r="AM2646">
        <v>1</v>
      </c>
      <c r="AN2646" s="2">
        <v>9781474423595</v>
      </c>
    </row>
    <row r="2647" spans="1:40" x14ac:dyDescent="0.3">
      <c r="A2647" t="s">
        <v>12543</v>
      </c>
      <c r="B2647" t="s">
        <v>1</v>
      </c>
      <c r="C2647" t="s">
        <v>12544</v>
      </c>
      <c r="E2647" t="s">
        <v>12545</v>
      </c>
      <c r="F2647" t="s">
        <v>5</v>
      </c>
      <c r="G2647" t="s">
        <v>6</v>
      </c>
      <c r="L2647" t="s">
        <v>7</v>
      </c>
      <c r="M2647">
        <v>2019</v>
      </c>
      <c r="N2647" s="1">
        <v>44656</v>
      </c>
      <c r="O2647" t="s">
        <v>12546</v>
      </c>
      <c r="P2647">
        <v>1</v>
      </c>
      <c r="Q2647" t="s">
        <v>10252</v>
      </c>
      <c r="S2647">
        <v>253.95</v>
      </c>
      <c r="T2647">
        <v>290</v>
      </c>
      <c r="U2647">
        <v>220</v>
      </c>
      <c r="V2647" t="s">
        <v>79</v>
      </c>
      <c r="W2647" t="s">
        <v>209</v>
      </c>
      <c r="X2647" t="s">
        <v>209</v>
      </c>
      <c r="Y2647" t="s">
        <v>699</v>
      </c>
      <c r="AF2647" t="s">
        <v>13</v>
      </c>
      <c r="AG2647" t="str">
        <f>HYPERLINK("https://doi.org/10.1515/9781474428293")</f>
        <v>https://doi.org/10.1515/9781474428293</v>
      </c>
      <c r="AH2647" t="str">
        <f>HYPERLINK("http://www.degruyter.com/isbn/9781474428293")</f>
        <v>http://www.degruyter.com/isbn/9781474428293</v>
      </c>
      <c r="AI2647" t="s">
        <v>280</v>
      </c>
      <c r="AL2647" t="s">
        <v>83</v>
      </c>
      <c r="AM2647">
        <v>1</v>
      </c>
      <c r="AN2647" s="2">
        <v>9781474428279</v>
      </c>
    </row>
    <row r="2648" spans="1:40" x14ac:dyDescent="0.3">
      <c r="A2648" t="s">
        <v>12547</v>
      </c>
      <c r="B2648" t="s">
        <v>1</v>
      </c>
      <c r="C2648" t="s">
        <v>12548</v>
      </c>
      <c r="E2648" t="s">
        <v>12549</v>
      </c>
      <c r="F2648" t="s">
        <v>5</v>
      </c>
      <c r="G2648" t="s">
        <v>6</v>
      </c>
      <c r="L2648" t="s">
        <v>7</v>
      </c>
      <c r="M2648">
        <v>1984</v>
      </c>
      <c r="N2648" s="1">
        <v>44607</v>
      </c>
      <c r="O2648" t="s">
        <v>6997</v>
      </c>
      <c r="P2648">
        <v>1</v>
      </c>
      <c r="Q2648" t="s">
        <v>6998</v>
      </c>
      <c r="S2648">
        <v>876.95</v>
      </c>
      <c r="T2648">
        <v>990</v>
      </c>
      <c r="U2648">
        <v>760</v>
      </c>
      <c r="V2648" t="s">
        <v>1325</v>
      </c>
      <c r="W2648" t="s">
        <v>1326</v>
      </c>
      <c r="X2648" t="s">
        <v>1326</v>
      </c>
      <c r="Y2648" t="s">
        <v>6999</v>
      </c>
      <c r="AF2648" t="s">
        <v>13</v>
      </c>
      <c r="AG2648" t="str">
        <f>HYPERLINK("https://www.degruyter.com/isbn/9781474466110")</f>
        <v>https://www.degruyter.com/isbn/9781474466110</v>
      </c>
      <c r="AH2648" t="str">
        <f>HYPERLINK("http://www.degruyter.com/isbn/9781474466110")</f>
        <v>http://www.degruyter.com/isbn/9781474466110</v>
      </c>
      <c r="AI2648" t="s">
        <v>24</v>
      </c>
      <c r="AL2648" t="s">
        <v>1328</v>
      </c>
      <c r="AM2648">
        <v>1</v>
      </c>
      <c r="AN2648" s="2">
        <v>9780852243367</v>
      </c>
    </row>
    <row r="2649" spans="1:40" x14ac:dyDescent="0.3">
      <c r="A2649" t="s">
        <v>12550</v>
      </c>
      <c r="B2649" t="s">
        <v>1</v>
      </c>
      <c r="C2649" t="s">
        <v>12551</v>
      </c>
      <c r="E2649" t="s">
        <v>12552</v>
      </c>
      <c r="F2649" t="s">
        <v>5</v>
      </c>
      <c r="G2649" t="s">
        <v>6</v>
      </c>
      <c r="L2649" t="s">
        <v>7</v>
      </c>
      <c r="M2649">
        <v>2020</v>
      </c>
      <c r="N2649" s="1">
        <v>44656</v>
      </c>
      <c r="O2649" t="s">
        <v>9484</v>
      </c>
      <c r="P2649">
        <v>1</v>
      </c>
      <c r="Q2649" t="s">
        <v>6539</v>
      </c>
      <c r="S2649">
        <v>217.95</v>
      </c>
      <c r="T2649">
        <v>250</v>
      </c>
      <c r="U2649">
        <v>190</v>
      </c>
      <c r="V2649" t="s">
        <v>42</v>
      </c>
      <c r="W2649" t="s">
        <v>116</v>
      </c>
      <c r="X2649" t="s">
        <v>116</v>
      </c>
      <c r="Y2649" t="s">
        <v>117</v>
      </c>
      <c r="AF2649" t="s">
        <v>13</v>
      </c>
      <c r="AG2649" t="str">
        <f>HYPERLINK("https://doi.org/10.1515/9781474459457")</f>
        <v>https://doi.org/10.1515/9781474459457</v>
      </c>
      <c r="AH2649" t="str">
        <f>HYPERLINK("http://www.degruyter.com/isbn/9781474459457")</f>
        <v>http://www.degruyter.com/isbn/9781474459457</v>
      </c>
      <c r="AI2649" t="s">
        <v>14</v>
      </c>
      <c r="AL2649" t="s">
        <v>47</v>
      </c>
      <c r="AM2649">
        <v>1</v>
      </c>
      <c r="AN2649" s="2">
        <v>9781474459433</v>
      </c>
    </row>
    <row r="2650" spans="1:40" x14ac:dyDescent="0.3">
      <c r="A2650" t="s">
        <v>12553</v>
      </c>
      <c r="B2650" t="s">
        <v>1</v>
      </c>
      <c r="C2650" t="s">
        <v>12554</v>
      </c>
      <c r="E2650" t="s">
        <v>12555</v>
      </c>
      <c r="F2650" t="s">
        <v>5</v>
      </c>
      <c r="G2650" t="s">
        <v>6</v>
      </c>
      <c r="L2650" t="s">
        <v>7</v>
      </c>
      <c r="M2650">
        <v>2017</v>
      </c>
      <c r="N2650" s="1">
        <v>42965</v>
      </c>
      <c r="O2650" t="s">
        <v>12556</v>
      </c>
      <c r="P2650">
        <v>1</v>
      </c>
      <c r="Q2650" t="s">
        <v>6876</v>
      </c>
      <c r="S2650">
        <v>253.95</v>
      </c>
      <c r="T2650">
        <v>290</v>
      </c>
      <c r="U2650">
        <v>220</v>
      </c>
      <c r="V2650" t="s">
        <v>42</v>
      </c>
      <c r="W2650" t="s">
        <v>43</v>
      </c>
      <c r="X2650" t="s">
        <v>1061</v>
      </c>
      <c r="Y2650" t="s">
        <v>12557</v>
      </c>
      <c r="AF2650" t="s">
        <v>13</v>
      </c>
      <c r="AG2650" t="str">
        <f>HYPERLINK("https://doi.org/10.1515/9781474471244")</f>
        <v>https://doi.org/10.1515/9781474471244</v>
      </c>
      <c r="AH2650" t="str">
        <f>HYPERLINK("http://www.degruyter.com/isbn/9781474471244")</f>
        <v>http://www.degruyter.com/isbn/9781474471244</v>
      </c>
      <c r="AI2650" t="s">
        <v>222</v>
      </c>
      <c r="AL2650" t="s">
        <v>47</v>
      </c>
      <c r="AM2650">
        <v>1</v>
      </c>
      <c r="AN2650" s="2">
        <v>9781474420228</v>
      </c>
    </row>
    <row r="2651" spans="1:40" x14ac:dyDescent="0.3">
      <c r="A2651" t="s">
        <v>12558</v>
      </c>
      <c r="B2651" t="s">
        <v>1</v>
      </c>
      <c r="C2651" t="s">
        <v>12559</v>
      </c>
      <c r="E2651" t="s">
        <v>12560</v>
      </c>
      <c r="F2651" t="s">
        <v>5</v>
      </c>
      <c r="G2651" t="s">
        <v>6</v>
      </c>
      <c r="L2651" t="s">
        <v>7</v>
      </c>
      <c r="M2651">
        <v>2017</v>
      </c>
      <c r="N2651" s="1">
        <v>42865</v>
      </c>
      <c r="O2651" t="s">
        <v>12561</v>
      </c>
      <c r="P2651">
        <v>1</v>
      </c>
      <c r="Q2651" t="s">
        <v>6539</v>
      </c>
      <c r="S2651">
        <v>217.95</v>
      </c>
      <c r="T2651">
        <v>250</v>
      </c>
      <c r="U2651">
        <v>190</v>
      </c>
      <c r="V2651" t="s">
        <v>42</v>
      </c>
      <c r="W2651" t="s">
        <v>116</v>
      </c>
      <c r="X2651" t="s">
        <v>116</v>
      </c>
      <c r="Y2651" t="s">
        <v>117</v>
      </c>
      <c r="AF2651" t="s">
        <v>13</v>
      </c>
      <c r="AG2651" t="str">
        <f>HYPERLINK("https://doi.org/10.1515/9781474416276?locatt=mode:legacy")</f>
        <v>https://doi.org/10.1515/9781474416276?locatt=mode:legacy</v>
      </c>
      <c r="AH2651" t="str">
        <f>HYPERLINK("http://www.degruyter.com/isbn/9781474416276")</f>
        <v>http://www.degruyter.com/isbn/9781474416276</v>
      </c>
      <c r="AI2651" t="s">
        <v>222</v>
      </c>
      <c r="AL2651" t="s">
        <v>47</v>
      </c>
      <c r="AM2651">
        <v>1</v>
      </c>
      <c r="AN2651" s="2">
        <v>9781474416269</v>
      </c>
    </row>
    <row r="2652" spans="1:40" x14ac:dyDescent="0.3">
      <c r="A2652" t="s">
        <v>12562</v>
      </c>
      <c r="B2652" t="s">
        <v>1</v>
      </c>
      <c r="C2652" t="s">
        <v>12563</v>
      </c>
      <c r="E2652" t="s">
        <v>12564</v>
      </c>
      <c r="F2652" t="s">
        <v>5</v>
      </c>
      <c r="G2652" t="s">
        <v>6</v>
      </c>
      <c r="L2652" t="s">
        <v>7</v>
      </c>
      <c r="M2652">
        <v>1994</v>
      </c>
      <c r="N2652" s="1">
        <v>44607</v>
      </c>
      <c r="O2652" t="s">
        <v>7637</v>
      </c>
      <c r="P2652">
        <v>1</v>
      </c>
      <c r="Q2652" t="s">
        <v>6923</v>
      </c>
      <c r="S2652">
        <v>217.95</v>
      </c>
      <c r="T2652">
        <v>250</v>
      </c>
      <c r="U2652">
        <v>190</v>
      </c>
      <c r="V2652" t="s">
        <v>89</v>
      </c>
      <c r="W2652" t="s">
        <v>90</v>
      </c>
      <c r="X2652" t="s">
        <v>91</v>
      </c>
      <c r="Y2652" t="s">
        <v>717</v>
      </c>
      <c r="AF2652" t="s">
        <v>13</v>
      </c>
      <c r="AG2652" t="str">
        <f>HYPERLINK("https://doi.org/10.1515/9781474473491")</f>
        <v>https://doi.org/10.1515/9781474473491</v>
      </c>
      <c r="AH2652" t="str">
        <f>HYPERLINK("http://www.degruyter.com/isbn/9781474473491")</f>
        <v>http://www.degruyter.com/isbn/9781474473491</v>
      </c>
      <c r="AI2652" t="s">
        <v>24</v>
      </c>
      <c r="AJ2652" t="s">
        <v>35</v>
      </c>
      <c r="AL2652" t="s">
        <v>718</v>
      </c>
      <c r="AM2652">
        <v>1</v>
      </c>
      <c r="AN2652" s="2">
        <v>9780748605170</v>
      </c>
    </row>
    <row r="2653" spans="1:40" x14ac:dyDescent="0.3">
      <c r="A2653" t="s">
        <v>12565</v>
      </c>
      <c r="B2653" t="s">
        <v>1</v>
      </c>
      <c r="C2653" t="s">
        <v>7616</v>
      </c>
      <c r="D2653" t="s">
        <v>12566</v>
      </c>
      <c r="E2653" t="s">
        <v>12567</v>
      </c>
      <c r="F2653" t="s">
        <v>5</v>
      </c>
      <c r="G2653" t="s">
        <v>6</v>
      </c>
      <c r="L2653" t="s">
        <v>7</v>
      </c>
      <c r="M2653">
        <v>2020</v>
      </c>
      <c r="N2653" s="1">
        <v>44644</v>
      </c>
      <c r="O2653" t="s">
        <v>12568</v>
      </c>
      <c r="P2653">
        <v>1</v>
      </c>
      <c r="Q2653" t="s">
        <v>7616</v>
      </c>
      <c r="S2653">
        <v>261.95</v>
      </c>
      <c r="T2653">
        <v>300</v>
      </c>
      <c r="U2653">
        <v>230</v>
      </c>
      <c r="V2653" t="s">
        <v>268</v>
      </c>
      <c r="W2653" t="s">
        <v>269</v>
      </c>
      <c r="X2653" t="s">
        <v>269</v>
      </c>
      <c r="Y2653" t="s">
        <v>10184</v>
      </c>
      <c r="AF2653" t="s">
        <v>13</v>
      </c>
      <c r="AG2653" t="str">
        <f>HYPERLINK("https://doi.org/10.1515/9781474417631")</f>
        <v>https://doi.org/10.1515/9781474417631</v>
      </c>
      <c r="AH2653" t="str">
        <f>HYPERLINK("http://www.degruyter.com/isbn/9781474417631")</f>
        <v>http://www.degruyter.com/isbn/9781474417631</v>
      </c>
      <c r="AI2653" t="s">
        <v>375</v>
      </c>
      <c r="AL2653" t="s">
        <v>272</v>
      </c>
      <c r="AM2653">
        <v>1</v>
      </c>
      <c r="AN2653" s="2">
        <v>9781474417617</v>
      </c>
    </row>
    <row r="2654" spans="1:40" x14ac:dyDescent="0.3">
      <c r="A2654" t="s">
        <v>12569</v>
      </c>
      <c r="B2654" t="s">
        <v>1</v>
      </c>
      <c r="C2654" t="s">
        <v>12570</v>
      </c>
      <c r="D2654" t="s">
        <v>12571</v>
      </c>
      <c r="E2654" t="s">
        <v>12572</v>
      </c>
      <c r="F2654" t="s">
        <v>5</v>
      </c>
      <c r="G2654" t="s">
        <v>6</v>
      </c>
      <c r="L2654" t="s">
        <v>7</v>
      </c>
      <c r="M2654">
        <v>2018</v>
      </c>
      <c r="N2654" s="1">
        <v>44656</v>
      </c>
      <c r="O2654" t="s">
        <v>12573</v>
      </c>
      <c r="P2654">
        <v>1</v>
      </c>
      <c r="Q2654" t="s">
        <v>11881</v>
      </c>
      <c r="S2654">
        <v>217.95</v>
      </c>
      <c r="T2654">
        <v>250</v>
      </c>
      <c r="U2654">
        <v>190</v>
      </c>
      <c r="V2654" t="s">
        <v>58</v>
      </c>
      <c r="W2654" t="s">
        <v>59</v>
      </c>
      <c r="X2654" t="s">
        <v>60</v>
      </c>
      <c r="Y2654" t="s">
        <v>8502</v>
      </c>
      <c r="AF2654" t="s">
        <v>13</v>
      </c>
      <c r="AG2654" t="str">
        <f>HYPERLINK("https://doi.org/10.1515/9781474420129?locatt=mode:legacy")</f>
        <v>https://doi.org/10.1515/9781474420129?locatt=mode:legacy</v>
      </c>
      <c r="AH2654" t="str">
        <f>HYPERLINK("http://www.degruyter.com/isbn/9781474420129")</f>
        <v>http://www.degruyter.com/isbn/9781474420129</v>
      </c>
      <c r="AI2654" t="s">
        <v>46</v>
      </c>
      <c r="AJ2654" t="s">
        <v>35</v>
      </c>
      <c r="AL2654" t="s">
        <v>155</v>
      </c>
      <c r="AM2654">
        <v>1</v>
      </c>
      <c r="AN2654" s="2">
        <v>9781474420112</v>
      </c>
    </row>
    <row r="2655" spans="1:40" x14ac:dyDescent="0.3">
      <c r="A2655" t="s">
        <v>12574</v>
      </c>
      <c r="B2655" t="s">
        <v>1</v>
      </c>
      <c r="C2655" t="s">
        <v>12575</v>
      </c>
      <c r="E2655" t="s">
        <v>12576</v>
      </c>
      <c r="F2655" t="s">
        <v>5</v>
      </c>
      <c r="G2655" t="s">
        <v>6</v>
      </c>
      <c r="L2655" t="s">
        <v>7</v>
      </c>
      <c r="M2655">
        <v>2000</v>
      </c>
      <c r="N2655" s="1">
        <v>36831</v>
      </c>
      <c r="O2655" t="s">
        <v>12577</v>
      </c>
      <c r="P2655">
        <v>1</v>
      </c>
      <c r="Q2655" t="s">
        <v>7973</v>
      </c>
      <c r="S2655">
        <v>261.95</v>
      </c>
      <c r="T2655">
        <v>300</v>
      </c>
      <c r="U2655">
        <v>230</v>
      </c>
      <c r="V2655" t="s">
        <v>329</v>
      </c>
      <c r="W2655" t="s">
        <v>330</v>
      </c>
      <c r="X2655" t="s">
        <v>331</v>
      </c>
      <c r="Y2655" t="s">
        <v>332</v>
      </c>
      <c r="AF2655" t="s">
        <v>13</v>
      </c>
      <c r="AG2655" t="str">
        <f>HYPERLINK("https://doi.org/10.1515/9780748679850")</f>
        <v>https://doi.org/10.1515/9780748679850</v>
      </c>
      <c r="AH2655" t="str">
        <f>HYPERLINK("http://www.degruyter.com/isbn/9780748679850")</f>
        <v>http://www.degruyter.com/isbn/9780748679850</v>
      </c>
      <c r="AI2655" t="s">
        <v>68</v>
      </c>
      <c r="AL2655" t="s">
        <v>333</v>
      </c>
      <c r="AM2655">
        <v>1</v>
      </c>
      <c r="AN2655" s="2">
        <v>9780748614066</v>
      </c>
    </row>
    <row r="2656" spans="1:40" x14ac:dyDescent="0.3">
      <c r="A2656" t="s">
        <v>12578</v>
      </c>
      <c r="B2656" t="s">
        <v>1</v>
      </c>
      <c r="C2656" t="s">
        <v>12579</v>
      </c>
      <c r="D2656" t="s">
        <v>12580</v>
      </c>
      <c r="E2656" t="s">
        <v>12581</v>
      </c>
      <c r="F2656" t="s">
        <v>5</v>
      </c>
      <c r="G2656" t="s">
        <v>6</v>
      </c>
      <c r="L2656" t="s">
        <v>7</v>
      </c>
      <c r="M2656">
        <v>2009</v>
      </c>
      <c r="N2656" s="1">
        <v>40086</v>
      </c>
      <c r="O2656" t="s">
        <v>12582</v>
      </c>
      <c r="P2656">
        <v>1</v>
      </c>
      <c r="Q2656" t="s">
        <v>8587</v>
      </c>
      <c r="S2656">
        <v>217.95</v>
      </c>
      <c r="T2656">
        <v>250</v>
      </c>
      <c r="U2656">
        <v>190</v>
      </c>
      <c r="V2656" t="s">
        <v>58</v>
      </c>
      <c r="W2656" t="s">
        <v>59</v>
      </c>
      <c r="X2656" t="s">
        <v>60</v>
      </c>
      <c r="Y2656" t="s">
        <v>3787</v>
      </c>
      <c r="AF2656" t="s">
        <v>13</v>
      </c>
      <c r="AG2656" t="str">
        <f>HYPERLINK("https://doi.org/10.1515/9780748642090")</f>
        <v>https://doi.org/10.1515/9780748642090</v>
      </c>
      <c r="AH2656" t="str">
        <f>HYPERLINK("http://www.degruyter.com/isbn/9780748642090")</f>
        <v>http://www.degruyter.com/isbn/9780748642090</v>
      </c>
      <c r="AI2656" t="s">
        <v>68</v>
      </c>
      <c r="AL2656" t="s">
        <v>62</v>
      </c>
      <c r="AM2656">
        <v>1</v>
      </c>
      <c r="AN2656" s="2">
        <v>9780748639694</v>
      </c>
    </row>
    <row r="2657" spans="1:40" x14ac:dyDescent="0.3">
      <c r="A2657" t="s">
        <v>12583</v>
      </c>
      <c r="B2657" t="s">
        <v>1</v>
      </c>
      <c r="C2657" t="s">
        <v>12584</v>
      </c>
      <c r="D2657" t="s">
        <v>12585</v>
      </c>
      <c r="E2657" t="s">
        <v>12586</v>
      </c>
      <c r="F2657" t="s">
        <v>5</v>
      </c>
      <c r="G2657" t="s">
        <v>6</v>
      </c>
      <c r="L2657" t="s">
        <v>7</v>
      </c>
      <c r="M2657">
        <v>2015</v>
      </c>
      <c r="N2657" s="1">
        <v>42240</v>
      </c>
      <c r="O2657" t="s">
        <v>12587</v>
      </c>
      <c r="P2657">
        <v>1</v>
      </c>
      <c r="Q2657" t="s">
        <v>9133</v>
      </c>
      <c r="S2657">
        <v>217.95</v>
      </c>
      <c r="T2657">
        <v>250</v>
      </c>
      <c r="U2657">
        <v>190</v>
      </c>
      <c r="V2657" t="s">
        <v>98</v>
      </c>
      <c r="W2657" t="s">
        <v>99</v>
      </c>
      <c r="X2657" t="s">
        <v>386</v>
      </c>
      <c r="Y2657" t="s">
        <v>387</v>
      </c>
      <c r="AF2657" t="s">
        <v>13</v>
      </c>
      <c r="AG2657" t="str">
        <f>HYPERLINK("https://doi.org/10.1515/9780748630554")</f>
        <v>https://doi.org/10.1515/9780748630554</v>
      </c>
      <c r="AH2657" t="str">
        <f>HYPERLINK("http://www.degruyter.com/isbn/9780748630554")</f>
        <v>http://www.degruyter.com/isbn/9780748630554</v>
      </c>
      <c r="AI2657" t="s">
        <v>34</v>
      </c>
      <c r="AL2657" t="s">
        <v>102</v>
      </c>
      <c r="AM2657">
        <v>1</v>
      </c>
      <c r="AN2657" s="2">
        <v>9780748624614</v>
      </c>
    </row>
    <row r="2658" spans="1:40" x14ac:dyDescent="0.3">
      <c r="A2658" t="s">
        <v>12588</v>
      </c>
      <c r="B2658" t="s">
        <v>1</v>
      </c>
      <c r="C2658" t="s">
        <v>12589</v>
      </c>
      <c r="E2658" t="s">
        <v>12590</v>
      </c>
      <c r="F2658" t="s">
        <v>5</v>
      </c>
      <c r="G2658" t="s">
        <v>6</v>
      </c>
      <c r="K2658" t="s">
        <v>4259</v>
      </c>
      <c r="L2658" t="s">
        <v>7</v>
      </c>
      <c r="M2658">
        <v>2019</v>
      </c>
      <c r="N2658" s="1">
        <v>43682</v>
      </c>
      <c r="O2658" t="s">
        <v>12591</v>
      </c>
      <c r="P2658">
        <v>1</v>
      </c>
      <c r="Q2658" t="s">
        <v>8587</v>
      </c>
      <c r="V2658" t="s">
        <v>297</v>
      </c>
      <c r="W2658" t="s">
        <v>4243</v>
      </c>
      <c r="X2658" t="s">
        <v>4243</v>
      </c>
      <c r="Y2658" t="s">
        <v>4244</v>
      </c>
      <c r="AF2658" t="s">
        <v>13</v>
      </c>
      <c r="AG2658" t="str">
        <f>HYPERLINK("https://doi.org/10.1515/9781474455459")</f>
        <v>https://doi.org/10.1515/9781474455459</v>
      </c>
      <c r="AH2658" t="str">
        <f>HYPERLINK("http://www.degruyter.com/isbn/9781474455459")</f>
        <v>http://www.degruyter.com/isbn/9781474455459</v>
      </c>
      <c r="AI2658" t="s">
        <v>280</v>
      </c>
      <c r="AJ2658" t="s">
        <v>35</v>
      </c>
      <c r="AM2658">
        <v>1</v>
      </c>
      <c r="AN2658" s="2"/>
    </row>
    <row r="2659" spans="1:40" x14ac:dyDescent="0.3">
      <c r="A2659" t="s">
        <v>12592</v>
      </c>
      <c r="B2659" t="s">
        <v>1</v>
      </c>
      <c r="C2659" t="s">
        <v>12593</v>
      </c>
      <c r="D2659" t="s">
        <v>12594</v>
      </c>
      <c r="E2659" t="s">
        <v>12595</v>
      </c>
      <c r="F2659" t="s">
        <v>5</v>
      </c>
      <c r="G2659" t="s">
        <v>6</v>
      </c>
      <c r="L2659" t="s">
        <v>7</v>
      </c>
      <c r="M2659">
        <v>2020</v>
      </c>
      <c r="N2659" s="1">
        <v>44644</v>
      </c>
      <c r="O2659" t="s">
        <v>12596</v>
      </c>
      <c r="P2659">
        <v>1</v>
      </c>
      <c r="Q2659" t="s">
        <v>9611</v>
      </c>
      <c r="S2659">
        <v>217.95</v>
      </c>
      <c r="T2659">
        <v>250</v>
      </c>
      <c r="U2659">
        <v>190</v>
      </c>
      <c r="V2659" t="s">
        <v>20</v>
      </c>
      <c r="W2659" t="s">
        <v>21</v>
      </c>
      <c r="X2659" t="s">
        <v>458</v>
      </c>
      <c r="Y2659" t="s">
        <v>459</v>
      </c>
      <c r="AF2659" t="s">
        <v>13</v>
      </c>
      <c r="AG2659" t="str">
        <f>HYPERLINK("https://doi.org/10.1515/9781474474191")</f>
        <v>https://doi.org/10.1515/9781474474191</v>
      </c>
      <c r="AH2659" t="str">
        <f>HYPERLINK("http://www.degruyter.com/isbn/9781474474191")</f>
        <v>http://www.degruyter.com/isbn/9781474474191</v>
      </c>
      <c r="AI2659" t="s">
        <v>14</v>
      </c>
      <c r="AL2659" t="s">
        <v>15</v>
      </c>
      <c r="AM2659">
        <v>1</v>
      </c>
      <c r="AN2659" s="2">
        <v>9781474474177</v>
      </c>
    </row>
    <row r="2660" spans="1:40" x14ac:dyDescent="0.3">
      <c r="A2660" t="s">
        <v>12597</v>
      </c>
      <c r="B2660" t="s">
        <v>1</v>
      </c>
      <c r="C2660" t="s">
        <v>12598</v>
      </c>
      <c r="E2660" t="s">
        <v>12599</v>
      </c>
      <c r="F2660" t="s">
        <v>5</v>
      </c>
      <c r="G2660" t="s">
        <v>6</v>
      </c>
      <c r="L2660" t="s">
        <v>7</v>
      </c>
      <c r="M2660">
        <v>2013</v>
      </c>
      <c r="N2660" s="1">
        <v>41288</v>
      </c>
      <c r="O2660" t="s">
        <v>10790</v>
      </c>
      <c r="P2660">
        <v>1</v>
      </c>
      <c r="Q2660" t="s">
        <v>7009</v>
      </c>
      <c r="S2660">
        <v>209.95</v>
      </c>
      <c r="T2660">
        <v>240</v>
      </c>
      <c r="U2660">
        <v>180</v>
      </c>
      <c r="V2660" t="s">
        <v>329</v>
      </c>
      <c r="W2660" t="s">
        <v>330</v>
      </c>
      <c r="X2660" t="s">
        <v>331</v>
      </c>
      <c r="Y2660" t="s">
        <v>4770</v>
      </c>
      <c r="AF2660" t="s">
        <v>13</v>
      </c>
      <c r="AG2660" t="str">
        <f>HYPERLINK("https://doi.org/10.1515/9780748677108")</f>
        <v>https://doi.org/10.1515/9780748677108</v>
      </c>
      <c r="AH2660" t="str">
        <f>HYPERLINK("http://www.degruyter.com/isbn/9780748677108")</f>
        <v>http://www.degruyter.com/isbn/9780748677108</v>
      </c>
      <c r="AI2660" t="s">
        <v>68</v>
      </c>
      <c r="AL2660" t="s">
        <v>333</v>
      </c>
      <c r="AM2660">
        <v>1</v>
      </c>
      <c r="AN2660" s="2">
        <v>9780748641260</v>
      </c>
    </row>
    <row r="2661" spans="1:40" x14ac:dyDescent="0.3">
      <c r="A2661" t="s">
        <v>12600</v>
      </c>
      <c r="B2661" t="s">
        <v>1</v>
      </c>
      <c r="C2661" t="s">
        <v>12601</v>
      </c>
      <c r="D2661" t="s">
        <v>4112</v>
      </c>
      <c r="E2661" t="s">
        <v>12602</v>
      </c>
      <c r="F2661" t="s">
        <v>5</v>
      </c>
      <c r="G2661" t="s">
        <v>6</v>
      </c>
      <c r="L2661" t="s">
        <v>7</v>
      </c>
      <c r="M2661">
        <v>2019</v>
      </c>
      <c r="N2661" s="1">
        <v>44656</v>
      </c>
      <c r="O2661" t="s">
        <v>12603</v>
      </c>
      <c r="P2661">
        <v>1</v>
      </c>
      <c r="Q2661" t="s">
        <v>7449</v>
      </c>
      <c r="S2661">
        <v>253.95</v>
      </c>
      <c r="T2661">
        <v>290</v>
      </c>
      <c r="U2661">
        <v>220</v>
      </c>
      <c r="V2661" t="s">
        <v>79</v>
      </c>
      <c r="W2661" t="s">
        <v>123</v>
      </c>
      <c r="X2661" t="s">
        <v>123</v>
      </c>
      <c r="Y2661" t="s">
        <v>124</v>
      </c>
      <c r="AF2661" t="s">
        <v>13</v>
      </c>
      <c r="AG2661" t="str">
        <f>HYPERLINK("https://doi.org/10.1515/9781474420297")</f>
        <v>https://doi.org/10.1515/9781474420297</v>
      </c>
      <c r="AH2661" t="str">
        <f>HYPERLINK("http://www.degruyter.com/isbn/9781474420297")</f>
        <v>http://www.degruyter.com/isbn/9781474420297</v>
      </c>
      <c r="AI2661" t="s">
        <v>280</v>
      </c>
      <c r="AL2661" t="s">
        <v>83</v>
      </c>
      <c r="AM2661">
        <v>1</v>
      </c>
      <c r="AN2661" s="2">
        <v>9781474420211</v>
      </c>
    </row>
    <row r="2662" spans="1:40" x14ac:dyDescent="0.3">
      <c r="A2662" t="s">
        <v>12604</v>
      </c>
      <c r="B2662" t="s">
        <v>1</v>
      </c>
      <c r="C2662" t="s">
        <v>12605</v>
      </c>
      <c r="D2662" t="s">
        <v>12606</v>
      </c>
      <c r="E2662" t="s">
        <v>12607</v>
      </c>
      <c r="F2662" t="s">
        <v>5</v>
      </c>
      <c r="G2662" t="s">
        <v>6</v>
      </c>
      <c r="L2662" t="s">
        <v>7</v>
      </c>
      <c r="M2662">
        <v>2011</v>
      </c>
      <c r="N2662" s="1">
        <v>40570</v>
      </c>
      <c r="O2662" t="s">
        <v>12608</v>
      </c>
      <c r="P2662">
        <v>1</v>
      </c>
      <c r="Q2662" t="s">
        <v>6894</v>
      </c>
      <c r="S2662">
        <v>253.95</v>
      </c>
      <c r="T2662">
        <v>290</v>
      </c>
      <c r="U2662">
        <v>220</v>
      </c>
      <c r="V2662" t="s">
        <v>30</v>
      </c>
      <c r="W2662" t="s">
        <v>1629</v>
      </c>
      <c r="X2662" t="s">
        <v>12609</v>
      </c>
      <c r="Y2662" t="s">
        <v>12610</v>
      </c>
      <c r="AF2662" t="s">
        <v>13</v>
      </c>
      <c r="AG2662" t="str">
        <f>HYPERLINK("https://doi.org/10.1515/9780748644865")</f>
        <v>https://doi.org/10.1515/9780748644865</v>
      </c>
      <c r="AH2662" t="str">
        <f>HYPERLINK("http://www.degruyter.com/isbn/9780748644865")</f>
        <v>http://www.degruyter.com/isbn/9780748644865</v>
      </c>
      <c r="AI2662" t="s">
        <v>68</v>
      </c>
      <c r="AL2662" t="s">
        <v>272</v>
      </c>
      <c r="AM2662">
        <v>1</v>
      </c>
      <c r="AN2662" s="2">
        <v>9780748639953</v>
      </c>
    </row>
    <row r="2663" spans="1:40" x14ac:dyDescent="0.3">
      <c r="A2663" t="s">
        <v>12611</v>
      </c>
      <c r="B2663" t="s">
        <v>1</v>
      </c>
      <c r="C2663" t="s">
        <v>12612</v>
      </c>
      <c r="E2663" t="s">
        <v>12613</v>
      </c>
      <c r="F2663" t="s">
        <v>5</v>
      </c>
      <c r="G2663" t="s">
        <v>6</v>
      </c>
      <c r="L2663" t="s">
        <v>7</v>
      </c>
      <c r="M2663">
        <v>2010</v>
      </c>
      <c r="N2663" s="1">
        <v>40463</v>
      </c>
      <c r="O2663" t="s">
        <v>12614</v>
      </c>
      <c r="P2663">
        <v>1</v>
      </c>
      <c r="Q2663" t="s">
        <v>8412</v>
      </c>
      <c r="S2663">
        <v>191.95</v>
      </c>
      <c r="T2663">
        <v>220</v>
      </c>
      <c r="U2663">
        <v>170</v>
      </c>
      <c r="V2663" t="s">
        <v>42</v>
      </c>
      <c r="W2663" t="s">
        <v>43</v>
      </c>
      <c r="X2663" t="s">
        <v>178</v>
      </c>
      <c r="Y2663" t="s">
        <v>1745</v>
      </c>
      <c r="AF2663" t="s">
        <v>13</v>
      </c>
      <c r="AG2663" t="str">
        <f>HYPERLINK("https://doi.org/10.1515/9780748634668")</f>
        <v>https://doi.org/10.1515/9780748634668</v>
      </c>
      <c r="AH2663" t="str">
        <f>HYPERLINK("http://www.degruyter.com/isbn/9780748634668")</f>
        <v>http://www.degruyter.com/isbn/9780748634668</v>
      </c>
      <c r="AI2663" t="s">
        <v>68</v>
      </c>
      <c r="AL2663" t="s">
        <v>47</v>
      </c>
      <c r="AM2663">
        <v>1</v>
      </c>
      <c r="AN2663" s="2">
        <v>9780748634644</v>
      </c>
    </row>
    <row r="2664" spans="1:40" x14ac:dyDescent="0.3">
      <c r="A2664" t="s">
        <v>12615</v>
      </c>
      <c r="B2664" t="s">
        <v>1</v>
      </c>
      <c r="C2664" t="s">
        <v>12616</v>
      </c>
      <c r="D2664" t="s">
        <v>12617</v>
      </c>
      <c r="E2664" t="s">
        <v>12618</v>
      </c>
      <c r="F2664" t="s">
        <v>5</v>
      </c>
      <c r="G2664" t="s">
        <v>6</v>
      </c>
      <c r="L2664" t="s">
        <v>7</v>
      </c>
      <c r="M2664">
        <v>2021</v>
      </c>
      <c r="N2664" s="1">
        <v>44644</v>
      </c>
      <c r="O2664" t="s">
        <v>12619</v>
      </c>
      <c r="P2664">
        <v>1</v>
      </c>
      <c r="Q2664" t="s">
        <v>7164</v>
      </c>
      <c r="S2664">
        <v>227.95</v>
      </c>
      <c r="T2664">
        <v>260</v>
      </c>
      <c r="U2664">
        <v>200</v>
      </c>
      <c r="V2664" t="s">
        <v>58</v>
      </c>
      <c r="W2664" t="s">
        <v>59</v>
      </c>
      <c r="X2664" t="s">
        <v>60</v>
      </c>
      <c r="Y2664" t="s">
        <v>12620</v>
      </c>
      <c r="AF2664" t="s">
        <v>13</v>
      </c>
      <c r="AG2664" t="str">
        <f>HYPERLINK("https://doi.org/10.1515/9781474475549")</f>
        <v>https://doi.org/10.1515/9781474475549</v>
      </c>
      <c r="AH2664" t="str">
        <f>HYPERLINK("http://www.degruyter.com/isbn/9781474475549")</f>
        <v>http://www.degruyter.com/isbn/9781474475549</v>
      </c>
      <c r="AI2664" t="s">
        <v>478</v>
      </c>
      <c r="AL2664" t="s">
        <v>62</v>
      </c>
      <c r="AM2664">
        <v>1</v>
      </c>
      <c r="AN2664" s="2">
        <v>9781474475525</v>
      </c>
    </row>
    <row r="2665" spans="1:40" x14ac:dyDescent="0.3">
      <c r="A2665" t="s">
        <v>12621</v>
      </c>
      <c r="B2665" t="s">
        <v>1</v>
      </c>
      <c r="C2665" t="s">
        <v>12622</v>
      </c>
      <c r="D2665" t="s">
        <v>12623</v>
      </c>
      <c r="E2665" t="s">
        <v>12624</v>
      </c>
      <c r="F2665" t="s">
        <v>5</v>
      </c>
      <c r="G2665" t="s">
        <v>6</v>
      </c>
      <c r="L2665" t="s">
        <v>7</v>
      </c>
      <c r="M2665">
        <v>2013</v>
      </c>
      <c r="N2665" s="1">
        <v>41347</v>
      </c>
      <c r="O2665" t="s">
        <v>12625</v>
      </c>
      <c r="P2665">
        <v>1</v>
      </c>
      <c r="Q2665" t="s">
        <v>6539</v>
      </c>
      <c r="S2665">
        <v>217.95</v>
      </c>
      <c r="T2665">
        <v>250</v>
      </c>
      <c r="U2665">
        <v>190</v>
      </c>
      <c r="V2665" t="s">
        <v>42</v>
      </c>
      <c r="W2665" t="s">
        <v>290</v>
      </c>
      <c r="X2665" t="s">
        <v>290</v>
      </c>
      <c r="Y2665" t="s">
        <v>291</v>
      </c>
      <c r="AF2665" t="s">
        <v>13</v>
      </c>
      <c r="AG2665" t="str">
        <f>HYPERLINK("https://doi.org/10.1515/9780748681617?locatt=mode:legacy")</f>
        <v>https://doi.org/10.1515/9780748681617?locatt=mode:legacy</v>
      </c>
      <c r="AH2665" t="str">
        <f>HYPERLINK("http://www.degruyter.com/isbn/9780748681617")</f>
        <v>http://www.degruyter.com/isbn/9780748681617</v>
      </c>
      <c r="AI2665" t="s">
        <v>68</v>
      </c>
      <c r="AL2665" t="s">
        <v>47</v>
      </c>
      <c r="AM2665">
        <v>1</v>
      </c>
      <c r="AN2665" s="2">
        <v>9780748640652</v>
      </c>
    </row>
    <row r="2666" spans="1:40" x14ac:dyDescent="0.3">
      <c r="A2666" t="s">
        <v>12626</v>
      </c>
      <c r="B2666" t="s">
        <v>1</v>
      </c>
      <c r="C2666" t="s">
        <v>12627</v>
      </c>
      <c r="E2666" t="s">
        <v>12628</v>
      </c>
      <c r="F2666" t="s">
        <v>5</v>
      </c>
      <c r="G2666" t="s">
        <v>6</v>
      </c>
      <c r="L2666" t="s">
        <v>7</v>
      </c>
      <c r="M2666">
        <v>2021</v>
      </c>
      <c r="N2666" s="1">
        <v>44644</v>
      </c>
      <c r="O2666" t="s">
        <v>12629</v>
      </c>
      <c r="P2666">
        <v>1</v>
      </c>
      <c r="Q2666" t="s">
        <v>12630</v>
      </c>
      <c r="S2666">
        <v>227.95</v>
      </c>
      <c r="T2666">
        <v>260</v>
      </c>
      <c r="U2666">
        <v>200</v>
      </c>
      <c r="V2666" t="s">
        <v>329</v>
      </c>
      <c r="W2666" t="s">
        <v>330</v>
      </c>
      <c r="X2666" t="s">
        <v>331</v>
      </c>
      <c r="Y2666" t="s">
        <v>332</v>
      </c>
      <c r="AF2666" t="s">
        <v>13</v>
      </c>
      <c r="AG2666" t="str">
        <f>HYPERLINK("https://doi.org/10.1515/9781474487238")</f>
        <v>https://doi.org/10.1515/9781474487238</v>
      </c>
      <c r="AH2666" t="str">
        <f>HYPERLINK("http://www.degruyter.com/isbn/9781474487238")</f>
        <v>http://www.degruyter.com/isbn/9781474487238</v>
      </c>
      <c r="AI2666" t="s">
        <v>9679</v>
      </c>
      <c r="AL2666" t="s">
        <v>333</v>
      </c>
      <c r="AM2666">
        <v>1</v>
      </c>
      <c r="AN2666" s="2">
        <v>9781474487214</v>
      </c>
    </row>
    <row r="2667" spans="1:40" x14ac:dyDescent="0.3">
      <c r="A2667" t="s">
        <v>12631</v>
      </c>
      <c r="B2667" t="s">
        <v>1</v>
      </c>
      <c r="C2667" t="s">
        <v>12632</v>
      </c>
      <c r="D2667" t="s">
        <v>12633</v>
      </c>
      <c r="E2667" t="s">
        <v>12634</v>
      </c>
      <c r="F2667" t="s">
        <v>5</v>
      </c>
      <c r="G2667" t="s">
        <v>6</v>
      </c>
      <c r="L2667" t="s">
        <v>7</v>
      </c>
      <c r="M2667">
        <v>2015</v>
      </c>
      <c r="N2667" s="1">
        <v>42268</v>
      </c>
      <c r="O2667" t="s">
        <v>12635</v>
      </c>
      <c r="P2667">
        <v>1</v>
      </c>
      <c r="Q2667" t="s">
        <v>6785</v>
      </c>
      <c r="S2667">
        <v>243.95</v>
      </c>
      <c r="T2667">
        <v>280</v>
      </c>
      <c r="U2667">
        <v>210</v>
      </c>
      <c r="V2667" t="s">
        <v>79</v>
      </c>
      <c r="W2667" t="s">
        <v>123</v>
      </c>
      <c r="X2667" t="s">
        <v>123</v>
      </c>
      <c r="Y2667" t="s">
        <v>124</v>
      </c>
      <c r="AF2667" t="s">
        <v>13</v>
      </c>
      <c r="AG2667" t="str">
        <f>HYPERLINK("https://doi.org/10.1515/9780748699001")</f>
        <v>https://doi.org/10.1515/9780748699001</v>
      </c>
      <c r="AH2667" t="str">
        <f>HYPERLINK("http://www.degruyter.com/isbn/9780748699001")</f>
        <v>http://www.degruyter.com/isbn/9780748699001</v>
      </c>
      <c r="AI2667" t="s">
        <v>34</v>
      </c>
      <c r="AL2667" t="s">
        <v>83</v>
      </c>
      <c r="AM2667">
        <v>1</v>
      </c>
      <c r="AN2667" s="2">
        <v>9780748698998</v>
      </c>
    </row>
    <row r="2668" spans="1:40" x14ac:dyDescent="0.3">
      <c r="A2668" t="s">
        <v>12636</v>
      </c>
      <c r="B2668" t="s">
        <v>1</v>
      </c>
      <c r="C2668" t="s">
        <v>12637</v>
      </c>
      <c r="E2668" t="s">
        <v>12638</v>
      </c>
      <c r="F2668" t="s">
        <v>5</v>
      </c>
      <c r="G2668" t="s">
        <v>6</v>
      </c>
      <c r="L2668" t="s">
        <v>7</v>
      </c>
      <c r="M2668">
        <v>2017</v>
      </c>
      <c r="N2668" s="1">
        <v>42963</v>
      </c>
      <c r="O2668" t="s">
        <v>12639</v>
      </c>
      <c r="P2668">
        <v>1</v>
      </c>
      <c r="Q2668" t="s">
        <v>8750</v>
      </c>
      <c r="S2668">
        <v>217.95</v>
      </c>
      <c r="T2668">
        <v>250</v>
      </c>
      <c r="U2668">
        <v>190</v>
      </c>
      <c r="V2668" t="s">
        <v>42</v>
      </c>
      <c r="W2668" t="s">
        <v>161</v>
      </c>
      <c r="X2668" t="s">
        <v>12640</v>
      </c>
      <c r="Y2668" t="s">
        <v>12641</v>
      </c>
      <c r="AF2668" t="s">
        <v>13</v>
      </c>
      <c r="AG2668" t="str">
        <f>HYPERLINK("https://doi.org/10.1515/9781474426152?locatt=mode:legacy")</f>
        <v>https://doi.org/10.1515/9781474426152?locatt=mode:legacy</v>
      </c>
      <c r="AH2668" t="str">
        <f>HYPERLINK("http://www.degruyter.com/isbn/9781474426152")</f>
        <v>http://www.degruyter.com/isbn/9781474426152</v>
      </c>
      <c r="AI2668" t="s">
        <v>222</v>
      </c>
      <c r="AL2668" t="s">
        <v>47</v>
      </c>
      <c r="AM2668">
        <v>1</v>
      </c>
      <c r="AN2668" s="2">
        <v>9781474426138</v>
      </c>
    </row>
    <row r="2669" spans="1:40" x14ac:dyDescent="0.3">
      <c r="A2669" t="s">
        <v>12642</v>
      </c>
      <c r="B2669" t="s">
        <v>1</v>
      </c>
      <c r="C2669" t="s">
        <v>12643</v>
      </c>
      <c r="D2669" t="s">
        <v>12644</v>
      </c>
      <c r="E2669" t="s">
        <v>12645</v>
      </c>
      <c r="F2669" t="s">
        <v>5</v>
      </c>
      <c r="G2669" t="s">
        <v>6</v>
      </c>
      <c r="L2669" t="s">
        <v>7</v>
      </c>
      <c r="M2669">
        <v>2013</v>
      </c>
      <c r="N2669" s="1">
        <v>41432</v>
      </c>
      <c r="O2669" t="s">
        <v>12646</v>
      </c>
      <c r="P2669">
        <v>1</v>
      </c>
      <c r="Q2669" t="s">
        <v>7174</v>
      </c>
      <c r="S2669">
        <v>217.95</v>
      </c>
      <c r="T2669">
        <v>250</v>
      </c>
      <c r="U2669">
        <v>190</v>
      </c>
      <c r="V2669" t="s">
        <v>98</v>
      </c>
      <c r="W2669" t="s">
        <v>1513</v>
      </c>
      <c r="X2669" t="s">
        <v>1514</v>
      </c>
      <c r="Y2669" t="s">
        <v>1515</v>
      </c>
      <c r="AF2669" t="s">
        <v>13</v>
      </c>
      <c r="AG2669" t="str">
        <f>HYPERLINK("https://doi.org/10.1515/9780748681235?locatt=mode:legacy")</f>
        <v>https://doi.org/10.1515/9780748681235?locatt=mode:legacy</v>
      </c>
      <c r="AH2669" t="str">
        <f>HYPERLINK("http://www.degruyter.com/isbn/9780748681235")</f>
        <v>http://www.degruyter.com/isbn/9780748681235</v>
      </c>
      <c r="AI2669" t="s">
        <v>68</v>
      </c>
      <c r="AL2669" t="s">
        <v>102</v>
      </c>
      <c r="AM2669">
        <v>1</v>
      </c>
      <c r="AN2669" s="2">
        <v>9780748681228</v>
      </c>
    </row>
    <row r="2670" spans="1:40" x14ac:dyDescent="0.3">
      <c r="A2670" t="s">
        <v>12647</v>
      </c>
      <c r="B2670" t="s">
        <v>1</v>
      </c>
      <c r="C2670" t="s">
        <v>12648</v>
      </c>
      <c r="E2670" t="s">
        <v>12649</v>
      </c>
      <c r="F2670" t="s">
        <v>5</v>
      </c>
      <c r="G2670" t="s">
        <v>6</v>
      </c>
      <c r="L2670" t="s">
        <v>7</v>
      </c>
      <c r="M2670">
        <v>2015</v>
      </c>
      <c r="N2670" s="1">
        <v>42307</v>
      </c>
      <c r="O2670" t="s">
        <v>12650</v>
      </c>
      <c r="P2670">
        <v>1</v>
      </c>
      <c r="Q2670" t="s">
        <v>7095</v>
      </c>
      <c r="S2670">
        <v>253.95</v>
      </c>
      <c r="T2670">
        <v>290</v>
      </c>
      <c r="U2670">
        <v>220</v>
      </c>
      <c r="V2670" t="s">
        <v>268</v>
      </c>
      <c r="W2670" t="s">
        <v>269</v>
      </c>
      <c r="X2670" t="s">
        <v>269</v>
      </c>
      <c r="Y2670" t="s">
        <v>360</v>
      </c>
      <c r="AF2670" t="s">
        <v>13</v>
      </c>
      <c r="AG2670" t="str">
        <f>HYPERLINK("https://doi.org/10.1515/9780748697922")</f>
        <v>https://doi.org/10.1515/9780748697922</v>
      </c>
      <c r="AH2670" t="str">
        <f>HYPERLINK("http://www.degruyter.com/isbn/9780748697922")</f>
        <v>http://www.degruyter.com/isbn/9780748697922</v>
      </c>
      <c r="AI2670" t="s">
        <v>3740</v>
      </c>
      <c r="AL2670" t="s">
        <v>272</v>
      </c>
      <c r="AM2670">
        <v>1</v>
      </c>
      <c r="AN2670" s="2">
        <v>9780748697908</v>
      </c>
    </row>
    <row r="2671" spans="1:40" x14ac:dyDescent="0.3">
      <c r="A2671" t="s">
        <v>12651</v>
      </c>
      <c r="B2671" t="s">
        <v>1</v>
      </c>
      <c r="C2671" t="s">
        <v>12652</v>
      </c>
      <c r="D2671" t="s">
        <v>12653</v>
      </c>
      <c r="E2671" t="s">
        <v>12654</v>
      </c>
      <c r="F2671" t="s">
        <v>5</v>
      </c>
      <c r="G2671" t="s">
        <v>6</v>
      </c>
      <c r="L2671" t="s">
        <v>7</v>
      </c>
      <c r="M2671">
        <v>2003</v>
      </c>
      <c r="N2671" s="1">
        <v>37826</v>
      </c>
      <c r="O2671" t="s">
        <v>12655</v>
      </c>
      <c r="P2671">
        <v>1</v>
      </c>
      <c r="Q2671" t="s">
        <v>7973</v>
      </c>
      <c r="S2671">
        <v>331.95</v>
      </c>
      <c r="T2671">
        <v>380</v>
      </c>
      <c r="U2671">
        <v>290</v>
      </c>
      <c r="V2671" t="s">
        <v>329</v>
      </c>
      <c r="W2671" t="s">
        <v>330</v>
      </c>
      <c r="X2671" t="s">
        <v>331</v>
      </c>
      <c r="Y2671" t="s">
        <v>4770</v>
      </c>
      <c r="AF2671" t="s">
        <v>13</v>
      </c>
      <c r="AG2671" t="str">
        <f>HYPERLINK("https://doi.org/10.1515/9781474469937")</f>
        <v>https://doi.org/10.1515/9781474469937</v>
      </c>
      <c r="AH2671" t="str">
        <f>HYPERLINK("http://www.degruyter.com/isbn/9781474469937")</f>
        <v>http://www.degruyter.com/isbn/9781474469937</v>
      </c>
      <c r="AI2671" t="s">
        <v>68</v>
      </c>
      <c r="AL2671" t="s">
        <v>333</v>
      </c>
      <c r="AM2671">
        <v>1</v>
      </c>
      <c r="AN2671" s="2">
        <v>9780748616039</v>
      </c>
    </row>
    <row r="2672" spans="1:40" x14ac:dyDescent="0.3">
      <c r="A2672" t="s">
        <v>12656</v>
      </c>
      <c r="B2672" t="s">
        <v>1</v>
      </c>
      <c r="C2672" t="s">
        <v>12657</v>
      </c>
      <c r="D2672" t="s">
        <v>12658</v>
      </c>
      <c r="E2672" t="s">
        <v>12659</v>
      </c>
      <c r="F2672" t="s">
        <v>5</v>
      </c>
      <c r="G2672" t="s">
        <v>6</v>
      </c>
      <c r="L2672" t="s">
        <v>7</v>
      </c>
      <c r="M2672">
        <v>2018</v>
      </c>
      <c r="N2672" s="1">
        <v>44656</v>
      </c>
      <c r="O2672" t="s">
        <v>12660</v>
      </c>
      <c r="P2672">
        <v>1</v>
      </c>
      <c r="Q2672" t="s">
        <v>7863</v>
      </c>
      <c r="S2672">
        <v>227.95</v>
      </c>
      <c r="T2672">
        <v>260</v>
      </c>
      <c r="U2672">
        <v>200</v>
      </c>
      <c r="V2672" t="s">
        <v>42</v>
      </c>
      <c r="W2672" t="s">
        <v>107</v>
      </c>
      <c r="X2672" t="s">
        <v>108</v>
      </c>
      <c r="Y2672" t="s">
        <v>109</v>
      </c>
      <c r="AF2672" t="s">
        <v>13</v>
      </c>
      <c r="AG2672" t="str">
        <f>HYPERLINK("https://doi.org/10.1515/9781474440622?locatt=mode:legacy")</f>
        <v>https://doi.org/10.1515/9781474440622?locatt=mode:legacy</v>
      </c>
      <c r="AH2672" t="str">
        <f>HYPERLINK("http://www.degruyter.com/isbn/9781474440622")</f>
        <v>http://www.degruyter.com/isbn/9781474440622</v>
      </c>
      <c r="AI2672" t="s">
        <v>46</v>
      </c>
      <c r="AL2672" t="s">
        <v>47</v>
      </c>
      <c r="AM2672">
        <v>1</v>
      </c>
      <c r="AN2672" s="2">
        <v>9781474440608</v>
      </c>
    </row>
    <row r="2673" spans="1:40" x14ac:dyDescent="0.3">
      <c r="A2673" t="s">
        <v>12661</v>
      </c>
      <c r="B2673" t="s">
        <v>1</v>
      </c>
      <c r="C2673" t="s">
        <v>12662</v>
      </c>
      <c r="E2673" t="s">
        <v>12663</v>
      </c>
      <c r="F2673" t="s">
        <v>5</v>
      </c>
      <c r="G2673" t="s">
        <v>6</v>
      </c>
      <c r="L2673" t="s">
        <v>7</v>
      </c>
      <c r="M2673">
        <v>2017</v>
      </c>
      <c r="N2673" s="1">
        <v>42787</v>
      </c>
      <c r="O2673" t="s">
        <v>12664</v>
      </c>
      <c r="P2673">
        <v>1</v>
      </c>
      <c r="Q2673" t="s">
        <v>8558</v>
      </c>
      <c r="S2673">
        <v>243.95</v>
      </c>
      <c r="T2673">
        <v>280</v>
      </c>
      <c r="U2673">
        <v>210</v>
      </c>
      <c r="V2673" t="s">
        <v>20</v>
      </c>
      <c r="W2673" t="s">
        <v>21</v>
      </c>
      <c r="X2673" t="s">
        <v>3919</v>
      </c>
      <c r="Y2673" t="s">
        <v>4359</v>
      </c>
      <c r="AF2673" t="s">
        <v>13</v>
      </c>
      <c r="AG2673" t="str">
        <f>HYPERLINK("https://doi.org/10.1515/9781474421515")</f>
        <v>https://doi.org/10.1515/9781474421515</v>
      </c>
      <c r="AH2673" t="str">
        <f>HYPERLINK("http://www.degruyter.com/isbn/9781474421515")</f>
        <v>http://www.degruyter.com/isbn/9781474421515</v>
      </c>
      <c r="AI2673" t="s">
        <v>222</v>
      </c>
      <c r="AL2673" t="s">
        <v>15</v>
      </c>
      <c r="AM2673">
        <v>1</v>
      </c>
      <c r="AN2673" s="2">
        <v>9780748640775</v>
      </c>
    </row>
    <row r="2674" spans="1:40" x14ac:dyDescent="0.3">
      <c r="A2674" t="s">
        <v>12665</v>
      </c>
      <c r="B2674" t="s">
        <v>1</v>
      </c>
      <c r="C2674" t="s">
        <v>12666</v>
      </c>
      <c r="E2674" t="s">
        <v>12667</v>
      </c>
      <c r="F2674" t="s">
        <v>5</v>
      </c>
      <c r="G2674" t="s">
        <v>6</v>
      </c>
      <c r="L2674" t="s">
        <v>7</v>
      </c>
      <c r="M2674">
        <v>2000</v>
      </c>
      <c r="N2674" s="1">
        <v>44607</v>
      </c>
      <c r="O2674" t="s">
        <v>1578</v>
      </c>
      <c r="P2674">
        <v>1</v>
      </c>
      <c r="Q2674" t="s">
        <v>6815</v>
      </c>
      <c r="S2674">
        <v>217.95</v>
      </c>
      <c r="T2674">
        <v>250</v>
      </c>
      <c r="U2674">
        <v>190</v>
      </c>
      <c r="V2674" t="s">
        <v>20</v>
      </c>
      <c r="W2674" t="s">
        <v>21</v>
      </c>
      <c r="X2674" t="s">
        <v>3445</v>
      </c>
      <c r="Y2674" t="s">
        <v>3932</v>
      </c>
      <c r="AF2674" t="s">
        <v>13</v>
      </c>
      <c r="AG2674" t="str">
        <f>HYPERLINK("https://doi.org/10.1515/9781474465618")</f>
        <v>https://doi.org/10.1515/9781474465618</v>
      </c>
      <c r="AH2674" t="str">
        <f>HYPERLINK("http://www.degruyter.com/isbn/9781474465618")</f>
        <v>http://www.degruyter.com/isbn/9781474465618</v>
      </c>
      <c r="AI2674" t="s">
        <v>68</v>
      </c>
      <c r="AL2674" t="s">
        <v>15</v>
      </c>
      <c r="AM2674">
        <v>1</v>
      </c>
      <c r="AN2674" s="2">
        <v>9780748611768</v>
      </c>
    </row>
    <row r="2675" spans="1:40" x14ac:dyDescent="0.3">
      <c r="A2675" t="s">
        <v>12668</v>
      </c>
      <c r="B2675" t="s">
        <v>1</v>
      </c>
      <c r="C2675" t="s">
        <v>12669</v>
      </c>
      <c r="D2675" t="s">
        <v>12670</v>
      </c>
      <c r="E2675" t="s">
        <v>12671</v>
      </c>
      <c r="F2675" t="s">
        <v>5</v>
      </c>
      <c r="G2675" t="s">
        <v>6</v>
      </c>
      <c r="L2675" t="s">
        <v>7</v>
      </c>
      <c r="M2675">
        <v>2019</v>
      </c>
      <c r="N2675" s="1">
        <v>44644</v>
      </c>
      <c r="O2675" t="s">
        <v>12672</v>
      </c>
      <c r="P2675">
        <v>1</v>
      </c>
      <c r="Q2675" t="s">
        <v>8859</v>
      </c>
      <c r="S2675">
        <v>217.95</v>
      </c>
      <c r="T2675">
        <v>250</v>
      </c>
      <c r="U2675">
        <v>190</v>
      </c>
      <c r="V2675" t="s">
        <v>58</v>
      </c>
      <c r="W2675" t="s">
        <v>59</v>
      </c>
      <c r="X2675" t="s">
        <v>278</v>
      </c>
      <c r="Y2675" t="s">
        <v>932</v>
      </c>
      <c r="AF2675" t="s">
        <v>13</v>
      </c>
      <c r="AG2675" t="str">
        <f>HYPERLINK("https://doi.org/10.1515/9781474421096")</f>
        <v>https://doi.org/10.1515/9781474421096</v>
      </c>
      <c r="AH2675" t="str">
        <f>HYPERLINK("http://www.degruyter.com/isbn/9781474421096")</f>
        <v>http://www.degruyter.com/isbn/9781474421096</v>
      </c>
      <c r="AI2675" t="s">
        <v>280</v>
      </c>
      <c r="AL2675" t="s">
        <v>62</v>
      </c>
      <c r="AM2675">
        <v>1</v>
      </c>
      <c r="AN2675" s="2">
        <v>9781474421089</v>
      </c>
    </row>
    <row r="2676" spans="1:40" x14ac:dyDescent="0.3">
      <c r="A2676" t="s">
        <v>12673</v>
      </c>
      <c r="B2676" t="s">
        <v>1</v>
      </c>
      <c r="C2676" t="s">
        <v>12674</v>
      </c>
      <c r="D2676" t="s">
        <v>12675</v>
      </c>
      <c r="E2676" t="s">
        <v>12676</v>
      </c>
      <c r="F2676" t="s">
        <v>5</v>
      </c>
      <c r="G2676" t="s">
        <v>6</v>
      </c>
      <c r="L2676" t="s">
        <v>7</v>
      </c>
      <c r="M2676">
        <v>2014</v>
      </c>
      <c r="N2676" s="1">
        <v>41715</v>
      </c>
      <c r="O2676" t="s">
        <v>12677</v>
      </c>
      <c r="P2676">
        <v>1</v>
      </c>
      <c r="Q2676" t="s">
        <v>8702</v>
      </c>
      <c r="S2676">
        <v>253.95</v>
      </c>
      <c r="T2676">
        <v>290</v>
      </c>
      <c r="U2676">
        <v>220</v>
      </c>
      <c r="V2676" t="s">
        <v>79</v>
      </c>
      <c r="W2676" t="s">
        <v>209</v>
      </c>
      <c r="X2676" t="s">
        <v>209</v>
      </c>
      <c r="Y2676" t="s">
        <v>510</v>
      </c>
      <c r="AF2676" t="s">
        <v>13</v>
      </c>
      <c r="AG2676" t="str">
        <f>HYPERLINK("https://doi.org/10.1515/9780748673308")</f>
        <v>https://doi.org/10.1515/9780748673308</v>
      </c>
      <c r="AH2676" t="str">
        <f>HYPERLINK("http://www.degruyter.com/isbn/9780748673308")</f>
        <v>http://www.degruyter.com/isbn/9780748673308</v>
      </c>
      <c r="AI2676" t="s">
        <v>1247</v>
      </c>
      <c r="AL2676" t="s">
        <v>83</v>
      </c>
      <c r="AM2676">
        <v>1</v>
      </c>
      <c r="AN2676" s="2">
        <v>9780748673285</v>
      </c>
    </row>
    <row r="2677" spans="1:40" x14ac:dyDescent="0.3">
      <c r="A2677" t="s">
        <v>12678</v>
      </c>
      <c r="B2677" t="s">
        <v>1</v>
      </c>
      <c r="C2677" t="s">
        <v>12679</v>
      </c>
      <c r="E2677" t="s">
        <v>12680</v>
      </c>
      <c r="F2677" t="s">
        <v>5</v>
      </c>
      <c r="G2677" t="s">
        <v>6</v>
      </c>
      <c r="L2677" t="s">
        <v>7</v>
      </c>
      <c r="M2677">
        <v>2015</v>
      </c>
      <c r="N2677" s="1">
        <v>42018</v>
      </c>
      <c r="O2677" t="s">
        <v>12681</v>
      </c>
      <c r="P2677">
        <v>1</v>
      </c>
      <c r="Q2677" t="s">
        <v>6797</v>
      </c>
      <c r="S2677">
        <v>417.95</v>
      </c>
      <c r="T2677">
        <v>480</v>
      </c>
      <c r="U2677">
        <v>370</v>
      </c>
      <c r="V2677" t="s">
        <v>79</v>
      </c>
      <c r="W2677" t="s">
        <v>209</v>
      </c>
      <c r="X2677" t="s">
        <v>209</v>
      </c>
      <c r="Y2677" t="s">
        <v>510</v>
      </c>
      <c r="AF2677" t="s">
        <v>13</v>
      </c>
      <c r="AG2677" t="str">
        <f>HYPERLINK("https://doi.org/10.1515/9780748696659")</f>
        <v>https://doi.org/10.1515/9780748696659</v>
      </c>
      <c r="AH2677" t="str">
        <f>HYPERLINK("http://www.degruyter.com/isbn/9780748696659")</f>
        <v>http://www.degruyter.com/isbn/9780748696659</v>
      </c>
      <c r="AI2677" t="s">
        <v>34</v>
      </c>
      <c r="AL2677" t="s">
        <v>83</v>
      </c>
      <c r="AM2677">
        <v>1</v>
      </c>
      <c r="AN2677" s="2">
        <v>9780748639243</v>
      </c>
    </row>
    <row r="2678" spans="1:40" x14ac:dyDescent="0.3">
      <c r="A2678" t="s">
        <v>12682</v>
      </c>
      <c r="B2678" t="s">
        <v>1</v>
      </c>
      <c r="C2678" t="s">
        <v>12683</v>
      </c>
      <c r="D2678" t="s">
        <v>12684</v>
      </c>
      <c r="E2678" t="s">
        <v>12685</v>
      </c>
      <c r="F2678" t="s">
        <v>5</v>
      </c>
      <c r="G2678" t="s">
        <v>6</v>
      </c>
      <c r="L2678" t="s">
        <v>7</v>
      </c>
      <c r="M2678">
        <v>2021</v>
      </c>
      <c r="N2678" s="1">
        <v>44644</v>
      </c>
      <c r="O2678" t="s">
        <v>1770</v>
      </c>
      <c r="P2678">
        <v>1</v>
      </c>
      <c r="Q2678" t="s">
        <v>9122</v>
      </c>
      <c r="S2678">
        <v>253.95</v>
      </c>
      <c r="T2678">
        <v>290</v>
      </c>
      <c r="U2678">
        <v>220</v>
      </c>
      <c r="V2678" t="s">
        <v>305</v>
      </c>
      <c r="W2678" t="s">
        <v>306</v>
      </c>
      <c r="X2678" t="s">
        <v>306</v>
      </c>
      <c r="Y2678" t="s">
        <v>12686</v>
      </c>
      <c r="AF2678" t="s">
        <v>13</v>
      </c>
      <c r="AG2678" t="str">
        <f>HYPERLINK("https://doi.org/10.1515/9781474434300")</f>
        <v>https://doi.org/10.1515/9781474434300</v>
      </c>
      <c r="AH2678" t="str">
        <f>HYPERLINK("http://www.degruyter.com/isbn/9781474434300")</f>
        <v>http://www.degruyter.com/isbn/9781474434300</v>
      </c>
      <c r="AI2678" t="s">
        <v>851</v>
      </c>
      <c r="AJ2678" t="s">
        <v>35</v>
      </c>
      <c r="AL2678" t="s">
        <v>1773</v>
      </c>
      <c r="AM2678">
        <v>1</v>
      </c>
      <c r="AN2678" s="2">
        <v>9781474434294</v>
      </c>
    </row>
    <row r="2679" spans="1:40" x14ac:dyDescent="0.3">
      <c r="A2679" t="s">
        <v>12687</v>
      </c>
      <c r="B2679" t="s">
        <v>1</v>
      </c>
      <c r="C2679" t="s">
        <v>12688</v>
      </c>
      <c r="E2679" t="s">
        <v>12689</v>
      </c>
      <c r="F2679" t="s">
        <v>5</v>
      </c>
      <c r="G2679" t="s">
        <v>6</v>
      </c>
      <c r="L2679" t="s">
        <v>7</v>
      </c>
      <c r="M2679">
        <v>2018</v>
      </c>
      <c r="N2679" s="1">
        <v>44644</v>
      </c>
      <c r="O2679" t="s">
        <v>12690</v>
      </c>
      <c r="P2679">
        <v>1</v>
      </c>
      <c r="Q2679" t="s">
        <v>6729</v>
      </c>
      <c r="S2679">
        <v>217.95</v>
      </c>
      <c r="T2679">
        <v>250</v>
      </c>
      <c r="U2679">
        <v>190</v>
      </c>
      <c r="V2679" t="s">
        <v>79</v>
      </c>
      <c r="W2679" t="s">
        <v>783</v>
      </c>
      <c r="X2679" t="s">
        <v>783</v>
      </c>
      <c r="Y2679" t="s">
        <v>12691</v>
      </c>
      <c r="AF2679" t="s">
        <v>13</v>
      </c>
      <c r="AG2679" t="str">
        <f>HYPERLINK("https://doi.org/10.1515/9781474435550?locatt=mode:legacy")</f>
        <v>https://doi.org/10.1515/9781474435550?locatt=mode:legacy</v>
      </c>
      <c r="AH2679" t="str">
        <f>HYPERLINK("http://www.degruyter.com/isbn/9781474435550")</f>
        <v>http://www.degruyter.com/isbn/9781474435550</v>
      </c>
      <c r="AI2679" t="s">
        <v>46</v>
      </c>
      <c r="AL2679" t="s">
        <v>83</v>
      </c>
      <c r="AM2679">
        <v>1</v>
      </c>
      <c r="AN2679" s="2">
        <v>9781474435536</v>
      </c>
    </row>
    <row r="2680" spans="1:40" x14ac:dyDescent="0.3">
      <c r="A2680" t="s">
        <v>12692</v>
      </c>
      <c r="B2680" t="s">
        <v>1</v>
      </c>
      <c r="C2680" t="s">
        <v>12693</v>
      </c>
      <c r="D2680" t="s">
        <v>12694</v>
      </c>
      <c r="E2680" t="s">
        <v>12695</v>
      </c>
      <c r="F2680" t="s">
        <v>5</v>
      </c>
      <c r="G2680" t="s">
        <v>6</v>
      </c>
      <c r="L2680" t="s">
        <v>7</v>
      </c>
      <c r="M2680">
        <v>2001</v>
      </c>
      <c r="N2680" s="1">
        <v>44719</v>
      </c>
      <c r="O2680" t="s">
        <v>12696</v>
      </c>
      <c r="P2680">
        <v>1</v>
      </c>
      <c r="Q2680" t="s">
        <v>6815</v>
      </c>
      <c r="S2680">
        <v>217.95</v>
      </c>
      <c r="T2680">
        <v>250</v>
      </c>
      <c r="U2680">
        <v>190</v>
      </c>
      <c r="V2680" t="s">
        <v>20</v>
      </c>
      <c r="W2680" t="s">
        <v>21</v>
      </c>
      <c r="X2680" t="s">
        <v>3445</v>
      </c>
      <c r="Y2680" t="s">
        <v>3446</v>
      </c>
      <c r="AF2680" t="s">
        <v>13</v>
      </c>
      <c r="AG2680" t="str">
        <f>HYPERLINK("https://doi.org/10.1515/9781474469043")</f>
        <v>https://doi.org/10.1515/9781474469043</v>
      </c>
      <c r="AH2680" t="str">
        <f>HYPERLINK("http://www.degruyter.com/isbn/9781474469043")</f>
        <v>http://www.degruyter.com/isbn/9781474469043</v>
      </c>
      <c r="AI2680" t="s">
        <v>68</v>
      </c>
      <c r="AL2680" t="s">
        <v>15</v>
      </c>
      <c r="AM2680">
        <v>1</v>
      </c>
      <c r="AN2680" s="2">
        <v>9781853312052</v>
      </c>
    </row>
    <row r="2681" spans="1:40" x14ac:dyDescent="0.3">
      <c r="A2681" t="s">
        <v>12697</v>
      </c>
      <c r="B2681" t="s">
        <v>1</v>
      </c>
      <c r="C2681" t="s">
        <v>12698</v>
      </c>
      <c r="E2681" t="s">
        <v>12699</v>
      </c>
      <c r="F2681" t="s">
        <v>5</v>
      </c>
      <c r="G2681" t="s">
        <v>6</v>
      </c>
      <c r="L2681" t="s">
        <v>7</v>
      </c>
      <c r="M2681">
        <v>2010</v>
      </c>
      <c r="N2681" s="1">
        <v>40268</v>
      </c>
      <c r="O2681" t="s">
        <v>12700</v>
      </c>
      <c r="P2681">
        <v>1</v>
      </c>
      <c r="Q2681" t="s">
        <v>7606</v>
      </c>
      <c r="S2681">
        <v>217.95</v>
      </c>
      <c r="T2681">
        <v>250</v>
      </c>
      <c r="U2681">
        <v>190</v>
      </c>
      <c r="V2681" t="s">
        <v>42</v>
      </c>
      <c r="W2681" t="s">
        <v>43</v>
      </c>
      <c r="X2681" t="s">
        <v>44</v>
      </c>
      <c r="Y2681" t="s">
        <v>45</v>
      </c>
      <c r="AF2681" t="s">
        <v>13</v>
      </c>
      <c r="AG2681" t="str">
        <f>HYPERLINK("https://doi.org/10.1515/9780748637478")</f>
        <v>https://doi.org/10.1515/9780748637478</v>
      </c>
      <c r="AH2681" t="str">
        <f>HYPERLINK("http://www.degruyter.com/isbn/9780748637478")</f>
        <v>http://www.degruyter.com/isbn/9780748637478</v>
      </c>
      <c r="AI2681" t="s">
        <v>3793</v>
      </c>
      <c r="AL2681" t="s">
        <v>47</v>
      </c>
      <c r="AM2681">
        <v>1</v>
      </c>
      <c r="AN2681" s="2">
        <v>9780748637454</v>
      </c>
    </row>
    <row r="2682" spans="1:40" x14ac:dyDescent="0.3">
      <c r="A2682" t="s">
        <v>12701</v>
      </c>
      <c r="B2682" t="s">
        <v>1</v>
      </c>
      <c r="C2682" t="s">
        <v>12702</v>
      </c>
      <c r="E2682" t="s">
        <v>12703</v>
      </c>
      <c r="F2682" t="s">
        <v>5</v>
      </c>
      <c r="G2682" t="s">
        <v>6</v>
      </c>
      <c r="L2682" t="s">
        <v>7</v>
      </c>
      <c r="M2682">
        <v>2010</v>
      </c>
      <c r="N2682" s="1">
        <v>40283</v>
      </c>
      <c r="O2682" t="s">
        <v>12704</v>
      </c>
      <c r="P2682">
        <v>1</v>
      </c>
      <c r="Q2682" t="s">
        <v>6418</v>
      </c>
      <c r="S2682">
        <v>253.95</v>
      </c>
      <c r="T2682">
        <v>290</v>
      </c>
      <c r="U2682">
        <v>220</v>
      </c>
      <c r="V2682" t="s">
        <v>79</v>
      </c>
      <c r="W2682" t="s">
        <v>209</v>
      </c>
      <c r="X2682" t="s">
        <v>209</v>
      </c>
      <c r="Y2682" t="s">
        <v>510</v>
      </c>
      <c r="AF2682" t="s">
        <v>13</v>
      </c>
      <c r="AG2682" t="str">
        <f>HYPERLINK("https://doi.org/10.1515/9780748637010")</f>
        <v>https://doi.org/10.1515/9780748637010</v>
      </c>
      <c r="AH2682" t="str">
        <f>HYPERLINK("http://www.degruyter.com/isbn/9780748637010")</f>
        <v>http://www.degruyter.com/isbn/9780748637010</v>
      </c>
      <c r="AI2682" t="s">
        <v>68</v>
      </c>
      <c r="AL2682" t="s">
        <v>83</v>
      </c>
      <c r="AM2682">
        <v>1</v>
      </c>
      <c r="AN2682" s="2">
        <v>9780748636990</v>
      </c>
    </row>
    <row r="2683" spans="1:40" x14ac:dyDescent="0.3">
      <c r="A2683" t="s">
        <v>12705</v>
      </c>
      <c r="B2683" t="s">
        <v>1</v>
      </c>
      <c r="C2683" t="s">
        <v>12706</v>
      </c>
      <c r="E2683" t="s">
        <v>12707</v>
      </c>
      <c r="F2683" t="s">
        <v>5</v>
      </c>
      <c r="G2683" t="s">
        <v>6</v>
      </c>
      <c r="L2683" t="s">
        <v>7</v>
      </c>
      <c r="M2683">
        <v>2006</v>
      </c>
      <c r="N2683" s="1">
        <v>38902</v>
      </c>
      <c r="O2683" t="s">
        <v>12708</v>
      </c>
      <c r="P2683">
        <v>1</v>
      </c>
      <c r="Q2683" t="s">
        <v>6929</v>
      </c>
      <c r="S2683">
        <v>217.95</v>
      </c>
      <c r="T2683">
        <v>250</v>
      </c>
      <c r="U2683">
        <v>190</v>
      </c>
      <c r="V2683" t="s">
        <v>20</v>
      </c>
      <c r="W2683" t="s">
        <v>21</v>
      </c>
      <c r="X2683" t="s">
        <v>3919</v>
      </c>
      <c r="Y2683" t="s">
        <v>4359</v>
      </c>
      <c r="AF2683" t="s">
        <v>13</v>
      </c>
      <c r="AG2683" t="str">
        <f>HYPERLINK("https://doi.org/10.1515/9780748626847")</f>
        <v>https://doi.org/10.1515/9780748626847</v>
      </c>
      <c r="AH2683" t="str">
        <f>HYPERLINK("http://www.degruyter.com/isbn/9780748626847")</f>
        <v>http://www.degruyter.com/isbn/9780748626847</v>
      </c>
      <c r="AI2683" t="s">
        <v>68</v>
      </c>
      <c r="AL2683" t="s">
        <v>15</v>
      </c>
      <c r="AM2683">
        <v>1</v>
      </c>
      <c r="AN2683" s="2">
        <v>9780748624010</v>
      </c>
    </row>
    <row r="2684" spans="1:40" x14ac:dyDescent="0.3">
      <c r="A2684" t="s">
        <v>12709</v>
      </c>
      <c r="B2684" t="s">
        <v>1</v>
      </c>
      <c r="C2684" t="s">
        <v>12710</v>
      </c>
      <c r="E2684" t="s">
        <v>12711</v>
      </c>
      <c r="F2684" t="s">
        <v>5</v>
      </c>
      <c r="G2684" t="s">
        <v>6</v>
      </c>
      <c r="L2684" t="s">
        <v>7</v>
      </c>
      <c r="M2684">
        <v>2009</v>
      </c>
      <c r="N2684" s="1">
        <v>39920</v>
      </c>
      <c r="O2684" t="s">
        <v>12712</v>
      </c>
      <c r="P2684">
        <v>1</v>
      </c>
      <c r="Q2684" t="s">
        <v>6630</v>
      </c>
      <c r="S2684">
        <v>227.95</v>
      </c>
      <c r="T2684">
        <v>260</v>
      </c>
      <c r="U2684">
        <v>200</v>
      </c>
      <c r="V2684" t="s">
        <v>42</v>
      </c>
      <c r="W2684" t="s">
        <v>107</v>
      </c>
      <c r="X2684" t="s">
        <v>108</v>
      </c>
      <c r="Y2684" t="s">
        <v>109</v>
      </c>
      <c r="AF2684" t="s">
        <v>13</v>
      </c>
      <c r="AG2684" t="str">
        <f>HYPERLINK("https://doi.org/10.1515/9780748633104")</f>
        <v>https://doi.org/10.1515/9780748633104</v>
      </c>
      <c r="AH2684" t="str">
        <f>HYPERLINK("http://www.degruyter.com/isbn/9780748633104")</f>
        <v>http://www.degruyter.com/isbn/9780748633104</v>
      </c>
      <c r="AI2684" t="s">
        <v>68</v>
      </c>
      <c r="AL2684" t="s">
        <v>47</v>
      </c>
      <c r="AM2684">
        <v>1</v>
      </c>
      <c r="AN2684" s="2">
        <v>9780748633081</v>
      </c>
    </row>
    <row r="2685" spans="1:40" x14ac:dyDescent="0.3">
      <c r="A2685" t="s">
        <v>12713</v>
      </c>
      <c r="B2685" t="s">
        <v>1</v>
      </c>
      <c r="C2685" t="s">
        <v>12714</v>
      </c>
      <c r="E2685" t="s">
        <v>12715</v>
      </c>
      <c r="F2685" t="s">
        <v>5</v>
      </c>
      <c r="G2685" t="s">
        <v>6</v>
      </c>
      <c r="L2685" t="s">
        <v>7</v>
      </c>
      <c r="M2685">
        <v>2019</v>
      </c>
      <c r="N2685" s="1">
        <v>44656</v>
      </c>
      <c r="O2685" t="s">
        <v>12716</v>
      </c>
      <c r="P2685">
        <v>1</v>
      </c>
      <c r="Q2685" t="s">
        <v>6815</v>
      </c>
      <c r="S2685">
        <v>217.95</v>
      </c>
      <c r="T2685">
        <v>250</v>
      </c>
      <c r="U2685">
        <v>190</v>
      </c>
      <c r="V2685" t="s">
        <v>305</v>
      </c>
      <c r="W2685" t="s">
        <v>306</v>
      </c>
      <c r="X2685" t="s">
        <v>306</v>
      </c>
      <c r="Y2685" t="s">
        <v>2066</v>
      </c>
      <c r="AF2685" t="s">
        <v>13</v>
      </c>
      <c r="AG2685" t="str">
        <f>HYPERLINK("https://doi.org/10.1515/9781474404112")</f>
        <v>https://doi.org/10.1515/9781474404112</v>
      </c>
      <c r="AH2685" t="str">
        <f>HYPERLINK("http://www.degruyter.com/isbn/9781474404112")</f>
        <v>http://www.degruyter.com/isbn/9781474404112</v>
      </c>
      <c r="AI2685" t="s">
        <v>2067</v>
      </c>
      <c r="AL2685" t="s">
        <v>308</v>
      </c>
      <c r="AM2685">
        <v>1</v>
      </c>
      <c r="AN2685" s="2">
        <v>9781474404105</v>
      </c>
    </row>
    <row r="2686" spans="1:40" x14ac:dyDescent="0.3">
      <c r="A2686" t="s">
        <v>12717</v>
      </c>
      <c r="B2686" t="s">
        <v>1</v>
      </c>
      <c r="C2686" t="s">
        <v>12718</v>
      </c>
      <c r="E2686" t="s">
        <v>12719</v>
      </c>
      <c r="F2686" t="s">
        <v>5</v>
      </c>
      <c r="G2686" t="s">
        <v>6</v>
      </c>
      <c r="L2686" t="s">
        <v>7</v>
      </c>
      <c r="M2686">
        <v>2010</v>
      </c>
      <c r="N2686" s="1">
        <v>40386</v>
      </c>
      <c r="O2686" t="s">
        <v>12720</v>
      </c>
      <c r="P2686">
        <v>1</v>
      </c>
      <c r="Q2686" t="s">
        <v>6797</v>
      </c>
      <c r="S2686">
        <v>305.95</v>
      </c>
      <c r="T2686">
        <v>350</v>
      </c>
      <c r="U2686">
        <v>270</v>
      </c>
      <c r="V2686" t="s">
        <v>79</v>
      </c>
      <c r="W2686" t="s">
        <v>209</v>
      </c>
      <c r="X2686" t="s">
        <v>209</v>
      </c>
      <c r="Y2686" t="s">
        <v>510</v>
      </c>
      <c r="AF2686" t="s">
        <v>13</v>
      </c>
      <c r="AG2686" t="str">
        <f>HYPERLINK("https://doi.org/10.1515/9780748642939")</f>
        <v>https://doi.org/10.1515/9780748642939</v>
      </c>
      <c r="AH2686" t="str">
        <f>HYPERLINK("http://www.degruyter.com/isbn/9780748642939")</f>
        <v>http://www.degruyter.com/isbn/9780748642939</v>
      </c>
      <c r="AI2686" t="s">
        <v>68</v>
      </c>
      <c r="AL2686" t="s">
        <v>83</v>
      </c>
      <c r="AM2686">
        <v>1</v>
      </c>
      <c r="AN2686" s="2">
        <v>9780748617081</v>
      </c>
    </row>
    <row r="2687" spans="1:40" x14ac:dyDescent="0.3">
      <c r="A2687" t="s">
        <v>12721</v>
      </c>
      <c r="B2687" t="s">
        <v>1</v>
      </c>
      <c r="C2687" t="s">
        <v>6983</v>
      </c>
      <c r="D2687" t="s">
        <v>12722</v>
      </c>
      <c r="E2687" t="s">
        <v>6985</v>
      </c>
      <c r="F2687" t="s">
        <v>5</v>
      </c>
      <c r="G2687" t="s">
        <v>6</v>
      </c>
      <c r="L2687" t="s">
        <v>7</v>
      </c>
      <c r="M2687">
        <v>2021</v>
      </c>
      <c r="N2687" s="1">
        <v>44656</v>
      </c>
      <c r="O2687" t="s">
        <v>12723</v>
      </c>
      <c r="P2687">
        <v>1</v>
      </c>
      <c r="Q2687" t="s">
        <v>6987</v>
      </c>
      <c r="S2687">
        <v>227.95</v>
      </c>
      <c r="T2687">
        <v>260</v>
      </c>
      <c r="U2687">
        <v>200</v>
      </c>
      <c r="V2687" t="s">
        <v>9</v>
      </c>
      <c r="W2687" t="s">
        <v>10</v>
      </c>
      <c r="X2687" t="s">
        <v>11</v>
      </c>
      <c r="Y2687" t="s">
        <v>52</v>
      </c>
      <c r="AF2687" t="s">
        <v>13</v>
      </c>
      <c r="AG2687" t="str">
        <f>HYPERLINK("https://doi.org/10.1515/9781474454537")</f>
        <v>https://doi.org/10.1515/9781474454537</v>
      </c>
      <c r="AH2687" t="str">
        <f>HYPERLINK("http://www.degruyter.com/isbn/9781474454537")</f>
        <v>http://www.degruyter.com/isbn/9781474454537</v>
      </c>
      <c r="AI2687" t="s">
        <v>908</v>
      </c>
      <c r="AL2687" t="s">
        <v>15</v>
      </c>
      <c r="AM2687">
        <v>1</v>
      </c>
      <c r="AN2687" s="2">
        <v>9781474454513</v>
      </c>
    </row>
    <row r="2688" spans="1:40" x14ac:dyDescent="0.3">
      <c r="A2688" t="s">
        <v>12724</v>
      </c>
      <c r="B2688" t="s">
        <v>1</v>
      </c>
      <c r="C2688" t="s">
        <v>12725</v>
      </c>
      <c r="E2688" t="s">
        <v>12726</v>
      </c>
      <c r="F2688" t="s">
        <v>5</v>
      </c>
      <c r="G2688" t="s">
        <v>6</v>
      </c>
      <c r="L2688" t="s">
        <v>7</v>
      </c>
      <c r="M2688">
        <v>2020</v>
      </c>
      <c r="N2688" s="1">
        <v>44644</v>
      </c>
      <c r="O2688" t="s">
        <v>12727</v>
      </c>
      <c r="P2688">
        <v>1</v>
      </c>
      <c r="Q2688" t="s">
        <v>7019</v>
      </c>
      <c r="S2688">
        <v>227.95</v>
      </c>
      <c r="T2688">
        <v>260</v>
      </c>
      <c r="U2688">
        <v>200</v>
      </c>
      <c r="V2688" t="s">
        <v>42</v>
      </c>
      <c r="W2688" t="s">
        <v>107</v>
      </c>
      <c r="X2688" t="s">
        <v>108</v>
      </c>
      <c r="Y2688" t="s">
        <v>109</v>
      </c>
      <c r="AF2688" t="s">
        <v>13</v>
      </c>
      <c r="AG2688" t="str">
        <f>HYPERLINK("https://doi.org/10.1515/9781474457088?locatt=mode:legacy")</f>
        <v>https://doi.org/10.1515/9781474457088?locatt=mode:legacy</v>
      </c>
      <c r="AH2688" t="str">
        <f>HYPERLINK("http://www.degruyter.com/isbn/9781474457088")</f>
        <v>http://www.degruyter.com/isbn/9781474457088</v>
      </c>
      <c r="AI2688" t="s">
        <v>14</v>
      </c>
      <c r="AL2688" t="s">
        <v>47</v>
      </c>
      <c r="AM2688">
        <v>1</v>
      </c>
      <c r="AN2688" s="2">
        <v>9781474457064</v>
      </c>
    </row>
    <row r="2689" spans="1:40" x14ac:dyDescent="0.3">
      <c r="A2689" t="s">
        <v>12728</v>
      </c>
      <c r="B2689" t="s">
        <v>1</v>
      </c>
      <c r="C2689" t="s">
        <v>12729</v>
      </c>
      <c r="E2689" t="s">
        <v>12730</v>
      </c>
      <c r="F2689" t="s">
        <v>5</v>
      </c>
      <c r="G2689" t="s">
        <v>6</v>
      </c>
      <c r="L2689" t="s">
        <v>7</v>
      </c>
      <c r="M2689">
        <v>2008</v>
      </c>
      <c r="N2689" s="1">
        <v>39545</v>
      </c>
      <c r="O2689" t="s">
        <v>12731</v>
      </c>
      <c r="P2689">
        <v>1</v>
      </c>
      <c r="Q2689" t="s">
        <v>7298</v>
      </c>
      <c r="S2689">
        <v>295.95</v>
      </c>
      <c r="T2689">
        <v>340</v>
      </c>
      <c r="U2689">
        <v>260</v>
      </c>
      <c r="V2689" t="s">
        <v>329</v>
      </c>
      <c r="W2689" t="s">
        <v>330</v>
      </c>
      <c r="X2689" t="s">
        <v>331</v>
      </c>
      <c r="Y2689" t="s">
        <v>332</v>
      </c>
      <c r="AF2689" t="s">
        <v>13</v>
      </c>
      <c r="AG2689" t="str">
        <f>HYPERLINK("https://doi.org/10.1515/9780748631247")</f>
        <v>https://doi.org/10.1515/9780748631247</v>
      </c>
      <c r="AH2689" t="str">
        <f>HYPERLINK("http://www.degruyter.com/isbn/9780748631247")</f>
        <v>http://www.degruyter.com/isbn/9780748631247</v>
      </c>
      <c r="AI2689" t="s">
        <v>68</v>
      </c>
      <c r="AL2689" t="s">
        <v>333</v>
      </c>
      <c r="AM2689">
        <v>1</v>
      </c>
      <c r="AN2689" s="2">
        <v>9780748625857</v>
      </c>
    </row>
    <row r="2690" spans="1:40" x14ac:dyDescent="0.3">
      <c r="A2690" t="s">
        <v>12732</v>
      </c>
      <c r="B2690" t="s">
        <v>1</v>
      </c>
      <c r="C2690" t="s">
        <v>12733</v>
      </c>
      <c r="D2690" t="s">
        <v>12734</v>
      </c>
      <c r="E2690" t="s">
        <v>12735</v>
      </c>
      <c r="F2690" t="s">
        <v>5</v>
      </c>
      <c r="G2690" t="s">
        <v>6</v>
      </c>
      <c r="L2690" t="s">
        <v>7</v>
      </c>
      <c r="M2690">
        <v>2019</v>
      </c>
      <c r="N2690" s="1">
        <v>44644</v>
      </c>
      <c r="O2690" t="s">
        <v>12736</v>
      </c>
      <c r="P2690">
        <v>1</v>
      </c>
      <c r="Q2690" t="s">
        <v>5764</v>
      </c>
      <c r="S2690">
        <v>227.95</v>
      </c>
      <c r="T2690">
        <v>260</v>
      </c>
      <c r="U2690">
        <v>200</v>
      </c>
      <c r="V2690" t="s">
        <v>9</v>
      </c>
      <c r="W2690" t="s">
        <v>10</v>
      </c>
      <c r="X2690" t="s">
        <v>11</v>
      </c>
      <c r="Y2690" t="s">
        <v>12</v>
      </c>
      <c r="AF2690" t="s">
        <v>13</v>
      </c>
      <c r="AG2690" t="str">
        <f>HYPERLINK("https://doi.org/10.1515/9781474419239?locatt=mode:legacy")</f>
        <v>https://doi.org/10.1515/9781474419239?locatt=mode:legacy</v>
      </c>
      <c r="AH2690" t="str">
        <f>HYPERLINK("http://www.degruyter.com/isbn/9781474419239")</f>
        <v>http://www.degruyter.com/isbn/9781474419239</v>
      </c>
      <c r="AI2690" t="s">
        <v>280</v>
      </c>
      <c r="AL2690" t="s">
        <v>15</v>
      </c>
      <c r="AM2690">
        <v>1</v>
      </c>
      <c r="AN2690" s="2">
        <v>9781474419222</v>
      </c>
    </row>
    <row r="2691" spans="1:40" x14ac:dyDescent="0.3">
      <c r="A2691" t="s">
        <v>12737</v>
      </c>
      <c r="B2691" t="s">
        <v>1</v>
      </c>
      <c r="C2691" t="s">
        <v>12738</v>
      </c>
      <c r="D2691" t="s">
        <v>12739</v>
      </c>
      <c r="E2691" t="s">
        <v>12740</v>
      </c>
      <c r="F2691" t="s">
        <v>5</v>
      </c>
      <c r="G2691" t="s">
        <v>6</v>
      </c>
      <c r="L2691" t="s">
        <v>7</v>
      </c>
      <c r="M2691">
        <v>2013</v>
      </c>
      <c r="N2691" s="1">
        <v>41334</v>
      </c>
      <c r="O2691" t="s">
        <v>7417</v>
      </c>
      <c r="P2691">
        <v>1</v>
      </c>
      <c r="Q2691" t="s">
        <v>7052</v>
      </c>
      <c r="S2691">
        <v>217.95</v>
      </c>
      <c r="T2691">
        <v>250</v>
      </c>
      <c r="U2691">
        <v>190</v>
      </c>
      <c r="V2691" t="s">
        <v>42</v>
      </c>
      <c r="W2691" t="s">
        <v>116</v>
      </c>
      <c r="X2691" t="s">
        <v>116</v>
      </c>
      <c r="Y2691" t="s">
        <v>117</v>
      </c>
      <c r="AF2691" t="s">
        <v>13</v>
      </c>
      <c r="AG2691" t="str">
        <f>HYPERLINK("https://doi.org/10.1515/9780748645220")</f>
        <v>https://doi.org/10.1515/9780748645220</v>
      </c>
      <c r="AH2691" t="str">
        <f>HYPERLINK("http://www.degruyter.com/isbn/9780748645220")</f>
        <v>http://www.degruyter.com/isbn/9780748645220</v>
      </c>
      <c r="AI2691" t="s">
        <v>68</v>
      </c>
      <c r="AL2691" t="s">
        <v>47</v>
      </c>
      <c r="AM2691">
        <v>1</v>
      </c>
      <c r="AN2691" s="2">
        <v>9780748645213</v>
      </c>
    </row>
    <row r="2692" spans="1:40" x14ac:dyDescent="0.3">
      <c r="A2692" t="s">
        <v>12741</v>
      </c>
      <c r="B2692" t="s">
        <v>1</v>
      </c>
      <c r="C2692" t="s">
        <v>12742</v>
      </c>
      <c r="E2692" t="s">
        <v>12743</v>
      </c>
      <c r="F2692" t="s">
        <v>5</v>
      </c>
      <c r="G2692" t="s">
        <v>6</v>
      </c>
      <c r="L2692" t="s">
        <v>7</v>
      </c>
      <c r="M2692">
        <v>2006</v>
      </c>
      <c r="N2692" s="1">
        <v>38736</v>
      </c>
      <c r="O2692" t="s">
        <v>12744</v>
      </c>
      <c r="P2692">
        <v>1</v>
      </c>
      <c r="Q2692" t="s">
        <v>6820</v>
      </c>
      <c r="S2692">
        <v>217.95</v>
      </c>
      <c r="T2692">
        <v>250</v>
      </c>
      <c r="U2692">
        <v>190</v>
      </c>
      <c r="V2692" t="s">
        <v>58</v>
      </c>
      <c r="W2692" t="s">
        <v>1135</v>
      </c>
      <c r="X2692" t="s">
        <v>11777</v>
      </c>
      <c r="Y2692" t="s">
        <v>11778</v>
      </c>
      <c r="AF2692" t="s">
        <v>13</v>
      </c>
      <c r="AG2692" t="str">
        <f>HYPERLINK("https://doi.org/10.1515/9780748626403")</f>
        <v>https://doi.org/10.1515/9780748626403</v>
      </c>
      <c r="AH2692" t="str">
        <f>HYPERLINK("http://www.degruyter.com/isbn/9780748626403")</f>
        <v>http://www.degruyter.com/isbn/9780748626403</v>
      </c>
      <c r="AI2692" t="s">
        <v>68</v>
      </c>
      <c r="AL2692" t="s">
        <v>62</v>
      </c>
      <c r="AM2692">
        <v>1</v>
      </c>
      <c r="AN2692" s="2">
        <v>9780748620302</v>
      </c>
    </row>
    <row r="2693" spans="1:40" x14ac:dyDescent="0.3">
      <c r="A2693" t="s">
        <v>12745</v>
      </c>
      <c r="B2693" t="s">
        <v>1</v>
      </c>
      <c r="C2693" t="s">
        <v>12746</v>
      </c>
      <c r="E2693" t="s">
        <v>12747</v>
      </c>
      <c r="F2693" t="s">
        <v>5</v>
      </c>
      <c r="G2693" t="s">
        <v>6</v>
      </c>
      <c r="L2693" t="s">
        <v>7</v>
      </c>
      <c r="M2693">
        <v>2019</v>
      </c>
      <c r="N2693" s="1">
        <v>44592</v>
      </c>
      <c r="O2693" t="s">
        <v>12748</v>
      </c>
      <c r="P2693">
        <v>1</v>
      </c>
      <c r="Q2693" t="s">
        <v>6729</v>
      </c>
      <c r="S2693">
        <v>253.95</v>
      </c>
      <c r="T2693">
        <v>290</v>
      </c>
      <c r="U2693">
        <v>220</v>
      </c>
      <c r="V2693" t="s">
        <v>79</v>
      </c>
      <c r="W2693" t="s">
        <v>209</v>
      </c>
      <c r="X2693" t="s">
        <v>209</v>
      </c>
      <c r="Y2693" t="s">
        <v>699</v>
      </c>
      <c r="AF2693" t="s">
        <v>13</v>
      </c>
      <c r="AG2693" t="str">
        <f>HYPERLINK("https://doi.org/10.1515/9781474443708")</f>
        <v>https://doi.org/10.1515/9781474443708</v>
      </c>
      <c r="AH2693" t="str">
        <f>HYPERLINK("http://www.degruyter.com/isbn/9781474443708")</f>
        <v>http://www.degruyter.com/isbn/9781474443708</v>
      </c>
      <c r="AI2693" t="s">
        <v>280</v>
      </c>
      <c r="AL2693" t="s">
        <v>83</v>
      </c>
      <c r="AM2693">
        <v>1</v>
      </c>
      <c r="AN2693" s="2">
        <v>9781474443685</v>
      </c>
    </row>
    <row r="2694" spans="1:40" x14ac:dyDescent="0.3">
      <c r="A2694" t="s">
        <v>12749</v>
      </c>
      <c r="B2694" t="s">
        <v>1</v>
      </c>
      <c r="C2694" t="s">
        <v>12750</v>
      </c>
      <c r="E2694" t="s">
        <v>12751</v>
      </c>
      <c r="F2694" t="s">
        <v>5</v>
      </c>
      <c r="G2694" t="s">
        <v>6</v>
      </c>
      <c r="L2694" t="s">
        <v>7</v>
      </c>
      <c r="M2694">
        <v>2007</v>
      </c>
      <c r="N2694" s="1">
        <v>39381</v>
      </c>
      <c r="O2694" t="s">
        <v>12752</v>
      </c>
      <c r="P2694">
        <v>1</v>
      </c>
      <c r="Q2694" t="s">
        <v>6929</v>
      </c>
      <c r="S2694">
        <v>217.95</v>
      </c>
      <c r="T2694">
        <v>250</v>
      </c>
      <c r="U2694">
        <v>190</v>
      </c>
      <c r="V2694" t="s">
        <v>20</v>
      </c>
      <c r="W2694" t="s">
        <v>21</v>
      </c>
      <c r="X2694" t="s">
        <v>3919</v>
      </c>
      <c r="Y2694" t="s">
        <v>4359</v>
      </c>
      <c r="AF2694" t="s">
        <v>13</v>
      </c>
      <c r="AG2694" t="str">
        <f>HYPERLINK("https://doi.org/10.1515/9781474468589?locatt=mode:legacy")</f>
        <v>https://doi.org/10.1515/9781474468589?locatt=mode:legacy</v>
      </c>
      <c r="AH2694" t="str">
        <f>HYPERLINK("http://www.degruyter.com/isbn/9781474468589")</f>
        <v>http://www.degruyter.com/isbn/9781474468589</v>
      </c>
      <c r="AI2694" t="s">
        <v>7647</v>
      </c>
      <c r="AL2694" t="s">
        <v>15</v>
      </c>
      <c r="AM2694">
        <v>1</v>
      </c>
      <c r="AN2694" s="2">
        <v>9780748633166</v>
      </c>
    </row>
    <row r="2695" spans="1:40" x14ac:dyDescent="0.3">
      <c r="A2695" t="s">
        <v>12753</v>
      </c>
      <c r="B2695" t="s">
        <v>1</v>
      </c>
      <c r="C2695" t="s">
        <v>12754</v>
      </c>
      <c r="D2695" t="s">
        <v>12755</v>
      </c>
      <c r="E2695" t="s">
        <v>12756</v>
      </c>
      <c r="F2695" t="s">
        <v>5</v>
      </c>
      <c r="G2695" t="s">
        <v>6</v>
      </c>
      <c r="L2695" t="s">
        <v>7</v>
      </c>
      <c r="M2695">
        <v>2019</v>
      </c>
      <c r="N2695" s="1">
        <v>44656</v>
      </c>
      <c r="O2695" t="s">
        <v>12757</v>
      </c>
      <c r="P2695">
        <v>1</v>
      </c>
      <c r="Q2695" t="s">
        <v>9133</v>
      </c>
      <c r="S2695">
        <v>217.95</v>
      </c>
      <c r="T2695">
        <v>250</v>
      </c>
      <c r="U2695">
        <v>190</v>
      </c>
      <c r="V2695" t="s">
        <v>98</v>
      </c>
      <c r="W2695" t="s">
        <v>366</v>
      </c>
      <c r="X2695" t="s">
        <v>367</v>
      </c>
      <c r="Y2695" t="s">
        <v>368</v>
      </c>
      <c r="AF2695" t="s">
        <v>13</v>
      </c>
      <c r="AG2695" t="str">
        <f>HYPERLINK("https://doi.org/10.1515/9781474433167")</f>
        <v>https://doi.org/10.1515/9781474433167</v>
      </c>
      <c r="AH2695" t="str">
        <f>HYPERLINK("http://www.degruyter.com/isbn/9781474433167")</f>
        <v>http://www.degruyter.com/isbn/9781474433167</v>
      </c>
      <c r="AI2695" t="s">
        <v>280</v>
      </c>
      <c r="AL2695" t="s">
        <v>102</v>
      </c>
      <c r="AM2695">
        <v>1</v>
      </c>
      <c r="AN2695" s="2">
        <v>9781474433143</v>
      </c>
    </row>
    <row r="2696" spans="1:40" x14ac:dyDescent="0.3">
      <c r="A2696" t="s">
        <v>12758</v>
      </c>
      <c r="B2696" t="s">
        <v>1</v>
      </c>
      <c r="C2696" t="s">
        <v>12759</v>
      </c>
      <c r="E2696" t="s">
        <v>12760</v>
      </c>
      <c r="F2696" t="s">
        <v>5</v>
      </c>
      <c r="G2696" t="s">
        <v>6</v>
      </c>
      <c r="L2696" t="s">
        <v>7</v>
      </c>
      <c r="M2696">
        <v>2020</v>
      </c>
      <c r="N2696" s="1">
        <v>44607</v>
      </c>
      <c r="O2696" t="s">
        <v>8933</v>
      </c>
      <c r="P2696">
        <v>1</v>
      </c>
      <c r="Q2696" t="s">
        <v>6729</v>
      </c>
      <c r="S2696">
        <v>217.95</v>
      </c>
      <c r="T2696">
        <v>250</v>
      </c>
      <c r="U2696">
        <v>190</v>
      </c>
      <c r="V2696" t="s">
        <v>79</v>
      </c>
      <c r="W2696" t="s">
        <v>123</v>
      </c>
      <c r="X2696" t="s">
        <v>123</v>
      </c>
      <c r="Y2696" t="s">
        <v>124</v>
      </c>
      <c r="AF2696" t="s">
        <v>13</v>
      </c>
      <c r="AG2696" t="str">
        <f>HYPERLINK("https://doi.org/10.1515/9781474474153")</f>
        <v>https://doi.org/10.1515/9781474474153</v>
      </c>
      <c r="AH2696" t="str">
        <f>HYPERLINK("http://www.degruyter.com/isbn/9781474474153")</f>
        <v>http://www.degruyter.com/isbn/9781474474153</v>
      </c>
      <c r="AI2696" t="s">
        <v>14</v>
      </c>
      <c r="AL2696" t="s">
        <v>83</v>
      </c>
      <c r="AM2696">
        <v>1</v>
      </c>
      <c r="AN2696" s="2">
        <v>9781474474139</v>
      </c>
    </row>
    <row r="2697" spans="1:40" x14ac:dyDescent="0.3">
      <c r="A2697" t="s">
        <v>12761</v>
      </c>
      <c r="B2697" t="s">
        <v>1</v>
      </c>
      <c r="C2697" t="s">
        <v>12762</v>
      </c>
      <c r="D2697" t="s">
        <v>12763</v>
      </c>
      <c r="E2697" t="s">
        <v>12764</v>
      </c>
      <c r="F2697" t="s">
        <v>5</v>
      </c>
      <c r="G2697" t="s">
        <v>6</v>
      </c>
      <c r="L2697" t="s">
        <v>7</v>
      </c>
      <c r="M2697">
        <v>2010</v>
      </c>
      <c r="N2697" s="1">
        <v>40389</v>
      </c>
      <c r="O2697" t="s">
        <v>12765</v>
      </c>
      <c r="P2697">
        <v>1</v>
      </c>
      <c r="Q2697" t="s">
        <v>7973</v>
      </c>
      <c r="S2697">
        <v>321.95</v>
      </c>
      <c r="T2697">
        <v>370</v>
      </c>
      <c r="U2697">
        <v>280</v>
      </c>
      <c r="V2697" t="s">
        <v>329</v>
      </c>
      <c r="W2697" t="s">
        <v>330</v>
      </c>
      <c r="X2697" t="s">
        <v>331</v>
      </c>
      <c r="Y2697" t="s">
        <v>4770</v>
      </c>
      <c r="AF2697" t="s">
        <v>13</v>
      </c>
      <c r="AG2697" t="str">
        <f>HYPERLINK("https://doi.org/10.1515/9780748642892?locatt=mode:legacy")</f>
        <v>https://doi.org/10.1515/9780748642892?locatt=mode:legacy</v>
      </c>
      <c r="AH2697" t="str">
        <f>HYPERLINK("http://www.degruyter.com/isbn/9780748642892")</f>
        <v>http://www.degruyter.com/isbn/9780748642892</v>
      </c>
      <c r="AI2697" t="s">
        <v>68</v>
      </c>
      <c r="AL2697" t="s">
        <v>333</v>
      </c>
      <c r="AM2697">
        <v>1</v>
      </c>
      <c r="AN2697" s="2">
        <v>9780748637980</v>
      </c>
    </row>
    <row r="2698" spans="1:40" x14ac:dyDescent="0.3">
      <c r="A2698" t="s">
        <v>12766</v>
      </c>
      <c r="B2698" t="s">
        <v>1</v>
      </c>
      <c r="C2698" t="s">
        <v>12767</v>
      </c>
      <c r="D2698" t="s">
        <v>12768</v>
      </c>
      <c r="E2698" t="s">
        <v>12769</v>
      </c>
      <c r="F2698" t="s">
        <v>5</v>
      </c>
      <c r="G2698" t="s">
        <v>6</v>
      </c>
      <c r="L2698" t="s">
        <v>7</v>
      </c>
      <c r="M2698">
        <v>2020</v>
      </c>
      <c r="N2698" s="1">
        <v>44644</v>
      </c>
      <c r="O2698" t="s">
        <v>12770</v>
      </c>
      <c r="P2698">
        <v>1</v>
      </c>
      <c r="Q2698" t="s">
        <v>7521</v>
      </c>
      <c r="S2698">
        <v>217.95</v>
      </c>
      <c r="T2698">
        <v>250</v>
      </c>
      <c r="U2698">
        <v>190</v>
      </c>
      <c r="V2698" t="s">
        <v>449</v>
      </c>
      <c r="W2698" t="s">
        <v>450</v>
      </c>
      <c r="X2698" t="s">
        <v>450</v>
      </c>
      <c r="Y2698" t="s">
        <v>12771</v>
      </c>
      <c r="AF2698" t="s">
        <v>13</v>
      </c>
      <c r="AG2698" t="str">
        <f>HYPERLINK("https://doi.org/10.1515/9781474435338")</f>
        <v>https://doi.org/10.1515/9781474435338</v>
      </c>
      <c r="AH2698" t="str">
        <f>HYPERLINK("http://www.degruyter.com/isbn/9781474435338")</f>
        <v>http://www.degruyter.com/isbn/9781474435338</v>
      </c>
      <c r="AI2698" t="s">
        <v>7403</v>
      </c>
      <c r="AL2698" t="s">
        <v>308</v>
      </c>
      <c r="AM2698">
        <v>1</v>
      </c>
      <c r="AN2698" s="2">
        <v>9781474435321</v>
      </c>
    </row>
    <row r="2699" spans="1:40" x14ac:dyDescent="0.3">
      <c r="A2699" t="s">
        <v>12772</v>
      </c>
      <c r="B2699" t="s">
        <v>1</v>
      </c>
      <c r="C2699" t="s">
        <v>12773</v>
      </c>
      <c r="E2699" t="s">
        <v>12774</v>
      </c>
      <c r="F2699" t="s">
        <v>5</v>
      </c>
      <c r="G2699" t="s">
        <v>6</v>
      </c>
      <c r="L2699" t="s">
        <v>7</v>
      </c>
      <c r="M2699">
        <v>2012</v>
      </c>
      <c r="N2699" s="1">
        <v>41233</v>
      </c>
      <c r="O2699" t="s">
        <v>12775</v>
      </c>
      <c r="P2699">
        <v>1</v>
      </c>
      <c r="Q2699" t="s">
        <v>6894</v>
      </c>
      <c r="S2699">
        <v>217.95</v>
      </c>
      <c r="T2699">
        <v>250</v>
      </c>
      <c r="U2699">
        <v>190</v>
      </c>
      <c r="V2699" t="s">
        <v>30</v>
      </c>
      <c r="W2699" t="s">
        <v>2320</v>
      </c>
      <c r="X2699" t="s">
        <v>2320</v>
      </c>
      <c r="Y2699" t="s">
        <v>2321</v>
      </c>
      <c r="AF2699" t="s">
        <v>13</v>
      </c>
      <c r="AG2699" t="str">
        <f>HYPERLINK("https://doi.org/10.1515/9780748655618")</f>
        <v>https://doi.org/10.1515/9780748655618</v>
      </c>
      <c r="AH2699" t="str">
        <f>HYPERLINK("http://www.degruyter.com/isbn/9780748655618")</f>
        <v>http://www.degruyter.com/isbn/9780748655618</v>
      </c>
      <c r="AI2699" t="s">
        <v>68</v>
      </c>
      <c r="AL2699" t="s">
        <v>272</v>
      </c>
      <c r="AM2699">
        <v>1</v>
      </c>
      <c r="AN2699" s="2">
        <v>9780748640478</v>
      </c>
    </row>
    <row r="2700" spans="1:40" x14ac:dyDescent="0.3">
      <c r="A2700" t="s">
        <v>12776</v>
      </c>
      <c r="B2700" t="s">
        <v>1</v>
      </c>
      <c r="C2700" t="s">
        <v>12777</v>
      </c>
      <c r="D2700" t="s">
        <v>12778</v>
      </c>
      <c r="E2700" t="s">
        <v>12779</v>
      </c>
      <c r="F2700" t="s">
        <v>5</v>
      </c>
      <c r="G2700" t="s">
        <v>6</v>
      </c>
      <c r="L2700" t="s">
        <v>7</v>
      </c>
      <c r="M2700">
        <v>1999</v>
      </c>
      <c r="N2700" s="1">
        <v>44607</v>
      </c>
      <c r="O2700" t="s">
        <v>12780</v>
      </c>
      <c r="P2700">
        <v>1</v>
      </c>
      <c r="Q2700" t="s">
        <v>6929</v>
      </c>
      <c r="S2700">
        <v>217.95</v>
      </c>
      <c r="T2700">
        <v>250</v>
      </c>
      <c r="U2700">
        <v>190</v>
      </c>
      <c r="V2700" t="s">
        <v>58</v>
      </c>
      <c r="W2700" t="s">
        <v>129</v>
      </c>
      <c r="X2700" t="s">
        <v>504</v>
      </c>
      <c r="Y2700" t="s">
        <v>505</v>
      </c>
      <c r="AF2700" t="s">
        <v>13</v>
      </c>
      <c r="AG2700" t="str">
        <f>HYPERLINK("https://doi.org/10.1515/9781474471008")</f>
        <v>https://doi.org/10.1515/9781474471008</v>
      </c>
      <c r="AH2700" t="str">
        <f>HYPERLINK("http://www.degruyter.com/isbn/9781474471008")</f>
        <v>http://www.degruyter.com/isbn/9781474471008</v>
      </c>
      <c r="AI2700" t="s">
        <v>24</v>
      </c>
      <c r="AL2700" t="s">
        <v>62</v>
      </c>
      <c r="AM2700">
        <v>1</v>
      </c>
      <c r="AN2700" s="2">
        <v>9780748613038</v>
      </c>
    </row>
    <row r="2701" spans="1:40" x14ac:dyDescent="0.3">
      <c r="A2701" t="s">
        <v>12781</v>
      </c>
      <c r="B2701" t="s">
        <v>1</v>
      </c>
      <c r="C2701" t="s">
        <v>12782</v>
      </c>
      <c r="E2701" t="s">
        <v>12783</v>
      </c>
      <c r="F2701" t="s">
        <v>5</v>
      </c>
      <c r="G2701" t="s">
        <v>6</v>
      </c>
      <c r="L2701" t="s">
        <v>7</v>
      </c>
      <c r="M2701">
        <v>2017</v>
      </c>
      <c r="N2701" s="1">
        <v>42787</v>
      </c>
      <c r="O2701" t="s">
        <v>12784</v>
      </c>
      <c r="P2701">
        <v>1</v>
      </c>
      <c r="Q2701" t="s">
        <v>10362</v>
      </c>
      <c r="S2701">
        <v>217.95</v>
      </c>
      <c r="T2701">
        <v>250</v>
      </c>
      <c r="U2701">
        <v>190</v>
      </c>
      <c r="V2701" t="s">
        <v>79</v>
      </c>
      <c r="W2701" t="s">
        <v>227</v>
      </c>
      <c r="X2701" t="s">
        <v>234</v>
      </c>
      <c r="Y2701" t="s">
        <v>355</v>
      </c>
      <c r="AF2701" t="s">
        <v>13</v>
      </c>
      <c r="AG2701" t="str">
        <f>HYPERLINK("https://doi.org/10.1515/9781474419307")</f>
        <v>https://doi.org/10.1515/9781474419307</v>
      </c>
      <c r="AH2701" t="str">
        <f>HYPERLINK("http://www.degruyter.com/isbn/9781474419307")</f>
        <v>http://www.degruyter.com/isbn/9781474419307</v>
      </c>
      <c r="AI2701" t="s">
        <v>222</v>
      </c>
      <c r="AL2701" t="s">
        <v>83</v>
      </c>
      <c r="AM2701">
        <v>1</v>
      </c>
      <c r="AN2701" s="2">
        <v>9781474419291</v>
      </c>
    </row>
    <row r="2702" spans="1:40" x14ac:dyDescent="0.3">
      <c r="A2702" t="s">
        <v>12785</v>
      </c>
      <c r="B2702" t="s">
        <v>1</v>
      </c>
      <c r="C2702" t="s">
        <v>12786</v>
      </c>
      <c r="E2702" t="s">
        <v>12787</v>
      </c>
      <c r="F2702" t="s">
        <v>5</v>
      </c>
      <c r="G2702" t="s">
        <v>6</v>
      </c>
      <c r="L2702" t="s">
        <v>7</v>
      </c>
      <c r="M2702">
        <v>2005</v>
      </c>
      <c r="N2702" s="1">
        <v>38378</v>
      </c>
      <c r="O2702" t="s">
        <v>12788</v>
      </c>
      <c r="P2702">
        <v>1</v>
      </c>
      <c r="Q2702" t="s">
        <v>7174</v>
      </c>
      <c r="S2702">
        <v>69.95</v>
      </c>
      <c r="T2702">
        <v>79.95</v>
      </c>
      <c r="U2702">
        <v>59.98</v>
      </c>
      <c r="V2702" t="s">
        <v>98</v>
      </c>
      <c r="W2702" t="s">
        <v>99</v>
      </c>
      <c r="X2702" t="s">
        <v>386</v>
      </c>
      <c r="Y2702" t="s">
        <v>12789</v>
      </c>
      <c r="AF2702" t="s">
        <v>13</v>
      </c>
      <c r="AG2702" t="str">
        <f>HYPERLINK("https://doi.org/10.1515/9781474465731")</f>
        <v>https://doi.org/10.1515/9781474465731</v>
      </c>
      <c r="AH2702" t="str">
        <f>HYPERLINK("http://www.degruyter.com/isbn/9781474465731")</f>
        <v>http://www.degruyter.com/isbn/9781474465731</v>
      </c>
      <c r="AI2702" t="s">
        <v>68</v>
      </c>
      <c r="AL2702" t="s">
        <v>102</v>
      </c>
      <c r="AM2702">
        <v>1</v>
      </c>
      <c r="AN2702" s="2">
        <v>9780748621316</v>
      </c>
    </row>
    <row r="2703" spans="1:40" x14ac:dyDescent="0.3">
      <c r="A2703" t="s">
        <v>12790</v>
      </c>
      <c r="B2703" t="s">
        <v>1</v>
      </c>
      <c r="C2703" t="s">
        <v>12791</v>
      </c>
      <c r="D2703" t="s">
        <v>12792</v>
      </c>
      <c r="E2703" t="s">
        <v>12793</v>
      </c>
      <c r="F2703" t="s">
        <v>5</v>
      </c>
      <c r="G2703" t="s">
        <v>6</v>
      </c>
      <c r="L2703" t="s">
        <v>7</v>
      </c>
      <c r="M2703">
        <v>2019</v>
      </c>
      <c r="N2703" s="1">
        <v>44644</v>
      </c>
      <c r="O2703" t="s">
        <v>12794</v>
      </c>
      <c r="P2703">
        <v>1</v>
      </c>
      <c r="Q2703" t="s">
        <v>7194</v>
      </c>
      <c r="S2703">
        <v>253.95</v>
      </c>
      <c r="T2703">
        <v>290</v>
      </c>
      <c r="U2703">
        <v>220</v>
      </c>
      <c r="V2703" t="s">
        <v>42</v>
      </c>
      <c r="W2703" t="s">
        <v>12795</v>
      </c>
      <c r="X2703" t="s">
        <v>12795</v>
      </c>
      <c r="Y2703" t="s">
        <v>12796</v>
      </c>
      <c r="AF2703" t="s">
        <v>13</v>
      </c>
      <c r="AG2703" t="str">
        <f>HYPERLINK("https://doi.org/10.1515/9781474439053?locatt=mode:legacy")</f>
        <v>https://doi.org/10.1515/9781474439053?locatt=mode:legacy</v>
      </c>
      <c r="AH2703" t="str">
        <f>HYPERLINK("http://www.degruyter.com/isbn/9781474439053")</f>
        <v>http://www.degruyter.com/isbn/9781474439053</v>
      </c>
      <c r="AI2703" t="s">
        <v>280</v>
      </c>
      <c r="AL2703" t="s">
        <v>47</v>
      </c>
      <c r="AM2703">
        <v>1</v>
      </c>
      <c r="AN2703" s="2">
        <v>9781474439039</v>
      </c>
    </row>
    <row r="2704" spans="1:40" x14ac:dyDescent="0.3">
      <c r="A2704" t="s">
        <v>12797</v>
      </c>
      <c r="B2704" t="s">
        <v>1</v>
      </c>
      <c r="C2704" t="s">
        <v>12798</v>
      </c>
      <c r="D2704" t="s">
        <v>12799</v>
      </c>
      <c r="E2704" t="s">
        <v>12800</v>
      </c>
      <c r="F2704" t="s">
        <v>5</v>
      </c>
      <c r="G2704" t="s">
        <v>6</v>
      </c>
      <c r="L2704" t="s">
        <v>7</v>
      </c>
      <c r="M2704">
        <v>2020</v>
      </c>
      <c r="N2704" s="1">
        <v>44656</v>
      </c>
      <c r="O2704" t="s">
        <v>12801</v>
      </c>
      <c r="P2704">
        <v>1</v>
      </c>
      <c r="Q2704" t="s">
        <v>12802</v>
      </c>
      <c r="S2704">
        <v>217.95</v>
      </c>
      <c r="T2704">
        <v>250</v>
      </c>
      <c r="U2704">
        <v>190</v>
      </c>
      <c r="V2704" t="s">
        <v>20</v>
      </c>
      <c r="W2704" t="s">
        <v>21</v>
      </c>
      <c r="X2704" t="s">
        <v>839</v>
      </c>
      <c r="Y2704" t="s">
        <v>2469</v>
      </c>
      <c r="AF2704" t="s">
        <v>13</v>
      </c>
      <c r="AG2704" t="str">
        <f>HYPERLINK("https://doi.org/10.1515/9781474424639?locatt=mode:legacy")</f>
        <v>https://doi.org/10.1515/9781474424639?locatt=mode:legacy</v>
      </c>
      <c r="AH2704" t="str">
        <f>HYPERLINK("http://www.degruyter.com/isbn/9781474424639")</f>
        <v>http://www.degruyter.com/isbn/9781474424639</v>
      </c>
      <c r="AI2704" t="s">
        <v>14</v>
      </c>
      <c r="AJ2704" t="s">
        <v>35</v>
      </c>
      <c r="AL2704" t="s">
        <v>1346</v>
      </c>
      <c r="AM2704">
        <v>1</v>
      </c>
      <c r="AN2704" s="2">
        <v>9781474424622</v>
      </c>
    </row>
    <row r="2705" spans="1:40" x14ac:dyDescent="0.3">
      <c r="A2705" t="s">
        <v>12803</v>
      </c>
      <c r="B2705" t="s">
        <v>1</v>
      </c>
      <c r="C2705" t="s">
        <v>12804</v>
      </c>
      <c r="D2705" t="s">
        <v>12805</v>
      </c>
      <c r="E2705" t="s">
        <v>12806</v>
      </c>
      <c r="F2705" t="s">
        <v>5</v>
      </c>
      <c r="G2705" t="s">
        <v>6</v>
      </c>
      <c r="L2705" t="s">
        <v>7</v>
      </c>
      <c r="M2705">
        <v>2001</v>
      </c>
      <c r="N2705" s="1">
        <v>44599</v>
      </c>
      <c r="O2705" t="s">
        <v>12807</v>
      </c>
      <c r="P2705">
        <v>1</v>
      </c>
      <c r="Q2705" t="s">
        <v>11183</v>
      </c>
      <c r="S2705">
        <v>217.95</v>
      </c>
      <c r="T2705">
        <v>250</v>
      </c>
      <c r="U2705">
        <v>190</v>
      </c>
      <c r="V2705" t="s">
        <v>42</v>
      </c>
      <c r="W2705" t="s">
        <v>116</v>
      </c>
      <c r="X2705" t="s">
        <v>116</v>
      </c>
      <c r="Y2705" t="s">
        <v>117</v>
      </c>
      <c r="AF2705" t="s">
        <v>13</v>
      </c>
      <c r="AG2705" t="str">
        <f>HYPERLINK("https://doi.org/10.1515/9781474468619")</f>
        <v>https://doi.org/10.1515/9781474468619</v>
      </c>
      <c r="AH2705" t="str">
        <f>HYPERLINK("http://www.degruyter.com/isbn/9781474468619")</f>
        <v>http://www.degruyter.com/isbn/9781474468619</v>
      </c>
      <c r="AI2705" t="s">
        <v>68</v>
      </c>
      <c r="AL2705" t="s">
        <v>47</v>
      </c>
      <c r="AM2705">
        <v>1</v>
      </c>
      <c r="AN2705" s="2">
        <v>9780748609765</v>
      </c>
    </row>
    <row r="2706" spans="1:40" x14ac:dyDescent="0.3">
      <c r="A2706" t="s">
        <v>12808</v>
      </c>
      <c r="B2706" t="s">
        <v>1</v>
      </c>
      <c r="C2706" t="s">
        <v>12809</v>
      </c>
      <c r="E2706" t="s">
        <v>12810</v>
      </c>
      <c r="F2706" t="s">
        <v>5</v>
      </c>
      <c r="G2706" t="s">
        <v>6</v>
      </c>
      <c r="L2706" t="s">
        <v>7</v>
      </c>
      <c r="M2706">
        <v>1999</v>
      </c>
      <c r="N2706" s="1">
        <v>44599</v>
      </c>
      <c r="O2706" t="s">
        <v>12811</v>
      </c>
      <c r="P2706">
        <v>1</v>
      </c>
      <c r="Q2706" t="s">
        <v>6923</v>
      </c>
      <c r="S2706">
        <v>243.95</v>
      </c>
      <c r="T2706">
        <v>280</v>
      </c>
      <c r="U2706">
        <v>210</v>
      </c>
      <c r="V2706" t="s">
        <v>20</v>
      </c>
      <c r="W2706" t="s">
        <v>556</v>
      </c>
      <c r="X2706" t="s">
        <v>1739</v>
      </c>
      <c r="Y2706" t="s">
        <v>1740</v>
      </c>
      <c r="AF2706" t="s">
        <v>13</v>
      </c>
      <c r="AG2706" t="str">
        <f>HYPERLINK("https://doi.org/10.1515/9781474470940")</f>
        <v>https://doi.org/10.1515/9781474470940</v>
      </c>
      <c r="AH2706" t="str">
        <f>HYPERLINK("http://www.degruyter.com/isbn/9781474470940")</f>
        <v>http://www.degruyter.com/isbn/9781474470940</v>
      </c>
      <c r="AI2706" t="s">
        <v>24</v>
      </c>
      <c r="AL2706" t="s">
        <v>15</v>
      </c>
      <c r="AM2706">
        <v>1</v>
      </c>
      <c r="AN2706" s="2">
        <v>9780748607433</v>
      </c>
    </row>
    <row r="2707" spans="1:40" x14ac:dyDescent="0.3">
      <c r="A2707" t="s">
        <v>12812</v>
      </c>
      <c r="B2707" t="s">
        <v>1</v>
      </c>
      <c r="C2707" t="s">
        <v>12813</v>
      </c>
      <c r="D2707" t="s">
        <v>12814</v>
      </c>
      <c r="E2707" t="s">
        <v>12815</v>
      </c>
      <c r="F2707" t="s">
        <v>5</v>
      </c>
      <c r="G2707" t="s">
        <v>6</v>
      </c>
      <c r="L2707" t="s">
        <v>7</v>
      </c>
      <c r="M2707">
        <v>2010</v>
      </c>
      <c r="N2707" s="1">
        <v>40456</v>
      </c>
      <c r="O2707" t="s">
        <v>12816</v>
      </c>
      <c r="P2707">
        <v>1</v>
      </c>
      <c r="Q2707" t="s">
        <v>7174</v>
      </c>
      <c r="S2707">
        <v>227.95</v>
      </c>
      <c r="T2707">
        <v>260</v>
      </c>
      <c r="U2707">
        <v>200</v>
      </c>
      <c r="V2707" t="s">
        <v>98</v>
      </c>
      <c r="W2707" t="s">
        <v>1513</v>
      </c>
      <c r="X2707" t="s">
        <v>1514</v>
      </c>
      <c r="Y2707" t="s">
        <v>1515</v>
      </c>
      <c r="AF2707" t="s">
        <v>13</v>
      </c>
      <c r="AG2707" t="str">
        <f>HYPERLINK("https://doi.org/10.1515/9780748643707?locatt=mode:legacy")</f>
        <v>https://doi.org/10.1515/9780748643707?locatt=mode:legacy</v>
      </c>
      <c r="AH2707" t="str">
        <f>HYPERLINK("http://www.degruyter.com/isbn/9780748643707")</f>
        <v>http://www.degruyter.com/isbn/9780748643707</v>
      </c>
      <c r="AI2707" t="s">
        <v>68</v>
      </c>
      <c r="AL2707" t="s">
        <v>102</v>
      </c>
      <c r="AM2707">
        <v>1</v>
      </c>
      <c r="AN2707" s="2">
        <v>9780748641543</v>
      </c>
    </row>
    <row r="2708" spans="1:40" x14ac:dyDescent="0.3">
      <c r="A2708" t="s">
        <v>12817</v>
      </c>
      <c r="B2708" t="s">
        <v>1</v>
      </c>
      <c r="C2708" t="s">
        <v>12818</v>
      </c>
      <c r="D2708" t="s">
        <v>12819</v>
      </c>
      <c r="E2708" t="s">
        <v>12820</v>
      </c>
      <c r="F2708" t="s">
        <v>5</v>
      </c>
      <c r="G2708" t="s">
        <v>6</v>
      </c>
      <c r="L2708" t="s">
        <v>7</v>
      </c>
      <c r="M2708">
        <v>2021</v>
      </c>
      <c r="N2708" s="1">
        <v>44656</v>
      </c>
      <c r="O2708" t="s">
        <v>12821</v>
      </c>
      <c r="P2708">
        <v>1</v>
      </c>
      <c r="Q2708" t="s">
        <v>7571</v>
      </c>
      <c r="S2708">
        <v>209.95</v>
      </c>
      <c r="T2708">
        <v>240</v>
      </c>
      <c r="U2708">
        <v>180</v>
      </c>
      <c r="V2708" t="s">
        <v>20</v>
      </c>
      <c r="W2708" t="s">
        <v>21</v>
      </c>
      <c r="X2708" t="s">
        <v>22</v>
      </c>
      <c r="Y2708" t="s">
        <v>489</v>
      </c>
      <c r="AF2708" t="s">
        <v>13</v>
      </c>
      <c r="AG2708" t="str">
        <f>HYPERLINK("https://doi.org/10.1515/9781474410168")</f>
        <v>https://doi.org/10.1515/9781474410168</v>
      </c>
      <c r="AH2708" t="str">
        <f>HYPERLINK("http://www.degruyter.com/isbn/9781474410168")</f>
        <v>http://www.degruyter.com/isbn/9781474410168</v>
      </c>
      <c r="AI2708" t="s">
        <v>473</v>
      </c>
      <c r="AL2708" t="s">
        <v>15</v>
      </c>
      <c r="AM2708">
        <v>1</v>
      </c>
      <c r="AN2708" s="2">
        <v>9781474410151</v>
      </c>
    </row>
    <row r="2709" spans="1:40" x14ac:dyDescent="0.3">
      <c r="A2709" t="s">
        <v>12822</v>
      </c>
      <c r="B2709" t="s">
        <v>1</v>
      </c>
      <c r="C2709" t="s">
        <v>12823</v>
      </c>
      <c r="D2709" t="s">
        <v>12824</v>
      </c>
      <c r="E2709" t="s">
        <v>12825</v>
      </c>
      <c r="F2709" t="s">
        <v>5</v>
      </c>
      <c r="G2709" t="s">
        <v>6</v>
      </c>
      <c r="L2709" t="s">
        <v>7</v>
      </c>
      <c r="M2709">
        <v>2018</v>
      </c>
      <c r="N2709" s="1">
        <v>44656</v>
      </c>
      <c r="O2709" t="s">
        <v>12826</v>
      </c>
      <c r="P2709">
        <v>1</v>
      </c>
      <c r="Q2709" t="s">
        <v>7303</v>
      </c>
      <c r="S2709">
        <v>217.95</v>
      </c>
      <c r="T2709">
        <v>250</v>
      </c>
      <c r="U2709">
        <v>190</v>
      </c>
      <c r="V2709" t="s">
        <v>1155</v>
      </c>
      <c r="W2709" t="s">
        <v>5616</v>
      </c>
      <c r="X2709" t="s">
        <v>5616</v>
      </c>
      <c r="Y2709" t="s">
        <v>12827</v>
      </c>
      <c r="AF2709" t="s">
        <v>13</v>
      </c>
      <c r="AG2709" t="str">
        <f>HYPERLINK("https://doi.org/10.1515/9781474421188")</f>
        <v>https://doi.org/10.1515/9781474421188</v>
      </c>
      <c r="AH2709" t="str">
        <f>HYPERLINK("http://www.degruyter.com/isbn/9781474421188")</f>
        <v>http://www.degruyter.com/isbn/9781474421188</v>
      </c>
      <c r="AI2709" t="s">
        <v>46</v>
      </c>
      <c r="AJ2709" t="s">
        <v>35</v>
      </c>
      <c r="AL2709" t="s">
        <v>5618</v>
      </c>
      <c r="AM2709">
        <v>1</v>
      </c>
      <c r="AN2709" s="2">
        <v>9781474421171</v>
      </c>
    </row>
    <row r="2710" spans="1:40" x14ac:dyDescent="0.3">
      <c r="A2710" t="s">
        <v>12828</v>
      </c>
      <c r="B2710" t="s">
        <v>1</v>
      </c>
      <c r="C2710" t="s">
        <v>12829</v>
      </c>
      <c r="E2710" t="s">
        <v>12830</v>
      </c>
      <c r="F2710" t="s">
        <v>5</v>
      </c>
      <c r="G2710" t="s">
        <v>6</v>
      </c>
      <c r="L2710" t="s">
        <v>7</v>
      </c>
      <c r="M2710">
        <v>1998</v>
      </c>
      <c r="N2710" s="1">
        <v>44672</v>
      </c>
      <c r="O2710" t="s">
        <v>12831</v>
      </c>
      <c r="P2710">
        <v>1</v>
      </c>
      <c r="Q2710" t="s">
        <v>6815</v>
      </c>
      <c r="S2710">
        <v>73.95</v>
      </c>
      <c r="T2710">
        <v>81.900000000000006</v>
      </c>
      <c r="U2710">
        <v>62</v>
      </c>
      <c r="V2710" t="s">
        <v>20</v>
      </c>
      <c r="W2710" t="s">
        <v>21</v>
      </c>
      <c r="X2710" t="s">
        <v>3445</v>
      </c>
      <c r="Y2710" t="s">
        <v>3446</v>
      </c>
      <c r="AF2710" t="s">
        <v>13</v>
      </c>
      <c r="AG2710" t="str">
        <f>HYPERLINK("https://doi.org/10.1515/9780585123035")</f>
        <v>https://doi.org/10.1515/9780585123035</v>
      </c>
      <c r="AH2710" t="str">
        <f>HYPERLINK("http://www.degruyter.com/isbn/9780585123035")</f>
        <v>http://www.degruyter.com/isbn/9780585123035</v>
      </c>
      <c r="AI2710" t="s">
        <v>24</v>
      </c>
      <c r="AL2710" t="s">
        <v>15</v>
      </c>
      <c r="AM2710">
        <v>1</v>
      </c>
      <c r="AN2710" s="2">
        <v>9781853311895</v>
      </c>
    </row>
    <row r="2711" spans="1:40" x14ac:dyDescent="0.3">
      <c r="A2711" t="s">
        <v>12832</v>
      </c>
      <c r="B2711" t="s">
        <v>1</v>
      </c>
      <c r="C2711" t="s">
        <v>12833</v>
      </c>
      <c r="D2711" t="s">
        <v>12834</v>
      </c>
      <c r="E2711" t="s">
        <v>12835</v>
      </c>
      <c r="F2711" t="s">
        <v>5</v>
      </c>
      <c r="G2711" t="s">
        <v>6</v>
      </c>
      <c r="L2711" t="s">
        <v>7</v>
      </c>
      <c r="M2711">
        <v>2017</v>
      </c>
      <c r="N2711" s="1">
        <v>42979</v>
      </c>
      <c r="O2711" t="s">
        <v>12836</v>
      </c>
      <c r="P2711">
        <v>1</v>
      </c>
      <c r="Q2711" t="s">
        <v>6665</v>
      </c>
      <c r="S2711">
        <v>217.95</v>
      </c>
      <c r="T2711">
        <v>250</v>
      </c>
      <c r="U2711">
        <v>190</v>
      </c>
      <c r="V2711" t="s">
        <v>9</v>
      </c>
      <c r="W2711" t="s">
        <v>10</v>
      </c>
      <c r="X2711" t="s">
        <v>11</v>
      </c>
      <c r="Y2711" t="s">
        <v>52</v>
      </c>
      <c r="AF2711" t="s">
        <v>13</v>
      </c>
      <c r="AG2711" t="str">
        <f>HYPERLINK("https://doi.org/10.1515/9781474429467?locatt=mode:legacy")</f>
        <v>https://doi.org/10.1515/9781474429467?locatt=mode:legacy</v>
      </c>
      <c r="AH2711" t="str">
        <f>HYPERLINK("http://www.degruyter.com/isbn/9781474429467")</f>
        <v>http://www.degruyter.com/isbn/9781474429467</v>
      </c>
      <c r="AI2711" t="s">
        <v>222</v>
      </c>
      <c r="AL2711" t="s">
        <v>15</v>
      </c>
      <c r="AM2711">
        <v>1</v>
      </c>
      <c r="AN2711" s="2">
        <v>9781474429443</v>
      </c>
    </row>
    <row r="2712" spans="1:40" x14ac:dyDescent="0.3">
      <c r="A2712" t="s">
        <v>12837</v>
      </c>
      <c r="B2712" t="s">
        <v>1</v>
      </c>
      <c r="C2712" t="s">
        <v>12838</v>
      </c>
      <c r="D2712" t="s">
        <v>12839</v>
      </c>
      <c r="E2712" t="s">
        <v>12840</v>
      </c>
      <c r="F2712" t="s">
        <v>5</v>
      </c>
      <c r="G2712" t="s">
        <v>6</v>
      </c>
      <c r="L2712" t="s">
        <v>7</v>
      </c>
      <c r="M2712">
        <v>2014</v>
      </c>
      <c r="N2712" s="1">
        <v>41709</v>
      </c>
      <c r="O2712" t="s">
        <v>12841</v>
      </c>
      <c r="P2712">
        <v>1</v>
      </c>
      <c r="Q2712" t="s">
        <v>5764</v>
      </c>
      <c r="S2712">
        <v>217.95</v>
      </c>
      <c r="T2712">
        <v>250</v>
      </c>
      <c r="U2712">
        <v>190</v>
      </c>
      <c r="V2712" t="s">
        <v>42</v>
      </c>
      <c r="W2712" t="s">
        <v>43</v>
      </c>
      <c r="X2712" t="s">
        <v>44</v>
      </c>
      <c r="Y2712" t="s">
        <v>45</v>
      </c>
      <c r="AF2712" t="s">
        <v>13</v>
      </c>
      <c r="AG2712" t="str">
        <f>HYPERLINK("https://doi.org/10.1515/9780748693375")</f>
        <v>https://doi.org/10.1515/9780748693375</v>
      </c>
      <c r="AH2712" t="str">
        <f>HYPERLINK("http://www.degruyter.com/isbn/9780748693375")</f>
        <v>http://www.degruyter.com/isbn/9780748693375</v>
      </c>
      <c r="AI2712" t="s">
        <v>34</v>
      </c>
      <c r="AL2712" t="s">
        <v>47</v>
      </c>
      <c r="AM2712">
        <v>1</v>
      </c>
      <c r="AN2712" s="2">
        <v>9780748693368</v>
      </c>
    </row>
    <row r="2713" spans="1:40" x14ac:dyDescent="0.3">
      <c r="A2713" t="s">
        <v>12842</v>
      </c>
      <c r="B2713" t="s">
        <v>1</v>
      </c>
      <c r="C2713" t="s">
        <v>12843</v>
      </c>
      <c r="E2713" t="s">
        <v>12844</v>
      </c>
      <c r="F2713" t="s">
        <v>5</v>
      </c>
      <c r="G2713" t="s">
        <v>6</v>
      </c>
      <c r="L2713" t="s">
        <v>7</v>
      </c>
      <c r="M2713">
        <v>2007</v>
      </c>
      <c r="N2713" s="1">
        <v>39407</v>
      </c>
      <c r="O2713" t="s">
        <v>12845</v>
      </c>
      <c r="P2713">
        <v>1</v>
      </c>
      <c r="Q2713" t="s">
        <v>6630</v>
      </c>
      <c r="S2713">
        <v>209.95</v>
      </c>
      <c r="T2713">
        <v>240</v>
      </c>
      <c r="U2713">
        <v>180</v>
      </c>
      <c r="V2713" t="s">
        <v>42</v>
      </c>
      <c r="W2713" t="s">
        <v>107</v>
      </c>
      <c r="X2713" t="s">
        <v>108</v>
      </c>
      <c r="Y2713" t="s">
        <v>2244</v>
      </c>
      <c r="AF2713" t="s">
        <v>13</v>
      </c>
      <c r="AG2713" t="str">
        <f>HYPERLINK("https://doi.org/10.1515/9780748630165")</f>
        <v>https://doi.org/10.1515/9780748630165</v>
      </c>
      <c r="AH2713" t="str">
        <f>HYPERLINK("http://www.degruyter.com/isbn/9780748630165")</f>
        <v>http://www.degruyter.com/isbn/9780748630165</v>
      </c>
      <c r="AI2713" t="s">
        <v>68</v>
      </c>
      <c r="AL2713" t="s">
        <v>47</v>
      </c>
      <c r="AM2713">
        <v>1</v>
      </c>
      <c r="AN2713" s="2">
        <v>9780748623716</v>
      </c>
    </row>
    <row r="2714" spans="1:40" x14ac:dyDescent="0.3">
      <c r="A2714" t="s">
        <v>12846</v>
      </c>
      <c r="B2714" t="s">
        <v>1</v>
      </c>
      <c r="C2714" t="s">
        <v>12847</v>
      </c>
      <c r="D2714" t="s">
        <v>12848</v>
      </c>
      <c r="E2714" t="s">
        <v>12849</v>
      </c>
      <c r="F2714" t="s">
        <v>5</v>
      </c>
      <c r="G2714" t="s">
        <v>6</v>
      </c>
      <c r="L2714" t="s">
        <v>7</v>
      </c>
      <c r="M2714">
        <v>2020</v>
      </c>
      <c r="N2714" s="1">
        <v>44644</v>
      </c>
      <c r="O2714" t="s">
        <v>12850</v>
      </c>
      <c r="P2714">
        <v>1</v>
      </c>
      <c r="Q2714" t="s">
        <v>5754</v>
      </c>
      <c r="S2714">
        <v>253.95</v>
      </c>
      <c r="T2714">
        <v>290</v>
      </c>
      <c r="U2714">
        <v>220</v>
      </c>
      <c r="V2714" t="s">
        <v>79</v>
      </c>
      <c r="W2714" t="s">
        <v>734</v>
      </c>
      <c r="X2714" t="s">
        <v>734</v>
      </c>
      <c r="Y2714" t="s">
        <v>735</v>
      </c>
      <c r="AF2714" t="s">
        <v>13</v>
      </c>
      <c r="AG2714" t="str">
        <f>HYPERLINK("https://doi.org/10.1515/9781474457637")</f>
        <v>https://doi.org/10.1515/9781474457637</v>
      </c>
      <c r="AH2714" t="str">
        <f>HYPERLINK("http://www.degruyter.com/isbn/9781474457637")</f>
        <v>http://www.degruyter.com/isbn/9781474457637</v>
      </c>
      <c r="AI2714" t="s">
        <v>14</v>
      </c>
      <c r="AL2714" t="s">
        <v>83</v>
      </c>
      <c r="AM2714">
        <v>1</v>
      </c>
      <c r="AN2714" s="2">
        <v>9781474457613</v>
      </c>
    </row>
    <row r="2715" spans="1:40" x14ac:dyDescent="0.3">
      <c r="A2715" t="s">
        <v>12851</v>
      </c>
      <c r="B2715" t="s">
        <v>1</v>
      </c>
      <c r="C2715" t="s">
        <v>12852</v>
      </c>
      <c r="E2715" t="s">
        <v>12853</v>
      </c>
      <c r="F2715" t="s">
        <v>5</v>
      </c>
      <c r="G2715" t="s">
        <v>6</v>
      </c>
      <c r="L2715" t="s">
        <v>7</v>
      </c>
      <c r="M2715">
        <v>2011</v>
      </c>
      <c r="N2715" s="1">
        <v>40755</v>
      </c>
      <c r="O2715" t="s">
        <v>12854</v>
      </c>
      <c r="P2715">
        <v>1</v>
      </c>
      <c r="Q2715" t="s">
        <v>5715</v>
      </c>
      <c r="S2715">
        <v>253.95</v>
      </c>
      <c r="T2715">
        <v>290</v>
      </c>
      <c r="U2715">
        <v>220</v>
      </c>
      <c r="V2715" t="s">
        <v>98</v>
      </c>
      <c r="W2715" t="s">
        <v>99</v>
      </c>
      <c r="X2715" t="s">
        <v>100</v>
      </c>
      <c r="Y2715" t="s">
        <v>7253</v>
      </c>
      <c r="AF2715" t="s">
        <v>13</v>
      </c>
      <c r="AG2715" t="str">
        <f>HYPERLINK("https://doi.org/10.1515/9780748647521")</f>
        <v>https://doi.org/10.1515/9780748647521</v>
      </c>
      <c r="AH2715" t="str">
        <f>HYPERLINK("http://www.degruyter.com/isbn/9780748647521")</f>
        <v>http://www.degruyter.com/isbn/9780748647521</v>
      </c>
      <c r="AI2715" t="s">
        <v>68</v>
      </c>
      <c r="AL2715" t="s">
        <v>102</v>
      </c>
      <c r="AM2715">
        <v>1</v>
      </c>
      <c r="AN2715" s="2">
        <v>9780748641017</v>
      </c>
    </row>
    <row r="2716" spans="1:40" x14ac:dyDescent="0.3">
      <c r="A2716" t="s">
        <v>12855</v>
      </c>
      <c r="B2716" t="s">
        <v>1</v>
      </c>
      <c r="C2716" t="s">
        <v>12856</v>
      </c>
      <c r="E2716" t="s">
        <v>12857</v>
      </c>
      <c r="F2716" t="s">
        <v>5</v>
      </c>
      <c r="G2716" t="s">
        <v>6</v>
      </c>
      <c r="L2716" t="s">
        <v>7</v>
      </c>
      <c r="M2716">
        <v>2007</v>
      </c>
      <c r="N2716" s="1">
        <v>39338</v>
      </c>
      <c r="O2716" t="s">
        <v>12858</v>
      </c>
      <c r="P2716">
        <v>1</v>
      </c>
      <c r="Q2716" t="s">
        <v>6630</v>
      </c>
      <c r="S2716">
        <v>209.95</v>
      </c>
      <c r="T2716">
        <v>240</v>
      </c>
      <c r="U2716">
        <v>180</v>
      </c>
      <c r="V2716" t="s">
        <v>42</v>
      </c>
      <c r="W2716" t="s">
        <v>161</v>
      </c>
      <c r="X2716" t="s">
        <v>162</v>
      </c>
      <c r="Y2716" t="s">
        <v>12859</v>
      </c>
      <c r="AF2716" t="s">
        <v>13</v>
      </c>
      <c r="AG2716" t="str">
        <f>HYPERLINK("https://doi.org/10.1515/9780748629527")</f>
        <v>https://doi.org/10.1515/9780748629527</v>
      </c>
      <c r="AH2716" t="str">
        <f>HYPERLINK("http://www.degruyter.com/isbn/9780748629527")</f>
        <v>http://www.degruyter.com/isbn/9780748629527</v>
      </c>
      <c r="AI2716" t="s">
        <v>68</v>
      </c>
      <c r="AL2716" t="s">
        <v>47</v>
      </c>
      <c r="AM2716">
        <v>1</v>
      </c>
      <c r="AN2716" s="2">
        <v>9780748621613</v>
      </c>
    </row>
    <row r="2717" spans="1:40" x14ac:dyDescent="0.3">
      <c r="A2717" t="s">
        <v>12860</v>
      </c>
      <c r="B2717" t="s">
        <v>1</v>
      </c>
      <c r="C2717" t="s">
        <v>12861</v>
      </c>
      <c r="D2717" t="s">
        <v>1316</v>
      </c>
      <c r="E2717" t="s">
        <v>12862</v>
      </c>
      <c r="F2717" t="s">
        <v>5</v>
      </c>
      <c r="G2717" t="s">
        <v>6</v>
      </c>
      <c r="K2717" t="s">
        <v>923</v>
      </c>
      <c r="L2717" t="s">
        <v>7</v>
      </c>
      <c r="M2717">
        <v>2021</v>
      </c>
      <c r="N2717" s="1">
        <v>44244</v>
      </c>
      <c r="O2717" t="s">
        <v>12863</v>
      </c>
      <c r="P2717">
        <v>1</v>
      </c>
      <c r="Q2717" t="s">
        <v>7283</v>
      </c>
      <c r="V2717" t="s">
        <v>9</v>
      </c>
      <c r="W2717" t="s">
        <v>10</v>
      </c>
      <c r="X2717" t="s">
        <v>11</v>
      </c>
      <c r="Y2717" t="s">
        <v>12</v>
      </c>
      <c r="AF2717" t="s">
        <v>13</v>
      </c>
      <c r="AG2717" t="str">
        <f>HYPERLINK("https://doi.org/10.1515/9781474446365")</f>
        <v>https://doi.org/10.1515/9781474446365</v>
      </c>
      <c r="AH2717" t="str">
        <f>HYPERLINK("http://www.degruyter.com/isbn/9781474446365")</f>
        <v>http://www.degruyter.com/isbn/9781474446365</v>
      </c>
      <c r="AI2717" t="s">
        <v>1561</v>
      </c>
      <c r="AM2717">
        <v>1</v>
      </c>
      <c r="AN2717" s="2"/>
    </row>
    <row r="2718" spans="1:40" x14ac:dyDescent="0.3">
      <c r="A2718" t="s">
        <v>12864</v>
      </c>
      <c r="B2718" t="s">
        <v>1</v>
      </c>
      <c r="C2718" t="s">
        <v>12865</v>
      </c>
      <c r="D2718" t="s">
        <v>12866</v>
      </c>
      <c r="E2718" t="s">
        <v>12867</v>
      </c>
      <c r="F2718" t="s">
        <v>5</v>
      </c>
      <c r="G2718" t="s">
        <v>6</v>
      </c>
      <c r="L2718" t="s">
        <v>7</v>
      </c>
      <c r="M2718">
        <v>2021</v>
      </c>
      <c r="N2718" s="1">
        <v>44656</v>
      </c>
      <c r="O2718" t="s">
        <v>12868</v>
      </c>
      <c r="P2718">
        <v>1</v>
      </c>
      <c r="Q2718" t="s">
        <v>7481</v>
      </c>
      <c r="S2718">
        <v>243.95</v>
      </c>
      <c r="T2718">
        <v>280</v>
      </c>
      <c r="U2718">
        <v>210</v>
      </c>
      <c r="V2718" t="s">
        <v>20</v>
      </c>
      <c r="W2718" t="s">
        <v>21</v>
      </c>
      <c r="X2718" t="s">
        <v>458</v>
      </c>
      <c r="Y2718" t="s">
        <v>459</v>
      </c>
      <c r="AF2718" t="s">
        <v>13</v>
      </c>
      <c r="AG2718" t="str">
        <f>HYPERLINK("https://doi.org/10.1515/9781474440325")</f>
        <v>https://doi.org/10.1515/9781474440325</v>
      </c>
      <c r="AH2718" t="str">
        <f>HYPERLINK("http://www.degruyter.com/isbn/9781474440325")</f>
        <v>http://www.degruyter.com/isbn/9781474440325</v>
      </c>
      <c r="AI2718" t="s">
        <v>473</v>
      </c>
      <c r="AL2718" t="s">
        <v>15</v>
      </c>
      <c r="AM2718">
        <v>1</v>
      </c>
      <c r="AN2718" s="2">
        <v>9781474440301</v>
      </c>
    </row>
    <row r="2719" spans="1:40" x14ac:dyDescent="0.3">
      <c r="A2719" t="s">
        <v>12869</v>
      </c>
      <c r="B2719" t="s">
        <v>1</v>
      </c>
      <c r="C2719" t="s">
        <v>12870</v>
      </c>
      <c r="D2719" t="s">
        <v>9283</v>
      </c>
      <c r="E2719" t="s">
        <v>12871</v>
      </c>
      <c r="F2719" t="s">
        <v>5</v>
      </c>
      <c r="G2719" t="s">
        <v>6</v>
      </c>
      <c r="L2719" t="s">
        <v>7</v>
      </c>
      <c r="M2719">
        <v>2012</v>
      </c>
      <c r="N2719" s="1">
        <v>41011</v>
      </c>
      <c r="O2719" t="s">
        <v>12872</v>
      </c>
      <c r="P2719">
        <v>1</v>
      </c>
      <c r="Q2719" t="s">
        <v>9286</v>
      </c>
      <c r="S2719">
        <v>191.95</v>
      </c>
      <c r="T2719">
        <v>220</v>
      </c>
      <c r="U2719">
        <v>170</v>
      </c>
      <c r="V2719" t="s">
        <v>42</v>
      </c>
      <c r="W2719" t="s">
        <v>290</v>
      </c>
      <c r="X2719" t="s">
        <v>290</v>
      </c>
      <c r="Y2719" t="s">
        <v>515</v>
      </c>
      <c r="AF2719" t="s">
        <v>13</v>
      </c>
      <c r="AG2719" t="str">
        <f>HYPERLINK("https://doi.org/10.1515/9780748654413")</f>
        <v>https://doi.org/10.1515/9780748654413</v>
      </c>
      <c r="AH2719" t="str">
        <f>HYPERLINK("http://www.degruyter.com/isbn/9780748654413")</f>
        <v>http://www.degruyter.com/isbn/9780748654413</v>
      </c>
      <c r="AI2719" t="s">
        <v>68</v>
      </c>
      <c r="AL2719" t="s">
        <v>47</v>
      </c>
      <c r="AM2719">
        <v>1</v>
      </c>
      <c r="AN2719" s="2">
        <v>9780748639717</v>
      </c>
    </row>
    <row r="2720" spans="1:40" x14ac:dyDescent="0.3">
      <c r="A2720" t="s">
        <v>12873</v>
      </c>
      <c r="B2720" t="s">
        <v>1</v>
      </c>
      <c r="C2720" t="s">
        <v>12874</v>
      </c>
      <c r="D2720" t="s">
        <v>4643</v>
      </c>
      <c r="E2720" t="s">
        <v>12875</v>
      </c>
      <c r="F2720" t="s">
        <v>5</v>
      </c>
      <c r="G2720" t="s">
        <v>6</v>
      </c>
      <c r="L2720" t="s">
        <v>7</v>
      </c>
      <c r="M2720">
        <v>2009</v>
      </c>
      <c r="N2720" s="1">
        <v>40074</v>
      </c>
      <c r="O2720" t="s">
        <v>12876</v>
      </c>
      <c r="P2720">
        <v>1</v>
      </c>
      <c r="Q2720" t="s">
        <v>6606</v>
      </c>
      <c r="S2720">
        <v>243.95</v>
      </c>
      <c r="T2720">
        <v>280</v>
      </c>
      <c r="U2720">
        <v>210</v>
      </c>
      <c r="V2720" t="s">
        <v>79</v>
      </c>
      <c r="W2720" t="s">
        <v>209</v>
      </c>
      <c r="X2720" t="s">
        <v>209</v>
      </c>
      <c r="Y2720" t="s">
        <v>699</v>
      </c>
      <c r="AF2720" t="s">
        <v>13</v>
      </c>
      <c r="AG2720" t="str">
        <f>HYPERLINK("https://doi.org/10.1515/9781474469807?locatt=mode:legacy")</f>
        <v>https://doi.org/10.1515/9781474469807?locatt=mode:legacy</v>
      </c>
      <c r="AH2720" t="str">
        <f>HYPERLINK("http://www.degruyter.com/isbn/9781474469807")</f>
        <v>http://www.degruyter.com/isbn/9781474469807</v>
      </c>
      <c r="AI2720" t="s">
        <v>68</v>
      </c>
      <c r="AL2720" t="s">
        <v>83</v>
      </c>
      <c r="AM2720">
        <v>1</v>
      </c>
      <c r="AN2720" s="2">
        <v>9780748635900</v>
      </c>
    </row>
    <row r="2721" spans="1:40" x14ac:dyDescent="0.3">
      <c r="A2721" t="s">
        <v>12877</v>
      </c>
      <c r="B2721" t="s">
        <v>1</v>
      </c>
      <c r="C2721" t="s">
        <v>12878</v>
      </c>
      <c r="E2721" t="s">
        <v>12879</v>
      </c>
      <c r="F2721" t="s">
        <v>5</v>
      </c>
      <c r="G2721" t="s">
        <v>6</v>
      </c>
      <c r="L2721" t="s">
        <v>7</v>
      </c>
      <c r="M2721">
        <v>2020</v>
      </c>
      <c r="N2721" s="1">
        <v>44644</v>
      </c>
      <c r="O2721" t="s">
        <v>12880</v>
      </c>
      <c r="P2721">
        <v>1</v>
      </c>
      <c r="Q2721" t="s">
        <v>10362</v>
      </c>
      <c r="S2721">
        <v>227.95</v>
      </c>
      <c r="T2721">
        <v>260</v>
      </c>
      <c r="U2721">
        <v>200</v>
      </c>
      <c r="V2721" t="s">
        <v>42</v>
      </c>
      <c r="W2721" t="s">
        <v>43</v>
      </c>
      <c r="X2721" t="s">
        <v>178</v>
      </c>
      <c r="Y2721" t="s">
        <v>1745</v>
      </c>
      <c r="AF2721" t="s">
        <v>13</v>
      </c>
      <c r="AG2721" t="str">
        <f>HYPERLINK("https://doi.org/10.1515/9781474467452")</f>
        <v>https://doi.org/10.1515/9781474467452</v>
      </c>
      <c r="AH2721" t="str">
        <f>HYPERLINK("http://www.degruyter.com/isbn/9781474467452")</f>
        <v>http://www.degruyter.com/isbn/9781474467452</v>
      </c>
      <c r="AI2721" t="s">
        <v>14</v>
      </c>
      <c r="AL2721" t="s">
        <v>47</v>
      </c>
      <c r="AM2721">
        <v>1</v>
      </c>
      <c r="AN2721" s="2">
        <v>9781474467438</v>
      </c>
    </row>
    <row r="2722" spans="1:40" x14ac:dyDescent="0.3">
      <c r="A2722" t="s">
        <v>12881</v>
      </c>
      <c r="B2722" t="s">
        <v>1</v>
      </c>
      <c r="C2722" t="s">
        <v>12882</v>
      </c>
      <c r="E2722" t="s">
        <v>12883</v>
      </c>
      <c r="F2722" t="s">
        <v>5</v>
      </c>
      <c r="G2722" t="s">
        <v>6</v>
      </c>
      <c r="L2722" t="s">
        <v>7</v>
      </c>
      <c r="M2722">
        <v>2006</v>
      </c>
      <c r="N2722" s="1">
        <v>38810</v>
      </c>
      <c r="O2722" t="s">
        <v>8849</v>
      </c>
      <c r="P2722">
        <v>1</v>
      </c>
      <c r="Q2722" t="s">
        <v>6437</v>
      </c>
      <c r="S2722">
        <v>217.95</v>
      </c>
      <c r="T2722">
        <v>250</v>
      </c>
      <c r="U2722">
        <v>190</v>
      </c>
      <c r="V2722" t="s">
        <v>58</v>
      </c>
      <c r="W2722" t="s">
        <v>59</v>
      </c>
      <c r="X2722" t="s">
        <v>60</v>
      </c>
      <c r="Y2722" t="s">
        <v>772</v>
      </c>
      <c r="AF2722" t="s">
        <v>13</v>
      </c>
      <c r="AG2722" t="str">
        <f>HYPERLINK("https://doi.org/10.1515/9780748626670")</f>
        <v>https://doi.org/10.1515/9780748626670</v>
      </c>
      <c r="AH2722" t="str">
        <f>HYPERLINK("http://www.degruyter.com/isbn/9780748626670")</f>
        <v>http://www.degruyter.com/isbn/9780748626670</v>
      </c>
      <c r="AI2722" t="s">
        <v>68</v>
      </c>
      <c r="AL2722" t="s">
        <v>62</v>
      </c>
      <c r="AM2722">
        <v>1</v>
      </c>
      <c r="AN2722" s="2">
        <v>9780748622627</v>
      </c>
    </row>
    <row r="2723" spans="1:40" x14ac:dyDescent="0.3">
      <c r="A2723" t="s">
        <v>12884</v>
      </c>
      <c r="B2723" t="s">
        <v>1</v>
      </c>
      <c r="C2723" t="s">
        <v>12885</v>
      </c>
      <c r="D2723" t="s">
        <v>4112</v>
      </c>
      <c r="E2723" t="s">
        <v>12886</v>
      </c>
      <c r="F2723" t="s">
        <v>5</v>
      </c>
      <c r="G2723" t="s">
        <v>6</v>
      </c>
      <c r="L2723" t="s">
        <v>7</v>
      </c>
      <c r="M2723">
        <v>2014</v>
      </c>
      <c r="N2723" s="1">
        <v>41751</v>
      </c>
      <c r="O2723" t="s">
        <v>1115</v>
      </c>
      <c r="P2723">
        <v>1</v>
      </c>
      <c r="Q2723" t="s">
        <v>7449</v>
      </c>
      <c r="S2723">
        <v>253.95</v>
      </c>
      <c r="T2723">
        <v>290</v>
      </c>
      <c r="U2723">
        <v>220</v>
      </c>
      <c r="V2723" t="s">
        <v>79</v>
      </c>
      <c r="W2723" t="s">
        <v>123</v>
      </c>
      <c r="X2723" t="s">
        <v>123</v>
      </c>
      <c r="Y2723" t="s">
        <v>124</v>
      </c>
      <c r="AF2723" t="s">
        <v>13</v>
      </c>
      <c r="AG2723" t="str">
        <f>HYPERLINK("https://doi.org/10.1515/9780748676224")</f>
        <v>https://doi.org/10.1515/9780748676224</v>
      </c>
      <c r="AH2723" t="str">
        <f>HYPERLINK("http://www.degruyter.com/isbn/9780748676224")</f>
        <v>http://www.degruyter.com/isbn/9780748676224</v>
      </c>
      <c r="AI2723" t="s">
        <v>1247</v>
      </c>
      <c r="AL2723" t="s">
        <v>83</v>
      </c>
      <c r="AM2723">
        <v>1</v>
      </c>
      <c r="AN2723" s="2">
        <v>9780748676200</v>
      </c>
    </row>
    <row r="2724" spans="1:40" x14ac:dyDescent="0.3">
      <c r="A2724" t="s">
        <v>12887</v>
      </c>
      <c r="B2724" t="s">
        <v>1</v>
      </c>
      <c r="C2724" t="s">
        <v>12888</v>
      </c>
      <c r="E2724" t="s">
        <v>12889</v>
      </c>
      <c r="F2724" t="s">
        <v>5</v>
      </c>
      <c r="G2724" t="s">
        <v>6</v>
      </c>
      <c r="L2724" t="s">
        <v>7</v>
      </c>
      <c r="M2724">
        <v>2010</v>
      </c>
      <c r="N2724" s="1">
        <v>40364</v>
      </c>
      <c r="O2724" t="s">
        <v>6131</v>
      </c>
      <c r="P2724">
        <v>1</v>
      </c>
      <c r="Q2724" t="s">
        <v>6606</v>
      </c>
      <c r="S2724">
        <v>243.95</v>
      </c>
      <c r="T2724">
        <v>280</v>
      </c>
      <c r="U2724">
        <v>210</v>
      </c>
      <c r="V2724" t="s">
        <v>42</v>
      </c>
      <c r="W2724" t="s">
        <v>116</v>
      </c>
      <c r="X2724" t="s">
        <v>116</v>
      </c>
      <c r="Y2724" t="s">
        <v>117</v>
      </c>
      <c r="AF2724" t="s">
        <v>13</v>
      </c>
      <c r="AG2724" t="str">
        <f>HYPERLINK("https://doi.org/10.1515/9780748641758")</f>
        <v>https://doi.org/10.1515/9780748641758</v>
      </c>
      <c r="AH2724" t="str">
        <f>HYPERLINK("http://www.degruyter.com/isbn/9780748641758")</f>
        <v>http://www.degruyter.com/isbn/9780748641758</v>
      </c>
      <c r="AI2724" t="s">
        <v>68</v>
      </c>
      <c r="AL2724" t="s">
        <v>47</v>
      </c>
      <c r="AM2724">
        <v>1</v>
      </c>
      <c r="AN2724" s="2">
        <v>9780748641314</v>
      </c>
    </row>
    <row r="2725" spans="1:40" x14ac:dyDescent="0.3">
      <c r="A2725" t="s">
        <v>12890</v>
      </c>
      <c r="B2725" t="s">
        <v>1</v>
      </c>
      <c r="C2725" t="s">
        <v>12891</v>
      </c>
      <c r="E2725" t="s">
        <v>12892</v>
      </c>
      <c r="F2725" t="s">
        <v>5</v>
      </c>
      <c r="G2725" t="s">
        <v>6</v>
      </c>
      <c r="L2725" t="s">
        <v>7</v>
      </c>
      <c r="M2725">
        <v>2010</v>
      </c>
      <c r="N2725" s="1">
        <v>40237</v>
      </c>
      <c r="O2725" t="s">
        <v>12893</v>
      </c>
      <c r="P2725">
        <v>1</v>
      </c>
      <c r="Q2725" t="s">
        <v>10501</v>
      </c>
      <c r="S2725">
        <v>261.95</v>
      </c>
      <c r="T2725">
        <v>300</v>
      </c>
      <c r="U2725">
        <v>230</v>
      </c>
      <c r="V2725" t="s">
        <v>20</v>
      </c>
      <c r="W2725" t="s">
        <v>21</v>
      </c>
      <c r="X2725" t="s">
        <v>575</v>
      </c>
      <c r="Y2725" t="s">
        <v>576</v>
      </c>
      <c r="AF2725" t="s">
        <v>13</v>
      </c>
      <c r="AG2725" t="str">
        <f>HYPERLINK("https://doi.org/10.1515/9780748629060")</f>
        <v>https://doi.org/10.1515/9780748629060</v>
      </c>
      <c r="AH2725" t="str">
        <f>HYPERLINK("http://www.degruyter.com/isbn/9780748629060")</f>
        <v>http://www.degruyter.com/isbn/9780748629060</v>
      </c>
      <c r="AI2725" t="s">
        <v>68</v>
      </c>
      <c r="AL2725" t="s">
        <v>15</v>
      </c>
      <c r="AM2725">
        <v>1</v>
      </c>
      <c r="AN2725" s="2">
        <v>9780748619641</v>
      </c>
    </row>
    <row r="2726" spans="1:40" x14ac:dyDescent="0.3">
      <c r="A2726" t="s">
        <v>12894</v>
      </c>
      <c r="B2726" t="s">
        <v>1</v>
      </c>
      <c r="C2726" t="s">
        <v>12895</v>
      </c>
      <c r="E2726" t="s">
        <v>12896</v>
      </c>
      <c r="F2726" t="s">
        <v>5</v>
      </c>
      <c r="G2726" t="s">
        <v>6</v>
      </c>
      <c r="L2726" t="s">
        <v>7</v>
      </c>
      <c r="M2726">
        <v>2020</v>
      </c>
      <c r="N2726" s="1">
        <v>44656</v>
      </c>
      <c r="O2726" t="s">
        <v>12897</v>
      </c>
      <c r="P2726">
        <v>1</v>
      </c>
      <c r="Q2726" t="s">
        <v>7194</v>
      </c>
      <c r="S2726">
        <v>217.95</v>
      </c>
      <c r="T2726">
        <v>250</v>
      </c>
      <c r="U2726">
        <v>190</v>
      </c>
      <c r="V2726" t="s">
        <v>449</v>
      </c>
      <c r="W2726" t="s">
        <v>7401</v>
      </c>
      <c r="X2726" t="s">
        <v>7401</v>
      </c>
      <c r="Y2726" t="s">
        <v>7402</v>
      </c>
      <c r="AF2726" t="s">
        <v>13</v>
      </c>
      <c r="AG2726" t="str">
        <f>HYPERLINK("https://doi.org/10.1515/9781474458344?locatt=mode:legacy")</f>
        <v>https://doi.org/10.1515/9781474458344?locatt=mode:legacy</v>
      </c>
      <c r="AH2726" t="str">
        <f>HYPERLINK("http://www.degruyter.com/isbn/9781474458344")</f>
        <v>http://www.degruyter.com/isbn/9781474458344</v>
      </c>
      <c r="AI2726" t="s">
        <v>7403</v>
      </c>
      <c r="AL2726" t="s">
        <v>308</v>
      </c>
      <c r="AM2726">
        <v>1</v>
      </c>
      <c r="AN2726" s="2">
        <v>9781474458313</v>
      </c>
    </row>
    <row r="2727" spans="1:40" x14ac:dyDescent="0.3">
      <c r="A2727" t="s">
        <v>12898</v>
      </c>
      <c r="B2727" t="s">
        <v>1</v>
      </c>
      <c r="C2727" t="s">
        <v>12899</v>
      </c>
      <c r="E2727" t="s">
        <v>12900</v>
      </c>
      <c r="F2727" t="s">
        <v>5</v>
      </c>
      <c r="G2727" t="s">
        <v>6</v>
      </c>
      <c r="K2727" t="s">
        <v>923</v>
      </c>
      <c r="L2727" t="s">
        <v>7</v>
      </c>
      <c r="M2727">
        <v>2021</v>
      </c>
      <c r="N2727" s="1">
        <v>44428</v>
      </c>
      <c r="O2727" t="s">
        <v>12901</v>
      </c>
      <c r="P2727">
        <v>1</v>
      </c>
      <c r="Q2727" t="s">
        <v>7423</v>
      </c>
      <c r="V2727" t="s">
        <v>98</v>
      </c>
      <c r="W2727" t="s">
        <v>99</v>
      </c>
      <c r="X2727" t="s">
        <v>2010</v>
      </c>
      <c r="Y2727" t="s">
        <v>2011</v>
      </c>
      <c r="AF2727" t="s">
        <v>13</v>
      </c>
      <c r="AG2727" t="str">
        <f>HYPERLINK("https://doi.org/10.1515/9781474463812")</f>
        <v>https://doi.org/10.1515/9781474463812</v>
      </c>
      <c r="AH2727" t="str">
        <f>HYPERLINK("http://www.degruyter.com/isbn/9781474463812")</f>
        <v>http://www.degruyter.com/isbn/9781474463812</v>
      </c>
      <c r="AI2727" t="s">
        <v>11238</v>
      </c>
      <c r="AM2727">
        <v>1</v>
      </c>
      <c r="AN2727" s="2"/>
    </row>
    <row r="2728" spans="1:40" x14ac:dyDescent="0.3">
      <c r="A2728" t="s">
        <v>12902</v>
      </c>
      <c r="B2728" t="s">
        <v>1</v>
      </c>
      <c r="C2728" t="s">
        <v>12903</v>
      </c>
      <c r="D2728" t="s">
        <v>12904</v>
      </c>
      <c r="E2728" t="s">
        <v>12905</v>
      </c>
      <c r="F2728" t="s">
        <v>5</v>
      </c>
      <c r="G2728" t="s">
        <v>6</v>
      </c>
      <c r="L2728" t="s">
        <v>7</v>
      </c>
      <c r="M2728">
        <v>2011</v>
      </c>
      <c r="N2728" s="1">
        <v>40828</v>
      </c>
      <c r="O2728" t="s">
        <v>1459</v>
      </c>
      <c r="P2728">
        <v>1</v>
      </c>
      <c r="Q2728" t="s">
        <v>7174</v>
      </c>
      <c r="S2728">
        <v>217.95</v>
      </c>
      <c r="T2728">
        <v>250</v>
      </c>
      <c r="U2728">
        <v>190</v>
      </c>
      <c r="V2728" t="s">
        <v>42</v>
      </c>
      <c r="W2728" t="s">
        <v>116</v>
      </c>
      <c r="X2728" t="s">
        <v>116</v>
      </c>
      <c r="Y2728" t="s">
        <v>117</v>
      </c>
      <c r="AF2728" t="s">
        <v>13</v>
      </c>
      <c r="AG2728" t="str">
        <f>HYPERLINK("https://doi.org/10.1515/9780748636556")</f>
        <v>https://doi.org/10.1515/9780748636556</v>
      </c>
      <c r="AH2728" t="str">
        <f>HYPERLINK("http://www.degruyter.com/isbn/9780748636556")</f>
        <v>http://www.degruyter.com/isbn/9780748636556</v>
      </c>
      <c r="AI2728" t="s">
        <v>68</v>
      </c>
      <c r="AL2728" t="s">
        <v>47</v>
      </c>
      <c r="AM2728">
        <v>1</v>
      </c>
      <c r="AN2728" s="2">
        <v>9780748636549</v>
      </c>
    </row>
    <row r="2729" spans="1:40" x14ac:dyDescent="0.3">
      <c r="A2729" t="s">
        <v>12906</v>
      </c>
      <c r="B2729" t="s">
        <v>1</v>
      </c>
      <c r="C2729" t="s">
        <v>12907</v>
      </c>
      <c r="D2729" t="s">
        <v>12908</v>
      </c>
      <c r="E2729" t="s">
        <v>12909</v>
      </c>
      <c r="F2729" t="s">
        <v>5</v>
      </c>
      <c r="G2729" t="s">
        <v>6</v>
      </c>
      <c r="L2729" t="s">
        <v>7</v>
      </c>
      <c r="M2729">
        <v>2013</v>
      </c>
      <c r="N2729" s="1">
        <v>41509</v>
      </c>
      <c r="O2729" t="s">
        <v>12910</v>
      </c>
      <c r="P2729">
        <v>1</v>
      </c>
      <c r="Q2729" t="s">
        <v>6876</v>
      </c>
      <c r="S2729">
        <v>217.95</v>
      </c>
      <c r="T2729">
        <v>250</v>
      </c>
      <c r="U2729">
        <v>190</v>
      </c>
      <c r="V2729" t="s">
        <v>42</v>
      </c>
      <c r="W2729" t="s">
        <v>116</v>
      </c>
      <c r="X2729" t="s">
        <v>116</v>
      </c>
      <c r="Y2729" t="s">
        <v>117</v>
      </c>
      <c r="AF2729" t="s">
        <v>13</v>
      </c>
      <c r="AG2729" t="str">
        <f>HYPERLINK("https://doi.org/10.1515/9780748685233?locatt=mode:legacy")</f>
        <v>https://doi.org/10.1515/9780748685233?locatt=mode:legacy</v>
      </c>
      <c r="AH2729" t="str">
        <f>HYPERLINK("http://www.degruyter.com/isbn/9780748685233")</f>
        <v>http://www.degruyter.com/isbn/9780748685233</v>
      </c>
      <c r="AI2729" t="s">
        <v>68</v>
      </c>
      <c r="AL2729" t="s">
        <v>47</v>
      </c>
      <c r="AM2729">
        <v>1</v>
      </c>
      <c r="AN2729" s="2">
        <v>9780748641413</v>
      </c>
    </row>
    <row r="2730" spans="1:40" x14ac:dyDescent="0.3">
      <c r="A2730" t="s">
        <v>12911</v>
      </c>
      <c r="B2730" t="s">
        <v>1</v>
      </c>
      <c r="C2730" t="s">
        <v>12912</v>
      </c>
      <c r="D2730" t="s">
        <v>12913</v>
      </c>
      <c r="E2730" t="s">
        <v>12914</v>
      </c>
      <c r="F2730" t="s">
        <v>5</v>
      </c>
      <c r="G2730" t="s">
        <v>6</v>
      </c>
      <c r="L2730" t="s">
        <v>7</v>
      </c>
      <c r="M2730">
        <v>2020</v>
      </c>
      <c r="N2730" s="1">
        <v>44622</v>
      </c>
      <c r="O2730" t="s">
        <v>12915</v>
      </c>
      <c r="P2730">
        <v>1</v>
      </c>
      <c r="Q2730" t="s">
        <v>6912</v>
      </c>
      <c r="S2730">
        <v>253.95</v>
      </c>
      <c r="T2730">
        <v>290</v>
      </c>
      <c r="U2730">
        <v>220</v>
      </c>
      <c r="V2730" t="s">
        <v>98</v>
      </c>
      <c r="W2730" t="s">
        <v>99</v>
      </c>
      <c r="X2730" t="s">
        <v>386</v>
      </c>
      <c r="Y2730" t="s">
        <v>387</v>
      </c>
      <c r="AF2730" t="s">
        <v>13</v>
      </c>
      <c r="AG2730" t="str">
        <f>HYPERLINK("https://doi.org/10.1515/9781474458177")</f>
        <v>https://doi.org/10.1515/9781474458177</v>
      </c>
      <c r="AH2730" t="str">
        <f>HYPERLINK("http://www.degruyter.com/isbn/9781474458177")</f>
        <v>http://www.degruyter.com/isbn/9781474458177</v>
      </c>
      <c r="AI2730" t="s">
        <v>14</v>
      </c>
      <c r="AL2730" t="s">
        <v>102</v>
      </c>
      <c r="AM2730">
        <v>1</v>
      </c>
      <c r="AN2730" s="2">
        <v>9781474458153</v>
      </c>
    </row>
    <row r="2731" spans="1:40" x14ac:dyDescent="0.3">
      <c r="A2731" t="s">
        <v>12916</v>
      </c>
      <c r="B2731" t="s">
        <v>1</v>
      </c>
      <c r="C2731" t="s">
        <v>12917</v>
      </c>
      <c r="E2731" t="s">
        <v>12918</v>
      </c>
      <c r="F2731" t="s">
        <v>5</v>
      </c>
      <c r="G2731" t="s">
        <v>6</v>
      </c>
      <c r="L2731" t="s">
        <v>7</v>
      </c>
      <c r="M2731">
        <v>2004</v>
      </c>
      <c r="N2731" s="1">
        <v>38014</v>
      </c>
      <c r="O2731" t="s">
        <v>12919</v>
      </c>
      <c r="P2731">
        <v>1</v>
      </c>
      <c r="Q2731" t="s">
        <v>6923</v>
      </c>
      <c r="S2731">
        <v>253.95</v>
      </c>
      <c r="T2731">
        <v>290</v>
      </c>
      <c r="U2731">
        <v>220</v>
      </c>
      <c r="V2731" t="s">
        <v>79</v>
      </c>
      <c r="W2731" t="s">
        <v>123</v>
      </c>
      <c r="X2731" t="s">
        <v>123</v>
      </c>
      <c r="Y2731" t="s">
        <v>124</v>
      </c>
      <c r="AF2731" t="s">
        <v>13</v>
      </c>
      <c r="AG2731" t="str">
        <f>HYPERLINK("https://doi.org/10.1515/9780748646500")</f>
        <v>https://doi.org/10.1515/9780748646500</v>
      </c>
      <c r="AH2731" t="str">
        <f>HYPERLINK("http://www.degruyter.com/isbn/9780748646500")</f>
        <v>http://www.degruyter.com/isbn/9780748646500</v>
      </c>
      <c r="AI2731" t="s">
        <v>68</v>
      </c>
      <c r="AL2731" t="s">
        <v>83</v>
      </c>
      <c r="AM2731">
        <v>1</v>
      </c>
      <c r="AN2731" s="2">
        <v>9780748618705</v>
      </c>
    </row>
    <row r="2732" spans="1:40" x14ac:dyDescent="0.3">
      <c r="A2732" t="s">
        <v>12920</v>
      </c>
      <c r="B2732" t="s">
        <v>1</v>
      </c>
      <c r="C2732" t="s">
        <v>12921</v>
      </c>
      <c r="D2732" t="s">
        <v>12922</v>
      </c>
      <c r="E2732" t="s">
        <v>12923</v>
      </c>
      <c r="F2732" t="s">
        <v>5</v>
      </c>
      <c r="G2732" t="s">
        <v>6</v>
      </c>
      <c r="L2732" t="s">
        <v>7</v>
      </c>
      <c r="M2732">
        <v>2021</v>
      </c>
      <c r="N2732" s="1">
        <v>44656</v>
      </c>
      <c r="O2732" t="s">
        <v>12924</v>
      </c>
      <c r="P2732">
        <v>1</v>
      </c>
      <c r="Q2732" t="s">
        <v>6785</v>
      </c>
      <c r="S2732">
        <v>217.95</v>
      </c>
      <c r="T2732">
        <v>250</v>
      </c>
      <c r="U2732">
        <v>190</v>
      </c>
      <c r="V2732" t="s">
        <v>79</v>
      </c>
      <c r="W2732" t="s">
        <v>123</v>
      </c>
      <c r="X2732" t="s">
        <v>123</v>
      </c>
      <c r="Y2732" t="s">
        <v>124</v>
      </c>
      <c r="AF2732" t="s">
        <v>13</v>
      </c>
      <c r="AG2732" t="str">
        <f>HYPERLINK("https://doi.org/10.1515/9781474456333")</f>
        <v>https://doi.org/10.1515/9781474456333</v>
      </c>
      <c r="AH2732" t="str">
        <f>HYPERLINK("http://www.degruyter.com/isbn/9781474456333")</f>
        <v>http://www.degruyter.com/isbn/9781474456333</v>
      </c>
      <c r="AI2732" t="s">
        <v>4630</v>
      </c>
      <c r="AL2732" t="s">
        <v>83</v>
      </c>
      <c r="AM2732">
        <v>1</v>
      </c>
      <c r="AN2732" s="2">
        <v>9781474456319</v>
      </c>
    </row>
    <row r="2733" spans="1:40" x14ac:dyDescent="0.3">
      <c r="A2733" t="s">
        <v>12925</v>
      </c>
      <c r="B2733" t="s">
        <v>1</v>
      </c>
      <c r="C2733" t="s">
        <v>12926</v>
      </c>
      <c r="D2733" t="s">
        <v>12927</v>
      </c>
      <c r="E2733" t="s">
        <v>12928</v>
      </c>
      <c r="F2733" t="s">
        <v>5</v>
      </c>
      <c r="G2733" t="s">
        <v>6</v>
      </c>
      <c r="L2733" t="s">
        <v>7</v>
      </c>
      <c r="M2733">
        <v>2016</v>
      </c>
      <c r="N2733" s="1">
        <v>42662</v>
      </c>
      <c r="O2733" t="s">
        <v>12929</v>
      </c>
      <c r="P2733">
        <v>1</v>
      </c>
      <c r="Q2733" t="s">
        <v>7863</v>
      </c>
      <c r="S2733">
        <v>217.95</v>
      </c>
      <c r="T2733">
        <v>250</v>
      </c>
      <c r="U2733">
        <v>190</v>
      </c>
      <c r="V2733" t="s">
        <v>42</v>
      </c>
      <c r="W2733" t="s">
        <v>116</v>
      </c>
      <c r="X2733" t="s">
        <v>116</v>
      </c>
      <c r="Y2733" t="s">
        <v>117</v>
      </c>
      <c r="AF2733" t="s">
        <v>13</v>
      </c>
      <c r="AG2733" t="str">
        <f>HYPERLINK("https://doi.org/10.1515/9781474415736")</f>
        <v>https://doi.org/10.1515/9781474415736</v>
      </c>
      <c r="AH2733" t="str">
        <f>HYPERLINK("http://www.degruyter.com/isbn/9781474415736")</f>
        <v>http://www.degruyter.com/isbn/9781474415736</v>
      </c>
      <c r="AI2733" t="s">
        <v>180</v>
      </c>
      <c r="AL2733" t="s">
        <v>47</v>
      </c>
      <c r="AM2733">
        <v>1</v>
      </c>
      <c r="AN2733" s="2">
        <v>9781474415729</v>
      </c>
    </row>
    <row r="2734" spans="1:40" x14ac:dyDescent="0.3">
      <c r="A2734" t="s">
        <v>12930</v>
      </c>
      <c r="B2734" t="s">
        <v>1</v>
      </c>
      <c r="C2734" t="s">
        <v>12931</v>
      </c>
      <c r="D2734" t="s">
        <v>12932</v>
      </c>
      <c r="E2734" t="s">
        <v>12933</v>
      </c>
      <c r="F2734" t="s">
        <v>5</v>
      </c>
      <c r="G2734" t="s">
        <v>6</v>
      </c>
      <c r="L2734" t="s">
        <v>7</v>
      </c>
      <c r="M2734">
        <v>2012</v>
      </c>
      <c r="N2734" s="1">
        <v>41080</v>
      </c>
      <c r="O2734" t="s">
        <v>12934</v>
      </c>
      <c r="P2734">
        <v>1</v>
      </c>
      <c r="Q2734" t="s">
        <v>7529</v>
      </c>
      <c r="S2734">
        <v>287.95</v>
      </c>
      <c r="T2734">
        <v>330</v>
      </c>
      <c r="U2734">
        <v>250</v>
      </c>
      <c r="V2734" t="s">
        <v>329</v>
      </c>
      <c r="W2734" t="s">
        <v>330</v>
      </c>
      <c r="X2734" t="s">
        <v>331</v>
      </c>
      <c r="Y2734" t="s">
        <v>1035</v>
      </c>
      <c r="AF2734" t="s">
        <v>13</v>
      </c>
      <c r="AG2734" t="str">
        <f>HYPERLINK("https://doi.org/10.1515/9780748629206")</f>
        <v>https://doi.org/10.1515/9780748629206</v>
      </c>
      <c r="AH2734" t="str">
        <f>HYPERLINK("http://www.degruyter.com/isbn/9780748629206")</f>
        <v>http://www.degruyter.com/isbn/9780748629206</v>
      </c>
      <c r="AI2734" t="s">
        <v>68</v>
      </c>
      <c r="AL2734" t="s">
        <v>333</v>
      </c>
      <c r="AM2734">
        <v>1</v>
      </c>
      <c r="AN2734" s="2">
        <v>9780748620500</v>
      </c>
    </row>
    <row r="2735" spans="1:40" x14ac:dyDescent="0.3">
      <c r="A2735" t="s">
        <v>12935</v>
      </c>
      <c r="B2735" t="s">
        <v>1</v>
      </c>
      <c r="C2735" t="s">
        <v>12936</v>
      </c>
      <c r="D2735" t="s">
        <v>12937</v>
      </c>
      <c r="E2735" t="s">
        <v>12938</v>
      </c>
      <c r="F2735" t="s">
        <v>5</v>
      </c>
      <c r="G2735" t="s">
        <v>6</v>
      </c>
      <c r="L2735" t="s">
        <v>7</v>
      </c>
      <c r="M2735">
        <v>2021</v>
      </c>
      <c r="N2735" s="1">
        <v>44644</v>
      </c>
      <c r="O2735" t="s">
        <v>12939</v>
      </c>
      <c r="P2735">
        <v>1</v>
      </c>
      <c r="Q2735" t="s">
        <v>7019</v>
      </c>
      <c r="S2735">
        <v>217.95</v>
      </c>
      <c r="T2735">
        <v>250</v>
      </c>
      <c r="U2735">
        <v>190</v>
      </c>
      <c r="V2735" t="s">
        <v>42</v>
      </c>
      <c r="W2735" t="s">
        <v>107</v>
      </c>
      <c r="X2735" t="s">
        <v>108</v>
      </c>
      <c r="Y2735" t="s">
        <v>109</v>
      </c>
      <c r="AF2735" t="s">
        <v>13</v>
      </c>
      <c r="AG2735" t="str">
        <f>HYPERLINK("https://doi.org/10.1515/9781474483919")</f>
        <v>https://doi.org/10.1515/9781474483919</v>
      </c>
      <c r="AH2735" t="str">
        <f>HYPERLINK("http://www.degruyter.com/isbn/9781474483919")</f>
        <v>http://www.degruyter.com/isbn/9781474483919</v>
      </c>
      <c r="AI2735" t="s">
        <v>1561</v>
      </c>
      <c r="AL2735" t="s">
        <v>47</v>
      </c>
      <c r="AM2735">
        <v>1</v>
      </c>
      <c r="AN2735" s="2">
        <v>9781474483896</v>
      </c>
    </row>
    <row r="2736" spans="1:40" x14ac:dyDescent="0.3">
      <c r="A2736" t="s">
        <v>12940</v>
      </c>
      <c r="B2736" t="s">
        <v>1</v>
      </c>
      <c r="C2736" t="s">
        <v>12941</v>
      </c>
      <c r="E2736" t="s">
        <v>12942</v>
      </c>
      <c r="F2736" t="s">
        <v>5</v>
      </c>
      <c r="G2736" t="s">
        <v>6</v>
      </c>
      <c r="L2736" t="s">
        <v>7</v>
      </c>
      <c r="M2736">
        <v>2005</v>
      </c>
      <c r="N2736" s="1">
        <v>38518</v>
      </c>
      <c r="O2736" t="s">
        <v>4995</v>
      </c>
      <c r="P2736">
        <v>1</v>
      </c>
      <c r="Q2736" t="s">
        <v>8048</v>
      </c>
      <c r="S2736">
        <v>227.95</v>
      </c>
      <c r="T2736">
        <v>260</v>
      </c>
      <c r="U2736">
        <v>200</v>
      </c>
      <c r="V2736" t="s">
        <v>58</v>
      </c>
      <c r="W2736" t="s">
        <v>59</v>
      </c>
      <c r="X2736" t="s">
        <v>278</v>
      </c>
      <c r="Y2736" t="s">
        <v>932</v>
      </c>
      <c r="AF2736" t="s">
        <v>13</v>
      </c>
      <c r="AG2736" t="str">
        <f>HYPERLINK("https://doi.org/10.1515/9780748680894")</f>
        <v>https://doi.org/10.1515/9780748680894</v>
      </c>
      <c r="AH2736" t="str">
        <f>HYPERLINK("http://www.degruyter.com/isbn/9780748680894")</f>
        <v>http://www.degruyter.com/isbn/9780748680894</v>
      </c>
      <c r="AI2736" t="s">
        <v>1149</v>
      </c>
      <c r="AL2736" t="s">
        <v>62</v>
      </c>
      <c r="AM2736">
        <v>1</v>
      </c>
      <c r="AN2736" s="2">
        <v>9780748622450</v>
      </c>
    </row>
    <row r="2737" spans="1:40" x14ac:dyDescent="0.3">
      <c r="A2737" t="s">
        <v>12943</v>
      </c>
      <c r="B2737" t="s">
        <v>1</v>
      </c>
      <c r="C2737" t="s">
        <v>12944</v>
      </c>
      <c r="E2737" t="s">
        <v>12945</v>
      </c>
      <c r="F2737" t="s">
        <v>5</v>
      </c>
      <c r="G2737" t="s">
        <v>6</v>
      </c>
      <c r="L2737" t="s">
        <v>7</v>
      </c>
      <c r="M2737">
        <v>2001</v>
      </c>
      <c r="N2737" s="1">
        <v>36900</v>
      </c>
      <c r="O2737" t="s">
        <v>12946</v>
      </c>
      <c r="P2737">
        <v>1</v>
      </c>
      <c r="Q2737" t="s">
        <v>7266</v>
      </c>
      <c r="S2737">
        <v>227.95</v>
      </c>
      <c r="T2737">
        <v>260</v>
      </c>
      <c r="U2737">
        <v>200</v>
      </c>
      <c r="V2737" t="s">
        <v>42</v>
      </c>
      <c r="W2737" t="s">
        <v>116</v>
      </c>
      <c r="X2737" t="s">
        <v>116</v>
      </c>
      <c r="Y2737" t="s">
        <v>117</v>
      </c>
      <c r="AF2737" t="s">
        <v>13</v>
      </c>
      <c r="AG2737" t="str">
        <f>HYPERLINK("https://doi.org/10.1515/9781474432665")</f>
        <v>https://doi.org/10.1515/9781474432665</v>
      </c>
      <c r="AH2737" t="str">
        <f>HYPERLINK("http://www.degruyter.com/isbn/9781474432665")</f>
        <v>http://www.degruyter.com/isbn/9781474432665</v>
      </c>
      <c r="AI2737" t="s">
        <v>68</v>
      </c>
      <c r="AL2737" t="s">
        <v>47</v>
      </c>
      <c r="AM2737">
        <v>1</v>
      </c>
      <c r="AN2737" s="2">
        <v>9780748605842</v>
      </c>
    </row>
    <row r="2738" spans="1:40" x14ac:dyDescent="0.3">
      <c r="A2738" t="s">
        <v>12947</v>
      </c>
      <c r="B2738" t="s">
        <v>1</v>
      </c>
      <c r="C2738" t="s">
        <v>12948</v>
      </c>
      <c r="D2738" t="s">
        <v>12949</v>
      </c>
      <c r="E2738" t="s">
        <v>12950</v>
      </c>
      <c r="F2738" t="s">
        <v>5</v>
      </c>
      <c r="G2738" t="s">
        <v>6</v>
      </c>
      <c r="L2738" t="s">
        <v>7</v>
      </c>
      <c r="M2738">
        <v>2021</v>
      </c>
      <c r="N2738" s="1">
        <v>44672</v>
      </c>
      <c r="O2738" t="s">
        <v>12951</v>
      </c>
      <c r="P2738">
        <v>1</v>
      </c>
      <c r="Q2738" t="s">
        <v>12952</v>
      </c>
      <c r="S2738">
        <v>305.95</v>
      </c>
      <c r="T2738">
        <v>350</v>
      </c>
      <c r="U2738">
        <v>270</v>
      </c>
      <c r="V2738" t="s">
        <v>42</v>
      </c>
      <c r="W2738" t="s">
        <v>107</v>
      </c>
      <c r="X2738" t="s">
        <v>108</v>
      </c>
      <c r="Y2738" t="s">
        <v>952</v>
      </c>
      <c r="AF2738" t="s">
        <v>13</v>
      </c>
      <c r="AG2738" t="str">
        <f>HYPERLINK("https://doi.org/10.1515/9781474457828")</f>
        <v>https://doi.org/10.1515/9781474457828</v>
      </c>
      <c r="AH2738" t="str">
        <f>HYPERLINK("http://www.degruyter.com/isbn/9781474457828")</f>
        <v>http://www.degruyter.com/isbn/9781474457828</v>
      </c>
      <c r="AI2738" t="s">
        <v>110</v>
      </c>
      <c r="AL2738" t="s">
        <v>47</v>
      </c>
      <c r="AM2738">
        <v>1</v>
      </c>
      <c r="AN2738" s="2">
        <v>9781474457811</v>
      </c>
    </row>
    <row r="2739" spans="1:40" x14ac:dyDescent="0.3">
      <c r="A2739" t="s">
        <v>12953</v>
      </c>
      <c r="B2739" t="s">
        <v>1</v>
      </c>
      <c r="C2739" t="s">
        <v>12954</v>
      </c>
      <c r="E2739" t="s">
        <v>12955</v>
      </c>
      <c r="F2739" t="s">
        <v>5</v>
      </c>
      <c r="G2739" t="s">
        <v>6</v>
      </c>
      <c r="L2739" t="s">
        <v>7</v>
      </c>
      <c r="M2739">
        <v>2006</v>
      </c>
      <c r="N2739" s="1">
        <v>38789</v>
      </c>
      <c r="O2739" t="s">
        <v>12956</v>
      </c>
      <c r="P2739">
        <v>1</v>
      </c>
      <c r="Q2739" t="s">
        <v>7187</v>
      </c>
      <c r="S2739">
        <v>253.95</v>
      </c>
      <c r="T2739">
        <v>290</v>
      </c>
      <c r="U2739">
        <v>220</v>
      </c>
      <c r="V2739" t="s">
        <v>98</v>
      </c>
      <c r="W2739" t="s">
        <v>99</v>
      </c>
      <c r="X2739" t="s">
        <v>386</v>
      </c>
      <c r="Y2739" t="s">
        <v>387</v>
      </c>
      <c r="AF2739" t="s">
        <v>13</v>
      </c>
      <c r="AG2739" t="str">
        <f>HYPERLINK("https://doi.org/10.1515/9780748626588")</f>
        <v>https://doi.org/10.1515/9780748626588</v>
      </c>
      <c r="AH2739" t="str">
        <f>HYPERLINK("http://www.degruyter.com/isbn/9780748626588")</f>
        <v>http://www.degruyter.com/isbn/9780748626588</v>
      </c>
      <c r="AI2739" t="s">
        <v>68</v>
      </c>
      <c r="AL2739" t="s">
        <v>102</v>
      </c>
      <c r="AM2739">
        <v>1</v>
      </c>
      <c r="AN2739" s="2">
        <v>9780748612628</v>
      </c>
    </row>
    <row r="2740" spans="1:40" x14ac:dyDescent="0.3">
      <c r="A2740" t="s">
        <v>12957</v>
      </c>
      <c r="B2740" t="s">
        <v>1</v>
      </c>
      <c r="C2740" t="s">
        <v>12958</v>
      </c>
      <c r="E2740" t="s">
        <v>12959</v>
      </c>
      <c r="F2740" t="s">
        <v>5</v>
      </c>
      <c r="G2740" t="s">
        <v>6</v>
      </c>
      <c r="L2740" t="s">
        <v>7</v>
      </c>
      <c r="M2740">
        <v>2022</v>
      </c>
      <c r="N2740" s="1">
        <v>44672</v>
      </c>
      <c r="O2740" t="s">
        <v>12960</v>
      </c>
      <c r="P2740">
        <v>1</v>
      </c>
      <c r="Q2740" t="s">
        <v>12961</v>
      </c>
      <c r="S2740">
        <v>217.95</v>
      </c>
      <c r="T2740">
        <v>250</v>
      </c>
      <c r="U2740">
        <v>190</v>
      </c>
      <c r="V2740" t="s">
        <v>42</v>
      </c>
      <c r="W2740" t="s">
        <v>161</v>
      </c>
      <c r="X2740" t="s">
        <v>162</v>
      </c>
      <c r="Y2740" t="s">
        <v>393</v>
      </c>
      <c r="AF2740" t="s">
        <v>13</v>
      </c>
      <c r="AG2740" t="str">
        <f>HYPERLINK("https://doi.org/10.1515/9781474484039")</f>
        <v>https://doi.org/10.1515/9781474484039</v>
      </c>
      <c r="AH2740" t="str">
        <f>HYPERLINK("http://www.degruyter.com/isbn/9781474484039")</f>
        <v>http://www.degruyter.com/isbn/9781474484039</v>
      </c>
      <c r="AI2740" t="s">
        <v>12962</v>
      </c>
      <c r="AL2740" t="s">
        <v>47</v>
      </c>
      <c r="AM2740">
        <v>1</v>
      </c>
      <c r="AN2740" s="2">
        <v>9781474484015</v>
      </c>
    </row>
    <row r="2741" spans="1:40" x14ac:dyDescent="0.3">
      <c r="A2741" t="s">
        <v>12963</v>
      </c>
      <c r="B2741" t="s">
        <v>1</v>
      </c>
      <c r="C2741" t="s">
        <v>12964</v>
      </c>
      <c r="E2741" t="s">
        <v>12965</v>
      </c>
      <c r="F2741" t="s">
        <v>5</v>
      </c>
      <c r="G2741" t="s">
        <v>6</v>
      </c>
      <c r="L2741" t="s">
        <v>7</v>
      </c>
      <c r="M2741">
        <v>1998</v>
      </c>
      <c r="N2741" s="1">
        <v>44607</v>
      </c>
      <c r="O2741" t="s">
        <v>12966</v>
      </c>
      <c r="P2741">
        <v>1</v>
      </c>
      <c r="Q2741" t="s">
        <v>12967</v>
      </c>
      <c r="S2741">
        <v>217.95</v>
      </c>
      <c r="T2741">
        <v>250</v>
      </c>
      <c r="U2741">
        <v>190</v>
      </c>
      <c r="V2741" t="s">
        <v>42</v>
      </c>
      <c r="W2741" t="s">
        <v>1379</v>
      </c>
      <c r="X2741" t="s">
        <v>1380</v>
      </c>
      <c r="Y2741" t="s">
        <v>12968</v>
      </c>
      <c r="AF2741" t="s">
        <v>13</v>
      </c>
      <c r="AG2741" t="str">
        <f>HYPERLINK("https://doi.org/10.1515/9781474470902")</f>
        <v>https://doi.org/10.1515/9781474470902</v>
      </c>
      <c r="AH2741" t="str">
        <f>HYPERLINK("http://www.degruyter.com/isbn/9781474470902")</f>
        <v>http://www.degruyter.com/isbn/9781474470902</v>
      </c>
      <c r="AI2741" t="s">
        <v>24</v>
      </c>
      <c r="AL2741" t="s">
        <v>47</v>
      </c>
      <c r="AM2741">
        <v>1</v>
      </c>
      <c r="AN2741" s="2">
        <v>9780748609178</v>
      </c>
    </row>
    <row r="2742" spans="1:40" x14ac:dyDescent="0.3">
      <c r="A2742" t="s">
        <v>12969</v>
      </c>
      <c r="B2742" t="s">
        <v>1</v>
      </c>
      <c r="C2742" t="s">
        <v>12970</v>
      </c>
      <c r="E2742" t="s">
        <v>12971</v>
      </c>
      <c r="F2742" t="s">
        <v>5</v>
      </c>
      <c r="G2742" t="s">
        <v>6</v>
      </c>
      <c r="K2742" t="s">
        <v>12972</v>
      </c>
      <c r="L2742" t="s">
        <v>7</v>
      </c>
      <c r="M2742">
        <v>2021</v>
      </c>
      <c r="N2742" s="1">
        <v>44448</v>
      </c>
      <c r="O2742" t="s">
        <v>12973</v>
      </c>
      <c r="P2742">
        <v>1</v>
      </c>
      <c r="Q2742" t="s">
        <v>12974</v>
      </c>
      <c r="V2742" t="s">
        <v>9</v>
      </c>
      <c r="W2742" t="s">
        <v>2817</v>
      </c>
      <c r="X2742" t="s">
        <v>2818</v>
      </c>
      <c r="Y2742" t="s">
        <v>2819</v>
      </c>
      <c r="AF2742" t="s">
        <v>13</v>
      </c>
      <c r="AG2742" t="str">
        <f>HYPERLINK("https://doi.org/10.1515/9781474490443")</f>
        <v>https://doi.org/10.1515/9781474490443</v>
      </c>
      <c r="AH2742" t="str">
        <f>HYPERLINK("http://www.degruyter.com/isbn/9781474490443")</f>
        <v>http://www.degruyter.com/isbn/9781474490443</v>
      </c>
      <c r="AI2742" t="s">
        <v>12975</v>
      </c>
      <c r="AM2742">
        <v>1</v>
      </c>
      <c r="AN2742" s="2"/>
    </row>
    <row r="2743" spans="1:40" x14ac:dyDescent="0.3">
      <c r="A2743" t="s">
        <v>12976</v>
      </c>
      <c r="B2743" t="s">
        <v>1</v>
      </c>
      <c r="C2743" t="s">
        <v>11386</v>
      </c>
      <c r="D2743" t="s">
        <v>12977</v>
      </c>
      <c r="E2743" t="s">
        <v>11388</v>
      </c>
      <c r="F2743" t="s">
        <v>5</v>
      </c>
      <c r="G2743" t="s">
        <v>6</v>
      </c>
      <c r="L2743" t="s">
        <v>7</v>
      </c>
      <c r="M2743">
        <v>2018</v>
      </c>
      <c r="N2743" s="1">
        <v>44656</v>
      </c>
      <c r="O2743" t="s">
        <v>12978</v>
      </c>
      <c r="P2743">
        <v>1</v>
      </c>
      <c r="Q2743" t="s">
        <v>8601</v>
      </c>
      <c r="S2743">
        <v>227.95</v>
      </c>
      <c r="T2743">
        <v>260</v>
      </c>
      <c r="U2743">
        <v>200</v>
      </c>
      <c r="V2743" t="s">
        <v>305</v>
      </c>
      <c r="W2743" t="s">
        <v>2566</v>
      </c>
      <c r="X2743" t="s">
        <v>2567</v>
      </c>
      <c r="Y2743" t="s">
        <v>4151</v>
      </c>
      <c r="AF2743" t="s">
        <v>13</v>
      </c>
      <c r="AG2743" t="str">
        <f>HYPERLINK("https://doi.org/10.1515/9781474417044")</f>
        <v>https://doi.org/10.1515/9781474417044</v>
      </c>
      <c r="AH2743" t="str">
        <f>HYPERLINK("http://www.degruyter.com/isbn/9781474417044")</f>
        <v>http://www.degruyter.com/isbn/9781474417044</v>
      </c>
      <c r="AI2743" t="s">
        <v>46</v>
      </c>
      <c r="AL2743" t="s">
        <v>308</v>
      </c>
      <c r="AM2743">
        <v>1</v>
      </c>
      <c r="AN2743" s="2">
        <v>9781474417037</v>
      </c>
    </row>
    <row r="2744" spans="1:40" x14ac:dyDescent="0.3">
      <c r="A2744" t="s">
        <v>12979</v>
      </c>
      <c r="B2744" t="s">
        <v>1</v>
      </c>
      <c r="C2744" t="s">
        <v>12980</v>
      </c>
      <c r="D2744" t="s">
        <v>12981</v>
      </c>
      <c r="E2744" t="s">
        <v>12982</v>
      </c>
      <c r="F2744" t="s">
        <v>5</v>
      </c>
      <c r="G2744" t="s">
        <v>6</v>
      </c>
      <c r="L2744" t="s">
        <v>7</v>
      </c>
      <c r="M2744">
        <v>2020</v>
      </c>
      <c r="N2744" s="1">
        <v>44656</v>
      </c>
      <c r="O2744" t="s">
        <v>12983</v>
      </c>
      <c r="P2744">
        <v>1</v>
      </c>
      <c r="Q2744" t="s">
        <v>6539</v>
      </c>
      <c r="S2744">
        <v>227.95</v>
      </c>
      <c r="T2744">
        <v>260</v>
      </c>
      <c r="U2744">
        <v>200</v>
      </c>
      <c r="V2744" t="s">
        <v>42</v>
      </c>
      <c r="W2744" t="s">
        <v>107</v>
      </c>
      <c r="X2744" t="s">
        <v>108</v>
      </c>
      <c r="Y2744" t="s">
        <v>109</v>
      </c>
      <c r="AF2744" t="s">
        <v>13</v>
      </c>
      <c r="AG2744" t="str">
        <f>HYPERLINK("https://doi.org/10.1515/9781474460620?locatt=mode:legacy")</f>
        <v>https://doi.org/10.1515/9781474460620?locatt=mode:legacy</v>
      </c>
      <c r="AH2744" t="str">
        <f>HYPERLINK("http://www.degruyter.com/isbn/9781474460620")</f>
        <v>http://www.degruyter.com/isbn/9781474460620</v>
      </c>
      <c r="AI2744" t="s">
        <v>14</v>
      </c>
      <c r="AL2744" t="s">
        <v>47</v>
      </c>
      <c r="AM2744">
        <v>1</v>
      </c>
      <c r="AN2744" s="2">
        <v>9781474460606</v>
      </c>
    </row>
    <row r="2745" spans="1:40" x14ac:dyDescent="0.3">
      <c r="A2745" t="s">
        <v>12984</v>
      </c>
      <c r="B2745" t="s">
        <v>1</v>
      </c>
      <c r="C2745" t="s">
        <v>12985</v>
      </c>
      <c r="D2745" t="s">
        <v>12986</v>
      </c>
      <c r="E2745" t="s">
        <v>12987</v>
      </c>
      <c r="F2745" t="s">
        <v>5</v>
      </c>
      <c r="G2745" t="s">
        <v>6</v>
      </c>
      <c r="L2745" t="s">
        <v>7</v>
      </c>
      <c r="M2745">
        <v>2020</v>
      </c>
      <c r="N2745" s="1">
        <v>44656</v>
      </c>
      <c r="O2745" t="s">
        <v>12988</v>
      </c>
      <c r="P2745">
        <v>1</v>
      </c>
      <c r="Q2745" t="s">
        <v>9604</v>
      </c>
      <c r="S2745">
        <v>217.95</v>
      </c>
      <c r="T2745">
        <v>250</v>
      </c>
      <c r="U2745">
        <v>190</v>
      </c>
      <c r="V2745" t="s">
        <v>20</v>
      </c>
      <c r="W2745" t="s">
        <v>21</v>
      </c>
      <c r="X2745" t="s">
        <v>4875</v>
      </c>
      <c r="Y2745" t="s">
        <v>4876</v>
      </c>
      <c r="AF2745" t="s">
        <v>13</v>
      </c>
      <c r="AG2745" t="str">
        <f>HYPERLINK("https://doi.org/10.1515/9781474467254")</f>
        <v>https://doi.org/10.1515/9781474467254</v>
      </c>
      <c r="AH2745" t="str">
        <f>HYPERLINK("http://www.degruyter.com/isbn/9781474467254")</f>
        <v>http://www.degruyter.com/isbn/9781474467254</v>
      </c>
      <c r="AI2745" t="s">
        <v>14</v>
      </c>
      <c r="AL2745" t="s">
        <v>15</v>
      </c>
      <c r="AM2745">
        <v>1</v>
      </c>
      <c r="AN2745" s="2">
        <v>9781474467230</v>
      </c>
    </row>
    <row r="2746" spans="1:40" x14ac:dyDescent="0.3">
      <c r="A2746" t="s">
        <v>12989</v>
      </c>
      <c r="B2746" t="s">
        <v>1</v>
      </c>
      <c r="C2746" t="s">
        <v>12990</v>
      </c>
      <c r="E2746" t="s">
        <v>12991</v>
      </c>
      <c r="F2746" t="s">
        <v>5</v>
      </c>
      <c r="G2746" t="s">
        <v>6</v>
      </c>
      <c r="L2746" t="s">
        <v>7</v>
      </c>
      <c r="M2746">
        <v>2021</v>
      </c>
      <c r="N2746" s="1">
        <v>44672</v>
      </c>
      <c r="O2746" t="s">
        <v>12992</v>
      </c>
      <c r="P2746">
        <v>1</v>
      </c>
      <c r="Q2746" t="s">
        <v>12993</v>
      </c>
      <c r="S2746">
        <v>227.95</v>
      </c>
      <c r="T2746">
        <v>260</v>
      </c>
      <c r="U2746">
        <v>200</v>
      </c>
      <c r="V2746" t="s">
        <v>42</v>
      </c>
      <c r="W2746" t="s">
        <v>107</v>
      </c>
      <c r="X2746" t="s">
        <v>108</v>
      </c>
      <c r="Y2746" t="s">
        <v>952</v>
      </c>
      <c r="AF2746" t="s">
        <v>13</v>
      </c>
      <c r="AG2746" t="str">
        <f>HYPERLINK("https://doi.org/10.1515/9781474435864")</f>
        <v>https://doi.org/10.1515/9781474435864</v>
      </c>
      <c r="AH2746" t="str">
        <f>HYPERLINK("http://www.degruyter.com/isbn/9781474435864")</f>
        <v>http://www.degruyter.com/isbn/9781474435864</v>
      </c>
      <c r="AI2746" t="s">
        <v>110</v>
      </c>
      <c r="AL2746" t="s">
        <v>47</v>
      </c>
      <c r="AM2746">
        <v>1</v>
      </c>
      <c r="AN2746" s="2">
        <v>9781474435840</v>
      </c>
    </row>
    <row r="2747" spans="1:40" x14ac:dyDescent="0.3">
      <c r="A2747" t="s">
        <v>12994</v>
      </c>
      <c r="B2747" t="s">
        <v>1</v>
      </c>
      <c r="C2747" t="s">
        <v>12995</v>
      </c>
      <c r="E2747" t="s">
        <v>12996</v>
      </c>
      <c r="F2747" t="s">
        <v>5</v>
      </c>
      <c r="G2747" t="s">
        <v>6</v>
      </c>
      <c r="L2747" t="s">
        <v>7</v>
      </c>
      <c r="M2747">
        <v>2016</v>
      </c>
      <c r="N2747" s="1">
        <v>42627</v>
      </c>
      <c r="O2747" t="s">
        <v>12997</v>
      </c>
      <c r="P2747">
        <v>1</v>
      </c>
      <c r="Q2747" t="s">
        <v>8750</v>
      </c>
      <c r="S2747">
        <v>217.95</v>
      </c>
      <c r="T2747">
        <v>250</v>
      </c>
      <c r="U2747">
        <v>190</v>
      </c>
      <c r="V2747" t="s">
        <v>42</v>
      </c>
      <c r="W2747" t="s">
        <v>161</v>
      </c>
      <c r="X2747" t="s">
        <v>162</v>
      </c>
      <c r="Y2747" t="s">
        <v>957</v>
      </c>
      <c r="AF2747" t="s">
        <v>13</v>
      </c>
      <c r="AG2747" t="str">
        <f>HYPERLINK("https://doi.org/10.1515/9781474417556")</f>
        <v>https://doi.org/10.1515/9781474417556</v>
      </c>
      <c r="AH2747" t="str">
        <f>HYPERLINK("http://www.degruyter.com/isbn/9781474417556")</f>
        <v>http://www.degruyter.com/isbn/9781474417556</v>
      </c>
      <c r="AI2747" t="s">
        <v>180</v>
      </c>
      <c r="AL2747" t="s">
        <v>47</v>
      </c>
      <c r="AM2747">
        <v>1</v>
      </c>
      <c r="AN2747" s="2">
        <v>9781474417532</v>
      </c>
    </row>
    <row r="2748" spans="1:40" x14ac:dyDescent="0.3">
      <c r="A2748" t="s">
        <v>12998</v>
      </c>
      <c r="B2748" t="s">
        <v>1</v>
      </c>
      <c r="C2748" t="s">
        <v>12999</v>
      </c>
      <c r="D2748" t="s">
        <v>13000</v>
      </c>
      <c r="E2748" t="s">
        <v>13001</v>
      </c>
      <c r="F2748" t="s">
        <v>5</v>
      </c>
      <c r="G2748" t="s">
        <v>6</v>
      </c>
      <c r="L2748" t="s">
        <v>7</v>
      </c>
      <c r="M2748">
        <v>2020</v>
      </c>
      <c r="N2748" s="1">
        <v>44644</v>
      </c>
      <c r="O2748" t="s">
        <v>13002</v>
      </c>
      <c r="P2748">
        <v>1</v>
      </c>
      <c r="Q2748" t="s">
        <v>9604</v>
      </c>
      <c r="S2748">
        <v>217.95</v>
      </c>
      <c r="T2748">
        <v>250</v>
      </c>
      <c r="U2748">
        <v>190</v>
      </c>
      <c r="V2748" t="s">
        <v>58</v>
      </c>
      <c r="W2748" t="s">
        <v>59</v>
      </c>
      <c r="X2748" t="s">
        <v>60</v>
      </c>
      <c r="Y2748" t="s">
        <v>1171</v>
      </c>
      <c r="AF2748" t="s">
        <v>13</v>
      </c>
      <c r="AG2748" t="str">
        <f>HYPERLINK("https://doi.org/10.1515/9781474466363")</f>
        <v>https://doi.org/10.1515/9781474466363</v>
      </c>
      <c r="AH2748" t="str">
        <f>HYPERLINK("http://www.degruyter.com/isbn/9781474466363")</f>
        <v>http://www.degruyter.com/isbn/9781474466363</v>
      </c>
      <c r="AI2748" t="s">
        <v>14</v>
      </c>
      <c r="AL2748" t="s">
        <v>62</v>
      </c>
      <c r="AM2748">
        <v>1</v>
      </c>
      <c r="AN2748" s="2">
        <v>9781474466349</v>
      </c>
    </row>
    <row r="2749" spans="1:40" x14ac:dyDescent="0.3">
      <c r="A2749" t="s">
        <v>13003</v>
      </c>
      <c r="B2749" t="s">
        <v>1</v>
      </c>
      <c r="C2749" t="s">
        <v>13004</v>
      </c>
      <c r="E2749" t="s">
        <v>13005</v>
      </c>
      <c r="F2749" t="s">
        <v>5</v>
      </c>
      <c r="G2749" t="s">
        <v>6</v>
      </c>
      <c r="L2749" t="s">
        <v>7</v>
      </c>
      <c r="M2749">
        <v>2006</v>
      </c>
      <c r="N2749" s="1">
        <v>38901</v>
      </c>
      <c r="O2749" t="s">
        <v>13006</v>
      </c>
      <c r="P2749">
        <v>1</v>
      </c>
      <c r="Q2749" t="s">
        <v>6418</v>
      </c>
      <c r="S2749">
        <v>261.95</v>
      </c>
      <c r="T2749">
        <v>300</v>
      </c>
      <c r="U2749">
        <v>230</v>
      </c>
      <c r="V2749" t="s">
        <v>79</v>
      </c>
      <c r="W2749" t="s">
        <v>209</v>
      </c>
      <c r="X2749" t="s">
        <v>209</v>
      </c>
      <c r="Y2749" t="s">
        <v>510</v>
      </c>
      <c r="AF2749" t="s">
        <v>13</v>
      </c>
      <c r="AG2749" t="str">
        <f>HYPERLINK("https://doi.org/10.1515/9780748627172")</f>
        <v>https://doi.org/10.1515/9780748627172</v>
      </c>
      <c r="AH2749" t="str">
        <f>HYPERLINK("http://www.degruyter.com/isbn/9780748627172")</f>
        <v>http://www.degruyter.com/isbn/9780748627172</v>
      </c>
      <c r="AI2749" t="s">
        <v>68</v>
      </c>
      <c r="AL2749" t="s">
        <v>83</v>
      </c>
      <c r="AM2749">
        <v>1</v>
      </c>
      <c r="AN2749" s="2">
        <v>9780748623419</v>
      </c>
    </row>
    <row r="2750" spans="1:40" x14ac:dyDescent="0.3">
      <c r="A2750" t="s">
        <v>13007</v>
      </c>
      <c r="B2750" t="s">
        <v>1</v>
      </c>
      <c r="C2750" t="s">
        <v>13008</v>
      </c>
      <c r="D2750" t="s">
        <v>13009</v>
      </c>
      <c r="E2750" t="s">
        <v>13010</v>
      </c>
      <c r="F2750" t="s">
        <v>5</v>
      </c>
      <c r="G2750" t="s">
        <v>6</v>
      </c>
      <c r="L2750" t="s">
        <v>7</v>
      </c>
      <c r="M2750">
        <v>2015</v>
      </c>
      <c r="N2750" s="1">
        <v>42186</v>
      </c>
      <c r="O2750" t="s">
        <v>13011</v>
      </c>
      <c r="P2750">
        <v>1</v>
      </c>
      <c r="Q2750" t="s">
        <v>7194</v>
      </c>
      <c r="S2750">
        <v>227.95</v>
      </c>
      <c r="T2750">
        <v>260</v>
      </c>
      <c r="U2750">
        <v>200</v>
      </c>
      <c r="V2750" t="s">
        <v>79</v>
      </c>
      <c r="W2750" t="s">
        <v>734</v>
      </c>
      <c r="X2750" t="s">
        <v>734</v>
      </c>
      <c r="Y2750" t="s">
        <v>735</v>
      </c>
      <c r="AF2750" t="s">
        <v>13</v>
      </c>
      <c r="AG2750" t="str">
        <f>HYPERLINK("https://doi.org/10.1515/9781474400350?locatt=mode:legacy")</f>
        <v>https://doi.org/10.1515/9781474400350?locatt=mode:legacy</v>
      </c>
      <c r="AH2750" t="str">
        <f>HYPERLINK("http://www.degruyter.com/isbn/9781474400350")</f>
        <v>http://www.degruyter.com/isbn/9781474400350</v>
      </c>
      <c r="AI2750" t="s">
        <v>34</v>
      </c>
      <c r="AL2750" t="s">
        <v>83</v>
      </c>
      <c r="AM2750">
        <v>1</v>
      </c>
      <c r="AN2750" s="2">
        <v>9781474400343</v>
      </c>
    </row>
    <row r="2751" spans="1:40" x14ac:dyDescent="0.3">
      <c r="A2751" t="s">
        <v>13012</v>
      </c>
      <c r="B2751" t="s">
        <v>1</v>
      </c>
      <c r="C2751" t="s">
        <v>6983</v>
      </c>
      <c r="D2751" t="s">
        <v>13013</v>
      </c>
      <c r="E2751" t="s">
        <v>6985</v>
      </c>
      <c r="F2751" t="s">
        <v>5</v>
      </c>
      <c r="G2751" t="s">
        <v>6</v>
      </c>
      <c r="L2751" t="s">
        <v>7</v>
      </c>
      <c r="M2751">
        <v>2020</v>
      </c>
      <c r="N2751" s="1">
        <v>44656</v>
      </c>
      <c r="O2751" t="s">
        <v>13014</v>
      </c>
      <c r="P2751">
        <v>1</v>
      </c>
      <c r="Q2751" t="s">
        <v>6987</v>
      </c>
      <c r="S2751">
        <v>217.95</v>
      </c>
      <c r="T2751">
        <v>250</v>
      </c>
      <c r="U2751">
        <v>190</v>
      </c>
      <c r="V2751" t="s">
        <v>9</v>
      </c>
      <c r="W2751" t="s">
        <v>10</v>
      </c>
      <c r="X2751" t="s">
        <v>11</v>
      </c>
      <c r="Y2751" t="s">
        <v>52</v>
      </c>
      <c r="AF2751" t="s">
        <v>13</v>
      </c>
      <c r="AG2751" t="str">
        <f>HYPERLINK("https://doi.org/10.1515/9781474448307")</f>
        <v>https://doi.org/10.1515/9781474448307</v>
      </c>
      <c r="AH2751" t="str">
        <f>HYPERLINK("http://www.degruyter.com/isbn/9781474448307")</f>
        <v>http://www.degruyter.com/isbn/9781474448307</v>
      </c>
      <c r="AI2751" t="s">
        <v>14</v>
      </c>
      <c r="AL2751" t="s">
        <v>15</v>
      </c>
      <c r="AM2751">
        <v>1</v>
      </c>
      <c r="AN2751" s="2">
        <v>9781474448284</v>
      </c>
    </row>
    <row r="2752" spans="1:40" x14ac:dyDescent="0.3">
      <c r="A2752" t="s">
        <v>13015</v>
      </c>
      <c r="B2752" t="s">
        <v>1</v>
      </c>
      <c r="C2752" t="s">
        <v>13016</v>
      </c>
      <c r="E2752" t="s">
        <v>13017</v>
      </c>
      <c r="F2752" t="s">
        <v>5</v>
      </c>
      <c r="G2752" t="s">
        <v>6</v>
      </c>
      <c r="L2752" t="s">
        <v>7</v>
      </c>
      <c r="M2752">
        <v>2017</v>
      </c>
      <c r="N2752" s="1">
        <v>42870</v>
      </c>
      <c r="O2752" t="s">
        <v>13018</v>
      </c>
      <c r="P2752">
        <v>1</v>
      </c>
      <c r="Q2752" t="s">
        <v>8994</v>
      </c>
      <c r="S2752">
        <v>417.95</v>
      </c>
      <c r="T2752">
        <v>480</v>
      </c>
      <c r="U2752">
        <v>370</v>
      </c>
      <c r="V2752" t="s">
        <v>89</v>
      </c>
      <c r="W2752" t="s">
        <v>4664</v>
      </c>
      <c r="X2752" t="s">
        <v>4664</v>
      </c>
      <c r="Y2752" t="s">
        <v>13019</v>
      </c>
      <c r="AF2752" t="s">
        <v>13</v>
      </c>
      <c r="AG2752" t="str">
        <f>HYPERLINK("https://doi.org/10.1515/9781474412049")</f>
        <v>https://doi.org/10.1515/9781474412049</v>
      </c>
      <c r="AH2752" t="str">
        <f>HYPERLINK("http://www.degruyter.com/isbn/9781474412049")</f>
        <v>http://www.degruyter.com/isbn/9781474412049</v>
      </c>
      <c r="AI2752" t="s">
        <v>222</v>
      </c>
      <c r="AL2752" t="s">
        <v>83</v>
      </c>
      <c r="AM2752">
        <v>1</v>
      </c>
      <c r="AN2752" s="2">
        <v>9781474412032</v>
      </c>
    </row>
    <row r="2753" spans="1:40" x14ac:dyDescent="0.3">
      <c r="A2753" t="s">
        <v>13020</v>
      </c>
      <c r="B2753" t="s">
        <v>1</v>
      </c>
      <c r="C2753" t="s">
        <v>13021</v>
      </c>
      <c r="E2753" t="s">
        <v>13022</v>
      </c>
      <c r="F2753" t="s">
        <v>5</v>
      </c>
      <c r="G2753" t="s">
        <v>6</v>
      </c>
      <c r="L2753" t="s">
        <v>7</v>
      </c>
      <c r="M2753">
        <v>2020</v>
      </c>
      <c r="N2753" s="1">
        <v>44656</v>
      </c>
      <c r="O2753" t="s">
        <v>13023</v>
      </c>
      <c r="P2753">
        <v>1</v>
      </c>
      <c r="Q2753" t="s">
        <v>5715</v>
      </c>
      <c r="S2753">
        <v>217.95</v>
      </c>
      <c r="T2753">
        <v>250</v>
      </c>
      <c r="U2753">
        <v>190</v>
      </c>
      <c r="V2753" t="s">
        <v>98</v>
      </c>
      <c r="W2753" t="s">
        <v>366</v>
      </c>
      <c r="X2753" t="s">
        <v>367</v>
      </c>
      <c r="Y2753" t="s">
        <v>368</v>
      </c>
      <c r="AF2753" t="s">
        <v>13</v>
      </c>
      <c r="AG2753" t="str">
        <f>HYPERLINK("https://doi.org/10.1515/9781474461252")</f>
        <v>https://doi.org/10.1515/9781474461252</v>
      </c>
      <c r="AH2753" t="str">
        <f>HYPERLINK("http://www.degruyter.com/isbn/9781474461252")</f>
        <v>http://www.degruyter.com/isbn/9781474461252</v>
      </c>
      <c r="AI2753" t="s">
        <v>14</v>
      </c>
      <c r="AL2753" t="s">
        <v>102</v>
      </c>
      <c r="AM2753">
        <v>1</v>
      </c>
      <c r="AN2753" s="2">
        <v>9781474461245</v>
      </c>
    </row>
    <row r="2754" spans="1:40" x14ac:dyDescent="0.3">
      <c r="A2754" t="s">
        <v>13024</v>
      </c>
      <c r="B2754" t="s">
        <v>1</v>
      </c>
      <c r="C2754" t="s">
        <v>13025</v>
      </c>
      <c r="E2754" t="s">
        <v>13026</v>
      </c>
      <c r="F2754" t="s">
        <v>5</v>
      </c>
      <c r="G2754" t="s">
        <v>6</v>
      </c>
      <c r="L2754" t="s">
        <v>7</v>
      </c>
      <c r="M2754">
        <v>2017</v>
      </c>
      <c r="N2754" s="1">
        <v>42934</v>
      </c>
      <c r="O2754" t="s">
        <v>13027</v>
      </c>
      <c r="P2754">
        <v>1</v>
      </c>
      <c r="Q2754" t="s">
        <v>7521</v>
      </c>
      <c r="S2754">
        <v>217.95</v>
      </c>
      <c r="T2754">
        <v>250</v>
      </c>
      <c r="U2754">
        <v>190</v>
      </c>
      <c r="V2754" t="s">
        <v>449</v>
      </c>
      <c r="W2754" t="s">
        <v>450</v>
      </c>
      <c r="X2754" t="s">
        <v>450</v>
      </c>
      <c r="Y2754" t="s">
        <v>13028</v>
      </c>
      <c r="AF2754" t="s">
        <v>13</v>
      </c>
      <c r="AG2754" t="str">
        <f>HYPERLINK("https://doi.org/10.1515/9781474413138")</f>
        <v>https://doi.org/10.1515/9781474413138</v>
      </c>
      <c r="AH2754" t="str">
        <f>HYPERLINK("http://www.degruyter.com/isbn/9781474413138")</f>
        <v>http://www.degruyter.com/isbn/9781474413138</v>
      </c>
      <c r="AI2754" t="s">
        <v>13029</v>
      </c>
      <c r="AL2754" t="s">
        <v>308</v>
      </c>
      <c r="AM2754">
        <v>1</v>
      </c>
      <c r="AN2754" s="2">
        <v>9781474413121</v>
      </c>
    </row>
    <row r="2755" spans="1:40" x14ac:dyDescent="0.3">
      <c r="A2755" t="s">
        <v>13030</v>
      </c>
      <c r="B2755" t="s">
        <v>1</v>
      </c>
      <c r="C2755" t="s">
        <v>13031</v>
      </c>
      <c r="E2755" t="s">
        <v>13032</v>
      </c>
      <c r="F2755" t="s">
        <v>5</v>
      </c>
      <c r="G2755" t="s">
        <v>6</v>
      </c>
      <c r="L2755" t="s">
        <v>7</v>
      </c>
      <c r="M2755">
        <v>2010</v>
      </c>
      <c r="N2755" s="1">
        <v>40268</v>
      </c>
      <c r="O2755" t="s">
        <v>13033</v>
      </c>
      <c r="P2755">
        <v>1</v>
      </c>
      <c r="Q2755" t="s">
        <v>6644</v>
      </c>
      <c r="S2755">
        <v>243.95</v>
      </c>
      <c r="T2755">
        <v>280</v>
      </c>
      <c r="U2755">
        <v>210</v>
      </c>
      <c r="V2755" t="s">
        <v>20</v>
      </c>
      <c r="W2755" t="s">
        <v>21</v>
      </c>
      <c r="X2755" t="s">
        <v>3445</v>
      </c>
      <c r="Y2755" t="s">
        <v>3446</v>
      </c>
      <c r="AF2755" t="s">
        <v>13</v>
      </c>
      <c r="AG2755" t="str">
        <f>HYPERLINK("https://doi.org/10.1515/9780748629664")</f>
        <v>https://doi.org/10.1515/9780748629664</v>
      </c>
      <c r="AH2755" t="str">
        <f>HYPERLINK("http://www.degruyter.com/isbn/9780748629664")</f>
        <v>http://www.degruyter.com/isbn/9780748629664</v>
      </c>
      <c r="AI2755" t="s">
        <v>68</v>
      </c>
      <c r="AL2755" t="s">
        <v>15</v>
      </c>
      <c r="AM2755">
        <v>1</v>
      </c>
      <c r="AN2755" s="2">
        <v>9780748622214</v>
      </c>
    </row>
    <row r="2756" spans="1:40" x14ac:dyDescent="0.3">
      <c r="A2756" t="s">
        <v>13034</v>
      </c>
      <c r="B2756" t="s">
        <v>1</v>
      </c>
      <c r="C2756" t="s">
        <v>13035</v>
      </c>
      <c r="E2756" t="s">
        <v>13036</v>
      </c>
      <c r="F2756" t="s">
        <v>5</v>
      </c>
      <c r="G2756" t="s">
        <v>6</v>
      </c>
      <c r="L2756" t="s">
        <v>7</v>
      </c>
      <c r="M2756">
        <v>2011</v>
      </c>
      <c r="N2756" s="1">
        <v>40570</v>
      </c>
      <c r="O2756" t="s">
        <v>7493</v>
      </c>
      <c r="P2756">
        <v>1</v>
      </c>
      <c r="Q2756" t="s">
        <v>6894</v>
      </c>
      <c r="S2756">
        <v>253.95</v>
      </c>
      <c r="T2756">
        <v>290</v>
      </c>
      <c r="U2756">
        <v>220</v>
      </c>
      <c r="V2756" t="s">
        <v>30</v>
      </c>
      <c r="W2756" t="s">
        <v>1629</v>
      </c>
      <c r="X2756" t="s">
        <v>12609</v>
      </c>
      <c r="Y2756" t="s">
        <v>12610</v>
      </c>
      <c r="AF2756" t="s">
        <v>13</v>
      </c>
      <c r="AG2756" t="str">
        <f>HYPERLINK("https://doi.org/10.1515/9780748644872")</f>
        <v>https://doi.org/10.1515/9780748644872</v>
      </c>
      <c r="AH2756" t="str">
        <f>HYPERLINK("http://www.degruyter.com/isbn/9780748644872")</f>
        <v>http://www.degruyter.com/isbn/9780748644872</v>
      </c>
      <c r="AI2756" t="s">
        <v>68</v>
      </c>
      <c r="AL2756" t="s">
        <v>272</v>
      </c>
      <c r="AM2756">
        <v>1</v>
      </c>
      <c r="AN2756" s="2">
        <v>9780748639977</v>
      </c>
    </row>
    <row r="2757" spans="1:40" x14ac:dyDescent="0.3">
      <c r="A2757" t="s">
        <v>13037</v>
      </c>
      <c r="B2757" t="s">
        <v>1</v>
      </c>
      <c r="C2757" t="s">
        <v>13038</v>
      </c>
      <c r="D2757" t="s">
        <v>27</v>
      </c>
      <c r="E2757" t="s">
        <v>13039</v>
      </c>
      <c r="F2757" t="s">
        <v>5</v>
      </c>
      <c r="G2757" t="s">
        <v>6</v>
      </c>
      <c r="L2757" t="s">
        <v>7</v>
      </c>
      <c r="M2757">
        <v>1990</v>
      </c>
      <c r="N2757" s="1">
        <v>44599</v>
      </c>
      <c r="O2757" t="s">
        <v>13040</v>
      </c>
      <c r="P2757">
        <v>1</v>
      </c>
      <c r="Q2757" t="s">
        <v>6923</v>
      </c>
      <c r="S2757">
        <v>253.95</v>
      </c>
      <c r="T2757">
        <v>290</v>
      </c>
      <c r="U2757">
        <v>220</v>
      </c>
      <c r="V2757" t="s">
        <v>89</v>
      </c>
      <c r="W2757" t="s">
        <v>90</v>
      </c>
      <c r="X2757" t="s">
        <v>91</v>
      </c>
      <c r="Y2757" t="s">
        <v>717</v>
      </c>
      <c r="AF2757" t="s">
        <v>13</v>
      </c>
      <c r="AG2757" t="str">
        <f>HYPERLINK("https://doi.org/10.1515/9781474472333")</f>
        <v>https://doi.org/10.1515/9781474472333</v>
      </c>
      <c r="AH2757" t="str">
        <f>HYPERLINK("http://www.degruyter.com/isbn/9781474472333")</f>
        <v>http://www.degruyter.com/isbn/9781474472333</v>
      </c>
      <c r="AI2757" t="s">
        <v>24</v>
      </c>
      <c r="AL2757" t="s">
        <v>83</v>
      </c>
      <c r="AM2757">
        <v>1</v>
      </c>
      <c r="AN2757" s="2">
        <v>9780852245637</v>
      </c>
    </row>
    <row r="2758" spans="1:40" x14ac:dyDescent="0.3">
      <c r="A2758" t="s">
        <v>13041</v>
      </c>
      <c r="B2758" t="s">
        <v>1</v>
      </c>
      <c r="C2758" t="s">
        <v>91</v>
      </c>
      <c r="D2758" t="s">
        <v>13042</v>
      </c>
      <c r="E2758" t="s">
        <v>9905</v>
      </c>
      <c r="F2758" t="s">
        <v>5</v>
      </c>
      <c r="G2758" t="s">
        <v>6</v>
      </c>
      <c r="L2758" t="s">
        <v>7</v>
      </c>
      <c r="M2758">
        <v>2002</v>
      </c>
      <c r="N2758" s="1">
        <v>37578</v>
      </c>
      <c r="O2758" t="s">
        <v>13043</v>
      </c>
      <c r="P2758">
        <v>1</v>
      </c>
      <c r="Q2758" t="s">
        <v>6923</v>
      </c>
      <c r="S2758">
        <v>243.95</v>
      </c>
      <c r="T2758">
        <v>280</v>
      </c>
      <c r="U2758">
        <v>210</v>
      </c>
      <c r="V2758" t="s">
        <v>89</v>
      </c>
      <c r="W2758" t="s">
        <v>90</v>
      </c>
      <c r="X2758" t="s">
        <v>91</v>
      </c>
      <c r="Y2758" t="s">
        <v>1914</v>
      </c>
      <c r="AF2758" t="s">
        <v>13</v>
      </c>
      <c r="AG2758" t="str">
        <f>HYPERLINK("https://doi.org/10.1515/9780585443867")</f>
        <v>https://doi.org/10.1515/9780585443867</v>
      </c>
      <c r="AH2758" t="str">
        <f>HYPERLINK("http://www.degruyter.com/isbn/9780585443867")</f>
        <v>http://www.degruyter.com/isbn/9780585443867</v>
      </c>
      <c r="AI2758" t="s">
        <v>68</v>
      </c>
      <c r="AJ2758" t="s">
        <v>35</v>
      </c>
      <c r="AL2758" t="s">
        <v>718</v>
      </c>
      <c r="AM2758">
        <v>1</v>
      </c>
      <c r="AN2758" s="2">
        <v>9780748616206</v>
      </c>
    </row>
    <row r="2759" spans="1:40" x14ac:dyDescent="0.3">
      <c r="A2759" t="s">
        <v>13044</v>
      </c>
      <c r="B2759" t="s">
        <v>1</v>
      </c>
      <c r="C2759" t="s">
        <v>13045</v>
      </c>
      <c r="D2759" t="s">
        <v>7568</v>
      </c>
      <c r="E2759" t="s">
        <v>13046</v>
      </c>
      <c r="F2759" t="s">
        <v>5</v>
      </c>
      <c r="G2759" t="s">
        <v>6</v>
      </c>
      <c r="L2759" t="s">
        <v>7</v>
      </c>
      <c r="M2759">
        <v>2012</v>
      </c>
      <c r="N2759" s="1">
        <v>41108</v>
      </c>
      <c r="O2759" t="s">
        <v>644</v>
      </c>
      <c r="P2759">
        <v>1</v>
      </c>
      <c r="Q2759" t="s">
        <v>7571</v>
      </c>
      <c r="S2759">
        <v>191.95</v>
      </c>
      <c r="T2759">
        <v>220</v>
      </c>
      <c r="U2759">
        <v>170</v>
      </c>
      <c r="V2759" t="s">
        <v>20</v>
      </c>
      <c r="W2759" t="s">
        <v>470</v>
      </c>
      <c r="X2759" t="s">
        <v>1269</v>
      </c>
      <c r="Y2759" t="s">
        <v>6700</v>
      </c>
      <c r="AF2759" t="s">
        <v>13</v>
      </c>
      <c r="AG2759" t="str">
        <f>HYPERLINK("https://doi.org/10.1515/9780748629190")</f>
        <v>https://doi.org/10.1515/9780748629190</v>
      </c>
      <c r="AH2759" t="str">
        <f>HYPERLINK("http://www.degruyter.com/isbn/9780748629190")</f>
        <v>http://www.degruyter.com/isbn/9780748629190</v>
      </c>
      <c r="AI2759" t="s">
        <v>68</v>
      </c>
      <c r="AL2759" t="s">
        <v>15</v>
      </c>
      <c r="AM2759">
        <v>1</v>
      </c>
      <c r="AN2759" s="2">
        <v>9780748620487</v>
      </c>
    </row>
    <row r="2760" spans="1:40" x14ac:dyDescent="0.3">
      <c r="A2760" t="s">
        <v>13047</v>
      </c>
      <c r="B2760" t="s">
        <v>1</v>
      </c>
      <c r="C2760" t="s">
        <v>13048</v>
      </c>
      <c r="D2760" t="s">
        <v>13049</v>
      </c>
      <c r="E2760" t="s">
        <v>13050</v>
      </c>
      <c r="F2760" t="s">
        <v>5</v>
      </c>
      <c r="G2760" t="s">
        <v>6</v>
      </c>
      <c r="L2760" t="s">
        <v>7</v>
      </c>
      <c r="M2760">
        <v>2016</v>
      </c>
      <c r="N2760" s="1">
        <v>42661</v>
      </c>
      <c r="O2760" t="s">
        <v>13051</v>
      </c>
      <c r="P2760">
        <v>1</v>
      </c>
      <c r="Q2760" t="s">
        <v>5754</v>
      </c>
      <c r="S2760">
        <v>253.95</v>
      </c>
      <c r="T2760">
        <v>290</v>
      </c>
      <c r="U2760">
        <v>220</v>
      </c>
      <c r="V2760" t="s">
        <v>79</v>
      </c>
      <c r="W2760" t="s">
        <v>80</v>
      </c>
      <c r="X2760" t="s">
        <v>80</v>
      </c>
      <c r="Y2760" t="s">
        <v>81</v>
      </c>
      <c r="AF2760" t="s">
        <v>13</v>
      </c>
      <c r="AG2760" t="str">
        <f>HYPERLINK("https://doi.org/10.1515/9780748684984")</f>
        <v>https://doi.org/10.1515/9780748684984</v>
      </c>
      <c r="AH2760" t="str">
        <f>HYPERLINK("http://www.degruyter.com/isbn/9780748684984")</f>
        <v>http://www.degruyter.com/isbn/9780748684984</v>
      </c>
      <c r="AI2760" t="s">
        <v>180</v>
      </c>
      <c r="AL2760" t="s">
        <v>83</v>
      </c>
      <c r="AM2760">
        <v>1</v>
      </c>
      <c r="AN2760" s="2">
        <v>9780748684977</v>
      </c>
    </row>
    <row r="2761" spans="1:40" x14ac:dyDescent="0.3">
      <c r="A2761" t="s">
        <v>13052</v>
      </c>
      <c r="B2761" t="s">
        <v>1</v>
      </c>
      <c r="C2761" t="s">
        <v>13053</v>
      </c>
      <c r="E2761" t="s">
        <v>13054</v>
      </c>
      <c r="F2761" t="s">
        <v>5</v>
      </c>
      <c r="G2761" t="s">
        <v>6</v>
      </c>
      <c r="K2761" t="s">
        <v>929</v>
      </c>
      <c r="L2761" t="s">
        <v>7</v>
      </c>
      <c r="M2761">
        <v>2013</v>
      </c>
      <c r="N2761" s="1">
        <v>41509</v>
      </c>
      <c r="O2761" t="s">
        <v>13055</v>
      </c>
      <c r="P2761">
        <v>1</v>
      </c>
      <c r="Q2761" t="s">
        <v>7362</v>
      </c>
      <c r="V2761" t="s">
        <v>79</v>
      </c>
      <c r="W2761" t="s">
        <v>123</v>
      </c>
      <c r="X2761" t="s">
        <v>123</v>
      </c>
      <c r="Y2761" t="s">
        <v>124</v>
      </c>
      <c r="AF2761" t="s">
        <v>13</v>
      </c>
      <c r="AG2761" t="str">
        <f>HYPERLINK("https://doi.org/10.1515/9780748670277?locatt=mode:legacy")</f>
        <v>https://doi.org/10.1515/9780748670277?locatt=mode:legacy</v>
      </c>
      <c r="AH2761" t="str">
        <f>HYPERLINK("http://www.degruyter.com/isbn/9780748670277")</f>
        <v>http://www.degruyter.com/isbn/9780748670277</v>
      </c>
      <c r="AI2761" t="s">
        <v>68</v>
      </c>
      <c r="AM2761">
        <v>1</v>
      </c>
      <c r="AN2761" s="2"/>
    </row>
    <row r="2762" spans="1:40" x14ac:dyDescent="0.3">
      <c r="A2762" t="s">
        <v>13056</v>
      </c>
      <c r="B2762" t="s">
        <v>1</v>
      </c>
      <c r="C2762" t="s">
        <v>13057</v>
      </c>
      <c r="D2762" t="s">
        <v>13058</v>
      </c>
      <c r="E2762" t="s">
        <v>13059</v>
      </c>
      <c r="F2762" t="s">
        <v>5</v>
      </c>
      <c r="G2762" t="s">
        <v>6</v>
      </c>
      <c r="L2762" t="s">
        <v>7</v>
      </c>
      <c r="M2762">
        <v>1991</v>
      </c>
      <c r="N2762" s="1">
        <v>44719</v>
      </c>
      <c r="O2762" t="s">
        <v>13060</v>
      </c>
      <c r="P2762">
        <v>1</v>
      </c>
      <c r="Q2762" t="s">
        <v>6929</v>
      </c>
      <c r="S2762">
        <v>217.95</v>
      </c>
      <c r="T2762">
        <v>250</v>
      </c>
      <c r="U2762">
        <v>190</v>
      </c>
      <c r="V2762" t="s">
        <v>20</v>
      </c>
      <c r="W2762" t="s">
        <v>21</v>
      </c>
      <c r="X2762" t="s">
        <v>3919</v>
      </c>
      <c r="Y2762" t="s">
        <v>4359</v>
      </c>
      <c r="AF2762" t="s">
        <v>13</v>
      </c>
      <c r="AG2762" t="str">
        <f>HYPERLINK("https://doi.org/10.1515/9781474473538")</f>
        <v>https://doi.org/10.1515/9781474473538</v>
      </c>
      <c r="AH2762" t="str">
        <f>HYPERLINK("http://www.degruyter.com/isbn/9781474473538")</f>
        <v>http://www.degruyter.com/isbn/9781474473538</v>
      </c>
      <c r="AI2762" t="s">
        <v>24</v>
      </c>
      <c r="AL2762" t="s">
        <v>15</v>
      </c>
      <c r="AM2762">
        <v>1</v>
      </c>
      <c r="AN2762" s="2">
        <v>9780748603312</v>
      </c>
    </row>
    <row r="2763" spans="1:40" x14ac:dyDescent="0.3">
      <c r="A2763" t="s">
        <v>13061</v>
      </c>
      <c r="B2763" t="s">
        <v>1</v>
      </c>
      <c r="C2763" t="s">
        <v>13062</v>
      </c>
      <c r="D2763" t="s">
        <v>13063</v>
      </c>
      <c r="E2763" t="s">
        <v>13064</v>
      </c>
      <c r="F2763" t="s">
        <v>5</v>
      </c>
      <c r="G2763" t="s">
        <v>6</v>
      </c>
      <c r="L2763" t="s">
        <v>7</v>
      </c>
      <c r="M2763">
        <v>2004</v>
      </c>
      <c r="N2763" s="1">
        <v>44719</v>
      </c>
      <c r="O2763" t="s">
        <v>13065</v>
      </c>
      <c r="P2763">
        <v>1</v>
      </c>
      <c r="Q2763" t="s">
        <v>6923</v>
      </c>
      <c r="S2763">
        <v>217.95</v>
      </c>
      <c r="T2763">
        <v>250</v>
      </c>
      <c r="U2763">
        <v>190</v>
      </c>
      <c r="V2763" t="s">
        <v>20</v>
      </c>
      <c r="W2763" t="s">
        <v>556</v>
      </c>
      <c r="X2763" t="s">
        <v>10593</v>
      </c>
      <c r="Y2763" t="s">
        <v>10594</v>
      </c>
      <c r="AF2763" t="s">
        <v>13</v>
      </c>
      <c r="AG2763" t="str">
        <f>HYPERLINK("https://doi.org/10.1515/9781474464628")</f>
        <v>https://doi.org/10.1515/9781474464628</v>
      </c>
      <c r="AH2763" t="str">
        <f>HYPERLINK("http://www.degruyter.com/isbn/9781474464628")</f>
        <v>http://www.degruyter.com/isbn/9781474464628</v>
      </c>
      <c r="AI2763" t="s">
        <v>68</v>
      </c>
      <c r="AL2763" t="s">
        <v>15</v>
      </c>
      <c r="AM2763">
        <v>1</v>
      </c>
      <c r="AN2763" s="2">
        <v>9780748621378</v>
      </c>
    </row>
    <row r="2764" spans="1:40" x14ac:dyDescent="0.3">
      <c r="A2764" t="s">
        <v>13066</v>
      </c>
      <c r="B2764" t="s">
        <v>1</v>
      </c>
      <c r="C2764" t="s">
        <v>13067</v>
      </c>
      <c r="E2764" t="s">
        <v>13068</v>
      </c>
      <c r="F2764" t="s">
        <v>5</v>
      </c>
      <c r="G2764" t="s">
        <v>6</v>
      </c>
      <c r="L2764" t="s">
        <v>7</v>
      </c>
      <c r="M2764">
        <v>2006</v>
      </c>
      <c r="N2764" s="1">
        <v>38887</v>
      </c>
      <c r="O2764" t="s">
        <v>13069</v>
      </c>
      <c r="P2764">
        <v>1</v>
      </c>
      <c r="Q2764" t="s">
        <v>6820</v>
      </c>
      <c r="S2764">
        <v>217.95</v>
      </c>
      <c r="T2764">
        <v>250</v>
      </c>
      <c r="U2764">
        <v>190</v>
      </c>
      <c r="V2764" t="s">
        <v>58</v>
      </c>
      <c r="W2764" t="s">
        <v>11431</v>
      </c>
      <c r="X2764" t="s">
        <v>13070</v>
      </c>
      <c r="Y2764" t="s">
        <v>13071</v>
      </c>
      <c r="AF2764" t="s">
        <v>13</v>
      </c>
      <c r="AG2764" t="str">
        <f>HYPERLINK("https://doi.org/10.1515/9780748626960")</f>
        <v>https://doi.org/10.1515/9780748626960</v>
      </c>
      <c r="AH2764" t="str">
        <f>HYPERLINK("http://www.degruyter.com/isbn/9780748626960")</f>
        <v>http://www.degruyter.com/isbn/9780748626960</v>
      </c>
      <c r="AI2764" t="s">
        <v>68</v>
      </c>
      <c r="AL2764" t="s">
        <v>62</v>
      </c>
      <c r="AM2764">
        <v>1</v>
      </c>
      <c r="AN2764" s="2">
        <v>9780748620968</v>
      </c>
    </row>
    <row r="2765" spans="1:40" x14ac:dyDescent="0.3">
      <c r="A2765" t="s">
        <v>13072</v>
      </c>
      <c r="B2765" t="s">
        <v>1</v>
      </c>
      <c r="C2765" t="s">
        <v>13073</v>
      </c>
      <c r="E2765" t="s">
        <v>13074</v>
      </c>
      <c r="F2765" t="s">
        <v>5</v>
      </c>
      <c r="G2765" t="s">
        <v>6</v>
      </c>
      <c r="L2765" t="s">
        <v>7</v>
      </c>
      <c r="M2765">
        <v>2010</v>
      </c>
      <c r="N2765" s="1">
        <v>40364</v>
      </c>
      <c r="O2765" t="s">
        <v>3667</v>
      </c>
      <c r="P2765">
        <v>1</v>
      </c>
      <c r="Q2765" t="s">
        <v>7047</v>
      </c>
      <c r="S2765">
        <v>209.95</v>
      </c>
      <c r="T2765">
        <v>240</v>
      </c>
      <c r="U2765">
        <v>180</v>
      </c>
      <c r="V2765" t="s">
        <v>42</v>
      </c>
      <c r="W2765" t="s">
        <v>107</v>
      </c>
      <c r="X2765" t="s">
        <v>108</v>
      </c>
      <c r="Y2765" t="s">
        <v>109</v>
      </c>
      <c r="AF2765" t="s">
        <v>13</v>
      </c>
      <c r="AG2765" t="str">
        <f>HYPERLINK("https://doi.org/10.1515/9780748642878")</f>
        <v>https://doi.org/10.1515/9780748642878</v>
      </c>
      <c r="AH2765" t="str">
        <f>HYPERLINK("http://www.degruyter.com/isbn/9780748642878")</f>
        <v>http://www.degruyter.com/isbn/9780748642878</v>
      </c>
      <c r="AI2765" t="s">
        <v>68</v>
      </c>
      <c r="AL2765" t="s">
        <v>47</v>
      </c>
      <c r="AM2765">
        <v>1</v>
      </c>
      <c r="AN2765" s="2">
        <v>9780748639175</v>
      </c>
    </row>
    <row r="2766" spans="1:40" x14ac:dyDescent="0.3">
      <c r="A2766" t="s">
        <v>13075</v>
      </c>
      <c r="B2766" t="s">
        <v>1</v>
      </c>
      <c r="C2766" t="s">
        <v>13076</v>
      </c>
      <c r="E2766" t="s">
        <v>13077</v>
      </c>
      <c r="F2766" t="s">
        <v>5</v>
      </c>
      <c r="G2766" t="s">
        <v>6</v>
      </c>
      <c r="L2766" t="s">
        <v>7</v>
      </c>
      <c r="M2766">
        <v>2018</v>
      </c>
      <c r="N2766" s="1">
        <v>44644</v>
      </c>
      <c r="O2766" t="s">
        <v>13078</v>
      </c>
      <c r="P2766">
        <v>1</v>
      </c>
      <c r="Q2766" t="s">
        <v>5911</v>
      </c>
      <c r="S2766">
        <v>227.95</v>
      </c>
      <c r="T2766">
        <v>260</v>
      </c>
      <c r="U2766">
        <v>200</v>
      </c>
      <c r="V2766" t="s">
        <v>329</v>
      </c>
      <c r="W2766" t="s">
        <v>330</v>
      </c>
      <c r="X2766" t="s">
        <v>331</v>
      </c>
      <c r="Y2766" t="s">
        <v>332</v>
      </c>
      <c r="AF2766" t="s">
        <v>13</v>
      </c>
      <c r="AG2766" t="str">
        <f>HYPERLINK("https://doi.org/10.1515/9781474412605?locatt=mode:legacy")</f>
        <v>https://doi.org/10.1515/9781474412605?locatt=mode:legacy</v>
      </c>
      <c r="AH2766" t="str">
        <f>HYPERLINK("http://www.degruyter.com/isbn/9781474412605")</f>
        <v>http://www.degruyter.com/isbn/9781474412605</v>
      </c>
      <c r="AI2766" t="s">
        <v>46</v>
      </c>
      <c r="AL2766" t="s">
        <v>333</v>
      </c>
      <c r="AM2766">
        <v>1</v>
      </c>
      <c r="AN2766" s="2">
        <v>9781474412599</v>
      </c>
    </row>
    <row r="2767" spans="1:40" x14ac:dyDescent="0.3">
      <c r="A2767" t="s">
        <v>13079</v>
      </c>
      <c r="B2767" t="s">
        <v>1</v>
      </c>
      <c r="C2767" t="s">
        <v>13080</v>
      </c>
      <c r="D2767" t="s">
        <v>13081</v>
      </c>
      <c r="E2767" t="s">
        <v>13082</v>
      </c>
      <c r="F2767" t="s">
        <v>5</v>
      </c>
      <c r="G2767" t="s">
        <v>6</v>
      </c>
      <c r="L2767" t="s">
        <v>7</v>
      </c>
      <c r="M2767">
        <v>2016</v>
      </c>
      <c r="N2767" s="1">
        <v>42561</v>
      </c>
      <c r="O2767" t="s">
        <v>13083</v>
      </c>
      <c r="P2767">
        <v>1</v>
      </c>
      <c r="Q2767" t="s">
        <v>7515</v>
      </c>
      <c r="S2767">
        <v>227.95</v>
      </c>
      <c r="T2767">
        <v>260</v>
      </c>
      <c r="U2767">
        <v>200</v>
      </c>
      <c r="V2767" t="s">
        <v>58</v>
      </c>
      <c r="W2767" t="s">
        <v>59</v>
      </c>
      <c r="X2767" t="s">
        <v>60</v>
      </c>
      <c r="Y2767" t="s">
        <v>13084</v>
      </c>
      <c r="AF2767" t="s">
        <v>13</v>
      </c>
      <c r="AG2767" t="str">
        <f>HYPERLINK("https://doi.org/10.1515/9781474415354?locatt=mode:legacy")</f>
        <v>https://doi.org/10.1515/9781474415354?locatt=mode:legacy</v>
      </c>
      <c r="AH2767" t="str">
        <f>HYPERLINK("http://www.degruyter.com/isbn/9781474415354")</f>
        <v>http://www.degruyter.com/isbn/9781474415354</v>
      </c>
      <c r="AI2767" t="s">
        <v>180</v>
      </c>
      <c r="AJ2767" t="s">
        <v>35</v>
      </c>
      <c r="AL2767" t="s">
        <v>155</v>
      </c>
      <c r="AM2767">
        <v>1</v>
      </c>
      <c r="AN2767" s="2">
        <v>9781474415347</v>
      </c>
    </row>
    <row r="2768" spans="1:40" x14ac:dyDescent="0.3">
      <c r="A2768" t="s">
        <v>13085</v>
      </c>
      <c r="B2768" t="s">
        <v>1</v>
      </c>
      <c r="C2768" t="s">
        <v>13086</v>
      </c>
      <c r="D2768" t="s">
        <v>13087</v>
      </c>
      <c r="E2768" t="s">
        <v>13088</v>
      </c>
      <c r="F2768" t="s">
        <v>5</v>
      </c>
      <c r="G2768" t="s">
        <v>6</v>
      </c>
      <c r="L2768" t="s">
        <v>7</v>
      </c>
      <c r="M2768">
        <v>2016</v>
      </c>
      <c r="N2768" s="1">
        <v>42720</v>
      </c>
      <c r="O2768" t="s">
        <v>13089</v>
      </c>
      <c r="P2768">
        <v>1</v>
      </c>
      <c r="Q2768" t="s">
        <v>9122</v>
      </c>
      <c r="S2768">
        <v>261.95</v>
      </c>
      <c r="T2768">
        <v>300</v>
      </c>
      <c r="U2768">
        <v>230</v>
      </c>
      <c r="V2768" t="s">
        <v>847</v>
      </c>
      <c r="W2768" t="s">
        <v>848</v>
      </c>
      <c r="X2768" t="s">
        <v>20</v>
      </c>
      <c r="Y2768" t="s">
        <v>3205</v>
      </c>
      <c r="AF2768" t="s">
        <v>13</v>
      </c>
      <c r="AG2768" t="str">
        <f>HYPERLINK("https://doi.org/10.1515/9781474417488")</f>
        <v>https://doi.org/10.1515/9781474417488</v>
      </c>
      <c r="AH2768" t="str">
        <f>HYPERLINK("http://www.degruyter.com/isbn/9781474417488")</f>
        <v>http://www.degruyter.com/isbn/9781474417488</v>
      </c>
      <c r="AI2768" t="s">
        <v>180</v>
      </c>
      <c r="AL2768" t="s">
        <v>1070</v>
      </c>
      <c r="AM2768">
        <v>1</v>
      </c>
      <c r="AN2768" s="2">
        <v>9781474417471</v>
      </c>
    </row>
    <row r="2769" spans="1:40" x14ac:dyDescent="0.3">
      <c r="A2769" t="s">
        <v>13090</v>
      </c>
      <c r="B2769" t="s">
        <v>1</v>
      </c>
      <c r="C2769" t="s">
        <v>13091</v>
      </c>
      <c r="E2769" t="s">
        <v>13092</v>
      </c>
      <c r="F2769" t="s">
        <v>5</v>
      </c>
      <c r="G2769" t="s">
        <v>6</v>
      </c>
      <c r="L2769" t="s">
        <v>7</v>
      </c>
      <c r="M2769">
        <v>2012</v>
      </c>
      <c r="N2769" s="1">
        <v>41087</v>
      </c>
      <c r="O2769" t="s">
        <v>13093</v>
      </c>
      <c r="P2769">
        <v>1</v>
      </c>
      <c r="Q2769" t="s">
        <v>7095</v>
      </c>
      <c r="S2769">
        <v>253.95</v>
      </c>
      <c r="T2769">
        <v>290</v>
      </c>
      <c r="U2769">
        <v>220</v>
      </c>
      <c r="V2769" t="s">
        <v>79</v>
      </c>
      <c r="W2769" t="s">
        <v>209</v>
      </c>
      <c r="X2769" t="s">
        <v>209</v>
      </c>
      <c r="Y2769" t="s">
        <v>510</v>
      </c>
      <c r="AF2769" t="s">
        <v>13</v>
      </c>
      <c r="AG2769" t="str">
        <f>HYPERLINK("https://doi.org/10.1515/9780748643530")</f>
        <v>https://doi.org/10.1515/9780748643530</v>
      </c>
      <c r="AH2769" t="str">
        <f>HYPERLINK("http://www.degruyter.com/isbn/9780748643530")</f>
        <v>http://www.degruyter.com/isbn/9780748643530</v>
      </c>
      <c r="AI2769" t="s">
        <v>3007</v>
      </c>
      <c r="AL2769" t="s">
        <v>83</v>
      </c>
      <c r="AM2769">
        <v>1</v>
      </c>
      <c r="AN2769" s="2">
        <v>9780748643523</v>
      </c>
    </row>
    <row r="2770" spans="1:40" x14ac:dyDescent="0.3">
      <c r="A2770" t="s">
        <v>13094</v>
      </c>
      <c r="B2770" t="s">
        <v>1</v>
      </c>
      <c r="C2770" t="s">
        <v>13095</v>
      </c>
      <c r="E2770" t="s">
        <v>13096</v>
      </c>
      <c r="F2770" t="s">
        <v>5</v>
      </c>
      <c r="G2770" t="s">
        <v>6</v>
      </c>
      <c r="L2770" t="s">
        <v>7</v>
      </c>
      <c r="M2770">
        <v>2009</v>
      </c>
      <c r="N2770" s="1">
        <v>40127</v>
      </c>
      <c r="O2770" t="s">
        <v>13097</v>
      </c>
      <c r="P2770">
        <v>1</v>
      </c>
      <c r="Q2770" t="s">
        <v>7266</v>
      </c>
      <c r="S2770">
        <v>227.95</v>
      </c>
      <c r="T2770">
        <v>260</v>
      </c>
      <c r="U2770">
        <v>200</v>
      </c>
      <c r="V2770" t="s">
        <v>42</v>
      </c>
      <c r="W2770" t="s">
        <v>116</v>
      </c>
      <c r="X2770" t="s">
        <v>116</v>
      </c>
      <c r="Y2770" t="s">
        <v>117</v>
      </c>
      <c r="AF2770" t="s">
        <v>13</v>
      </c>
      <c r="AG2770" t="str">
        <f>HYPERLINK("https://doi.org/10.1515/9780748628346")</f>
        <v>https://doi.org/10.1515/9780748628346</v>
      </c>
      <c r="AH2770" t="str">
        <f>HYPERLINK("http://www.degruyter.com/isbn/9780748628346")</f>
        <v>http://www.degruyter.com/isbn/9780748628346</v>
      </c>
      <c r="AI2770" t="s">
        <v>68</v>
      </c>
      <c r="AL2770" t="s">
        <v>47</v>
      </c>
      <c r="AM2770">
        <v>1</v>
      </c>
      <c r="AN2770" s="2">
        <v>9780748605811</v>
      </c>
    </row>
    <row r="2771" spans="1:40" x14ac:dyDescent="0.3">
      <c r="A2771" t="s">
        <v>13098</v>
      </c>
      <c r="B2771" t="s">
        <v>1</v>
      </c>
      <c r="C2771" t="s">
        <v>13099</v>
      </c>
      <c r="E2771" t="s">
        <v>13100</v>
      </c>
      <c r="F2771" t="s">
        <v>5</v>
      </c>
      <c r="G2771" t="s">
        <v>6</v>
      </c>
      <c r="L2771" t="s">
        <v>7</v>
      </c>
      <c r="M2771">
        <v>2015</v>
      </c>
      <c r="N2771" s="1">
        <v>42192</v>
      </c>
      <c r="O2771" t="s">
        <v>13101</v>
      </c>
      <c r="P2771">
        <v>1</v>
      </c>
      <c r="Q2771" t="s">
        <v>8650</v>
      </c>
      <c r="S2771">
        <v>217.95</v>
      </c>
      <c r="T2771">
        <v>250</v>
      </c>
      <c r="U2771">
        <v>190</v>
      </c>
      <c r="V2771" t="s">
        <v>20</v>
      </c>
      <c r="W2771" t="s">
        <v>21</v>
      </c>
      <c r="X2771" t="s">
        <v>22</v>
      </c>
      <c r="Y2771" t="s">
        <v>489</v>
      </c>
      <c r="AF2771" t="s">
        <v>13</v>
      </c>
      <c r="AG2771" t="str">
        <f>HYPERLINK("https://doi.org/10.1515/9781474403320?locatt=mode:legacy")</f>
        <v>https://doi.org/10.1515/9781474403320?locatt=mode:legacy</v>
      </c>
      <c r="AH2771" t="str">
        <f>HYPERLINK("http://www.degruyter.com/isbn/9781474403320")</f>
        <v>http://www.degruyter.com/isbn/9781474403320</v>
      </c>
      <c r="AI2771" t="s">
        <v>34</v>
      </c>
      <c r="AL2771" t="s">
        <v>15</v>
      </c>
      <c r="AM2771">
        <v>1</v>
      </c>
      <c r="AN2771" s="2">
        <v>9781474403313</v>
      </c>
    </row>
    <row r="2772" spans="1:40" x14ac:dyDescent="0.3">
      <c r="A2772" t="s">
        <v>13102</v>
      </c>
      <c r="B2772" t="s">
        <v>1</v>
      </c>
      <c r="C2772" t="s">
        <v>13103</v>
      </c>
      <c r="D2772" t="s">
        <v>13104</v>
      </c>
      <c r="E2772" t="s">
        <v>13105</v>
      </c>
      <c r="F2772" t="s">
        <v>5</v>
      </c>
      <c r="G2772" t="s">
        <v>6</v>
      </c>
      <c r="L2772" t="s">
        <v>7</v>
      </c>
      <c r="M2772">
        <v>2020</v>
      </c>
      <c r="N2772" s="1">
        <v>44644</v>
      </c>
      <c r="O2772" t="s">
        <v>13106</v>
      </c>
      <c r="P2772">
        <v>1</v>
      </c>
      <c r="Q2772" t="s">
        <v>8607</v>
      </c>
      <c r="S2772">
        <v>217.95</v>
      </c>
      <c r="T2772">
        <v>250</v>
      </c>
      <c r="U2772">
        <v>190</v>
      </c>
      <c r="V2772" t="s">
        <v>58</v>
      </c>
      <c r="W2772" t="s">
        <v>59</v>
      </c>
      <c r="X2772" t="s">
        <v>60</v>
      </c>
      <c r="Y2772" t="s">
        <v>61</v>
      </c>
      <c r="AF2772" t="s">
        <v>13</v>
      </c>
      <c r="AG2772" t="str">
        <f>HYPERLINK("https://doi.org/10.1515/9781474459228?locatt=mode:legacy")</f>
        <v>https://doi.org/10.1515/9781474459228?locatt=mode:legacy</v>
      </c>
      <c r="AH2772" t="str">
        <f>HYPERLINK("http://www.degruyter.com/isbn/9781474459228")</f>
        <v>http://www.degruyter.com/isbn/9781474459228</v>
      </c>
      <c r="AI2772" t="s">
        <v>14</v>
      </c>
      <c r="AL2772" t="s">
        <v>62</v>
      </c>
      <c r="AM2772">
        <v>1</v>
      </c>
      <c r="AN2772" s="2">
        <v>9781474459198</v>
      </c>
    </row>
    <row r="2773" spans="1:40" x14ac:dyDescent="0.3">
      <c r="A2773" t="s">
        <v>13107</v>
      </c>
      <c r="B2773" t="s">
        <v>1</v>
      </c>
      <c r="C2773" t="s">
        <v>13108</v>
      </c>
      <c r="E2773" t="s">
        <v>13109</v>
      </c>
      <c r="F2773" t="s">
        <v>5</v>
      </c>
      <c r="G2773" t="s">
        <v>6</v>
      </c>
      <c r="L2773" t="s">
        <v>7</v>
      </c>
      <c r="M2773">
        <v>2003</v>
      </c>
      <c r="N2773" s="1">
        <v>37799</v>
      </c>
      <c r="O2773" t="s">
        <v>13110</v>
      </c>
      <c r="P2773">
        <v>1</v>
      </c>
      <c r="Q2773" t="s">
        <v>13111</v>
      </c>
      <c r="S2773">
        <v>217.95</v>
      </c>
      <c r="T2773">
        <v>250</v>
      </c>
      <c r="U2773">
        <v>190</v>
      </c>
      <c r="V2773" t="s">
        <v>42</v>
      </c>
      <c r="W2773" t="s">
        <v>116</v>
      </c>
      <c r="X2773" t="s">
        <v>116</v>
      </c>
      <c r="Y2773" t="s">
        <v>117</v>
      </c>
      <c r="AF2773" t="s">
        <v>13</v>
      </c>
      <c r="AG2773" t="str">
        <f>HYPERLINK("https://doi.org/10.1515/9781474472876")</f>
        <v>https://doi.org/10.1515/9781474472876</v>
      </c>
      <c r="AH2773" t="str">
        <f>HYPERLINK("http://www.degruyter.com/isbn/9781474472876")</f>
        <v>http://www.degruyter.com/isbn/9781474472876</v>
      </c>
      <c r="AI2773" t="s">
        <v>68</v>
      </c>
      <c r="AL2773" t="s">
        <v>47</v>
      </c>
      <c r="AM2773">
        <v>1</v>
      </c>
      <c r="AN2773" s="2">
        <v>9780748615575</v>
      </c>
    </row>
    <row r="2774" spans="1:40" x14ac:dyDescent="0.3">
      <c r="A2774" t="s">
        <v>13112</v>
      </c>
      <c r="B2774" t="s">
        <v>1</v>
      </c>
      <c r="C2774" t="s">
        <v>13113</v>
      </c>
      <c r="D2774" t="s">
        <v>13114</v>
      </c>
      <c r="E2774" t="s">
        <v>13115</v>
      </c>
      <c r="F2774" t="s">
        <v>5</v>
      </c>
      <c r="G2774" t="s">
        <v>6</v>
      </c>
      <c r="L2774" t="s">
        <v>7</v>
      </c>
      <c r="M2774">
        <v>2020</v>
      </c>
      <c r="N2774" s="1">
        <v>44644</v>
      </c>
      <c r="O2774" t="s">
        <v>13116</v>
      </c>
      <c r="P2774">
        <v>1</v>
      </c>
      <c r="Q2774" t="s">
        <v>7515</v>
      </c>
      <c r="S2774">
        <v>217.95</v>
      </c>
      <c r="T2774">
        <v>250</v>
      </c>
      <c r="U2774">
        <v>190</v>
      </c>
      <c r="V2774" t="s">
        <v>58</v>
      </c>
      <c r="W2774" t="s">
        <v>59</v>
      </c>
      <c r="X2774" t="s">
        <v>3060</v>
      </c>
      <c r="Y2774" t="s">
        <v>3061</v>
      </c>
      <c r="AF2774" t="s">
        <v>13</v>
      </c>
      <c r="AG2774" t="str">
        <f>HYPERLINK("https://www.degruyter.com/isbn/9781474453509")</f>
        <v>https://www.degruyter.com/isbn/9781474453509</v>
      </c>
      <c r="AH2774" t="str">
        <f>HYPERLINK("http://www.degruyter.com/isbn/9781474453509")</f>
        <v>http://www.degruyter.com/isbn/9781474453509</v>
      </c>
      <c r="AI2774" t="s">
        <v>14</v>
      </c>
      <c r="AL2774" t="s">
        <v>62</v>
      </c>
      <c r="AM2774">
        <v>1</v>
      </c>
      <c r="AN2774" s="2">
        <v>9781474453486</v>
      </c>
    </row>
    <row r="2775" spans="1:40" x14ac:dyDescent="0.3">
      <c r="A2775" t="s">
        <v>13117</v>
      </c>
      <c r="B2775" t="s">
        <v>1</v>
      </c>
      <c r="C2775" t="s">
        <v>13118</v>
      </c>
      <c r="E2775" t="s">
        <v>13119</v>
      </c>
      <c r="F2775" t="s">
        <v>5</v>
      </c>
      <c r="G2775" t="s">
        <v>6</v>
      </c>
      <c r="L2775" t="s">
        <v>7</v>
      </c>
      <c r="M2775">
        <v>2001</v>
      </c>
      <c r="N2775" s="1">
        <v>36986</v>
      </c>
      <c r="O2775" t="s">
        <v>13120</v>
      </c>
      <c r="P2775">
        <v>1</v>
      </c>
      <c r="Q2775" t="s">
        <v>7266</v>
      </c>
      <c r="S2775">
        <v>227.95</v>
      </c>
      <c r="T2775">
        <v>260</v>
      </c>
      <c r="U2775">
        <v>200</v>
      </c>
      <c r="V2775" t="s">
        <v>42</v>
      </c>
      <c r="W2775" t="s">
        <v>116</v>
      </c>
      <c r="X2775" t="s">
        <v>116</v>
      </c>
      <c r="Y2775" t="s">
        <v>117</v>
      </c>
      <c r="AF2775" t="s">
        <v>13</v>
      </c>
      <c r="AH2775" t="str">
        <f>HYPERLINK("http://www.degruyter.com/isbn/9781474433013")</f>
        <v>http://www.degruyter.com/isbn/9781474433013</v>
      </c>
      <c r="AI2775" t="s">
        <v>68</v>
      </c>
      <c r="AL2775" t="s">
        <v>47</v>
      </c>
      <c r="AM2775">
        <v>1</v>
      </c>
      <c r="AN2775" s="2">
        <v>9780748605798</v>
      </c>
    </row>
    <row r="2776" spans="1:40" x14ac:dyDescent="0.3">
      <c r="A2776" t="s">
        <v>13121</v>
      </c>
      <c r="B2776" t="s">
        <v>1</v>
      </c>
      <c r="C2776" t="s">
        <v>13122</v>
      </c>
      <c r="D2776" t="s">
        <v>13123</v>
      </c>
      <c r="E2776" t="s">
        <v>13124</v>
      </c>
      <c r="F2776" t="s">
        <v>5</v>
      </c>
      <c r="G2776" t="s">
        <v>6</v>
      </c>
      <c r="L2776" t="s">
        <v>7</v>
      </c>
      <c r="M2776">
        <v>2021</v>
      </c>
      <c r="N2776" s="1">
        <v>44656</v>
      </c>
      <c r="O2776" t="s">
        <v>3258</v>
      </c>
      <c r="P2776">
        <v>1</v>
      </c>
      <c r="Q2776" t="s">
        <v>13125</v>
      </c>
      <c r="S2776">
        <v>217.95</v>
      </c>
      <c r="T2776">
        <v>250</v>
      </c>
      <c r="U2776">
        <v>190</v>
      </c>
      <c r="V2776" t="s">
        <v>20</v>
      </c>
      <c r="W2776" t="s">
        <v>21</v>
      </c>
      <c r="X2776" t="s">
        <v>458</v>
      </c>
      <c r="Y2776" t="s">
        <v>5235</v>
      </c>
      <c r="AF2776" t="s">
        <v>13</v>
      </c>
      <c r="AG2776" t="str">
        <f>HYPERLINK("https://doi.org/10.1515/9781474479158")</f>
        <v>https://doi.org/10.1515/9781474479158</v>
      </c>
      <c r="AH2776" t="str">
        <f>HYPERLINK("http://www.degruyter.com/isbn/9781474479158")</f>
        <v>http://www.degruyter.com/isbn/9781474479158</v>
      </c>
      <c r="AI2776" t="s">
        <v>473</v>
      </c>
      <c r="AL2776" t="s">
        <v>15</v>
      </c>
      <c r="AM2776">
        <v>1</v>
      </c>
      <c r="AN2776" s="2">
        <v>9781474479127</v>
      </c>
    </row>
    <row r="2777" spans="1:40" x14ac:dyDescent="0.3">
      <c r="A2777" t="s">
        <v>13126</v>
      </c>
      <c r="B2777" t="s">
        <v>1</v>
      </c>
      <c r="C2777" t="s">
        <v>13127</v>
      </c>
      <c r="E2777" t="s">
        <v>13128</v>
      </c>
      <c r="F2777" t="s">
        <v>5</v>
      </c>
      <c r="G2777" t="s">
        <v>6</v>
      </c>
      <c r="L2777" t="s">
        <v>7</v>
      </c>
      <c r="M2777">
        <v>2018</v>
      </c>
      <c r="N2777" s="1">
        <v>44644</v>
      </c>
      <c r="O2777" t="s">
        <v>13129</v>
      </c>
      <c r="P2777">
        <v>1</v>
      </c>
      <c r="Q2777" t="s">
        <v>6539</v>
      </c>
      <c r="S2777">
        <v>217.95</v>
      </c>
      <c r="T2777">
        <v>250</v>
      </c>
      <c r="U2777">
        <v>190</v>
      </c>
      <c r="V2777" t="s">
        <v>305</v>
      </c>
      <c r="W2777" t="s">
        <v>306</v>
      </c>
      <c r="X2777" t="s">
        <v>306</v>
      </c>
      <c r="Y2777" t="s">
        <v>1689</v>
      </c>
      <c r="AF2777" t="s">
        <v>13</v>
      </c>
      <c r="AG2777" t="str">
        <f>HYPERLINK("https://doi.org/10.1515/9781474435758?locatt=mode:legacy")</f>
        <v>https://doi.org/10.1515/9781474435758?locatt=mode:legacy</v>
      </c>
      <c r="AH2777" t="str">
        <f>HYPERLINK("http://www.degruyter.com/isbn/9781474435758")</f>
        <v>http://www.degruyter.com/isbn/9781474435758</v>
      </c>
      <c r="AI2777" t="s">
        <v>46</v>
      </c>
      <c r="AL2777" t="s">
        <v>308</v>
      </c>
      <c r="AM2777">
        <v>1</v>
      </c>
      <c r="AN2777" s="2">
        <v>9781474435734</v>
      </c>
    </row>
    <row r="2778" spans="1:40" x14ac:dyDescent="0.3">
      <c r="A2778" t="s">
        <v>13130</v>
      </c>
      <c r="B2778" t="s">
        <v>1</v>
      </c>
      <c r="C2778" t="s">
        <v>13131</v>
      </c>
      <c r="D2778" t="s">
        <v>13132</v>
      </c>
      <c r="E2778" t="s">
        <v>13133</v>
      </c>
      <c r="F2778" t="s">
        <v>5</v>
      </c>
      <c r="G2778" t="s">
        <v>6</v>
      </c>
      <c r="L2778" t="s">
        <v>7</v>
      </c>
      <c r="M2778">
        <v>2007</v>
      </c>
      <c r="N2778" s="1">
        <v>39275</v>
      </c>
      <c r="O2778" t="s">
        <v>11295</v>
      </c>
      <c r="P2778">
        <v>1</v>
      </c>
      <c r="Q2778" t="s">
        <v>7187</v>
      </c>
      <c r="S2778">
        <v>253.95</v>
      </c>
      <c r="T2778">
        <v>290</v>
      </c>
      <c r="U2778">
        <v>220</v>
      </c>
      <c r="V2778" t="s">
        <v>98</v>
      </c>
      <c r="W2778" t="s">
        <v>99</v>
      </c>
      <c r="X2778" t="s">
        <v>386</v>
      </c>
      <c r="Y2778" t="s">
        <v>387</v>
      </c>
      <c r="AF2778" t="s">
        <v>13</v>
      </c>
      <c r="AG2778" t="str">
        <f>HYPERLINK("https://doi.org/10.1515/9780748633562")</f>
        <v>https://doi.org/10.1515/9780748633562</v>
      </c>
      <c r="AH2778" t="str">
        <f>HYPERLINK("http://www.degruyter.com/isbn/9780748633562")</f>
        <v>http://www.degruyter.com/isbn/9780748633562</v>
      </c>
      <c r="AI2778" t="s">
        <v>68</v>
      </c>
      <c r="AL2778" t="s">
        <v>102</v>
      </c>
      <c r="AM2778">
        <v>1</v>
      </c>
      <c r="AN2778" s="2">
        <v>9780748633555</v>
      </c>
    </row>
    <row r="2779" spans="1:40" x14ac:dyDescent="0.3">
      <c r="A2779" t="s">
        <v>13134</v>
      </c>
      <c r="B2779" t="s">
        <v>1</v>
      </c>
      <c r="C2779" t="s">
        <v>13135</v>
      </c>
      <c r="E2779" t="s">
        <v>13136</v>
      </c>
      <c r="F2779" t="s">
        <v>5</v>
      </c>
      <c r="G2779" t="s">
        <v>6</v>
      </c>
      <c r="L2779" t="s">
        <v>7</v>
      </c>
      <c r="M2779">
        <v>2021</v>
      </c>
      <c r="N2779" s="1">
        <v>44607</v>
      </c>
      <c r="O2779" t="s">
        <v>13137</v>
      </c>
      <c r="P2779">
        <v>1</v>
      </c>
      <c r="Q2779" t="s">
        <v>8391</v>
      </c>
      <c r="S2779">
        <v>253.95</v>
      </c>
      <c r="T2779">
        <v>290</v>
      </c>
      <c r="U2779">
        <v>220</v>
      </c>
      <c r="V2779" t="s">
        <v>98</v>
      </c>
      <c r="W2779" t="s">
        <v>99</v>
      </c>
      <c r="X2779" t="s">
        <v>2492</v>
      </c>
      <c r="Y2779" t="s">
        <v>2493</v>
      </c>
      <c r="AF2779" t="s">
        <v>13</v>
      </c>
      <c r="AG2779" t="str">
        <f>HYPERLINK("https://doi.org/10.1515/9781474461740")</f>
        <v>https://doi.org/10.1515/9781474461740</v>
      </c>
      <c r="AH2779" t="str">
        <f>HYPERLINK("http://www.degruyter.com/isbn/9781474461740")</f>
        <v>http://www.degruyter.com/isbn/9781474461740</v>
      </c>
      <c r="AI2779" t="s">
        <v>565</v>
      </c>
      <c r="AL2779" t="s">
        <v>102</v>
      </c>
      <c r="AM2779">
        <v>1</v>
      </c>
      <c r="AN2779" s="2">
        <v>9781474461726</v>
      </c>
    </row>
    <row r="2780" spans="1:40" x14ac:dyDescent="0.3">
      <c r="A2780" t="s">
        <v>13138</v>
      </c>
      <c r="B2780" t="s">
        <v>1</v>
      </c>
      <c r="C2780" t="s">
        <v>13139</v>
      </c>
      <c r="D2780" t="s">
        <v>13140</v>
      </c>
      <c r="E2780" t="s">
        <v>13141</v>
      </c>
      <c r="F2780" t="s">
        <v>5</v>
      </c>
      <c r="G2780" t="s">
        <v>6</v>
      </c>
      <c r="L2780" t="s">
        <v>7</v>
      </c>
      <c r="M2780">
        <v>2016</v>
      </c>
      <c r="N2780" s="1">
        <v>42612</v>
      </c>
      <c r="O2780" t="s">
        <v>12316</v>
      </c>
      <c r="P2780">
        <v>1</v>
      </c>
      <c r="Q2780" t="s">
        <v>10034</v>
      </c>
      <c r="S2780">
        <v>217.95</v>
      </c>
      <c r="T2780">
        <v>250</v>
      </c>
      <c r="U2780">
        <v>190</v>
      </c>
      <c r="V2780" t="s">
        <v>20</v>
      </c>
      <c r="W2780" t="s">
        <v>21</v>
      </c>
      <c r="X2780" t="s">
        <v>575</v>
      </c>
      <c r="Y2780" t="s">
        <v>576</v>
      </c>
      <c r="AF2780" t="s">
        <v>13</v>
      </c>
      <c r="AG2780" t="str">
        <f>HYPERLINK("https://doi.org/10.1515/9781474415453")</f>
        <v>https://doi.org/10.1515/9781474415453</v>
      </c>
      <c r="AH2780" t="str">
        <f>HYPERLINK("http://www.degruyter.com/isbn/9781474415453")</f>
        <v>http://www.degruyter.com/isbn/9781474415453</v>
      </c>
      <c r="AI2780" t="s">
        <v>180</v>
      </c>
      <c r="AL2780" t="s">
        <v>15</v>
      </c>
      <c r="AM2780">
        <v>1</v>
      </c>
      <c r="AN2780" s="2">
        <v>9781474415446</v>
      </c>
    </row>
    <row r="2781" spans="1:40" x14ac:dyDescent="0.3">
      <c r="A2781" t="s">
        <v>13142</v>
      </c>
      <c r="B2781" t="s">
        <v>1</v>
      </c>
      <c r="C2781" t="s">
        <v>13143</v>
      </c>
      <c r="D2781" t="s">
        <v>13144</v>
      </c>
      <c r="E2781" t="s">
        <v>13145</v>
      </c>
      <c r="F2781" t="s">
        <v>5</v>
      </c>
      <c r="G2781" t="s">
        <v>6</v>
      </c>
      <c r="L2781" t="s">
        <v>7</v>
      </c>
      <c r="M2781">
        <v>1996</v>
      </c>
      <c r="N2781" s="1">
        <v>44599</v>
      </c>
      <c r="O2781" t="s">
        <v>13146</v>
      </c>
      <c r="P2781">
        <v>1</v>
      </c>
      <c r="Q2781" t="s">
        <v>8002</v>
      </c>
      <c r="S2781">
        <v>227.95</v>
      </c>
      <c r="T2781">
        <v>260</v>
      </c>
      <c r="U2781">
        <v>200</v>
      </c>
      <c r="V2781" t="s">
        <v>42</v>
      </c>
      <c r="W2781" t="s">
        <v>290</v>
      </c>
      <c r="X2781" t="s">
        <v>290</v>
      </c>
      <c r="Y2781" t="s">
        <v>291</v>
      </c>
      <c r="AF2781" t="s">
        <v>13</v>
      </c>
      <c r="AG2781" t="str">
        <f>HYPERLINK("https://doi.org/10.1515/9780585122601")</f>
        <v>https://doi.org/10.1515/9780585122601</v>
      </c>
      <c r="AH2781" t="str">
        <f>HYPERLINK("http://www.degruyter.com/isbn/9780585122601")</f>
        <v>http://www.degruyter.com/isbn/9780585122601</v>
      </c>
      <c r="AI2781" t="s">
        <v>24</v>
      </c>
      <c r="AL2781" t="s">
        <v>47</v>
      </c>
      <c r="AM2781">
        <v>1</v>
      </c>
      <c r="AN2781" s="2">
        <v>9781853311086</v>
      </c>
    </row>
    <row r="2782" spans="1:40" x14ac:dyDescent="0.3">
      <c r="A2782" t="s">
        <v>13147</v>
      </c>
      <c r="B2782" t="s">
        <v>1</v>
      </c>
      <c r="C2782" t="s">
        <v>13148</v>
      </c>
      <c r="E2782" t="s">
        <v>13149</v>
      </c>
      <c r="F2782" t="s">
        <v>5</v>
      </c>
      <c r="G2782" t="s">
        <v>6</v>
      </c>
      <c r="L2782" t="s">
        <v>7</v>
      </c>
      <c r="M2782">
        <v>1999</v>
      </c>
      <c r="N2782" s="1">
        <v>44895</v>
      </c>
      <c r="O2782" t="s">
        <v>13150</v>
      </c>
      <c r="P2782">
        <v>1</v>
      </c>
      <c r="Q2782" t="s">
        <v>7266</v>
      </c>
      <c r="S2782">
        <v>227.95</v>
      </c>
      <c r="T2782">
        <v>260</v>
      </c>
      <c r="U2782">
        <v>200</v>
      </c>
      <c r="V2782" t="s">
        <v>42</v>
      </c>
      <c r="W2782" t="s">
        <v>116</v>
      </c>
      <c r="X2782" t="s">
        <v>116</v>
      </c>
      <c r="Y2782" t="s">
        <v>117</v>
      </c>
      <c r="AF2782" t="s">
        <v>13</v>
      </c>
      <c r="AG2782" t="str">
        <f>HYPERLINK("https://doi.org/10.1515/9781474433501")</f>
        <v>https://doi.org/10.1515/9781474433501</v>
      </c>
      <c r="AH2782" t="str">
        <f>HYPERLINK("http://www.degruyter.com/isbn/9781474433501")</f>
        <v>http://www.degruyter.com/isbn/9781474433501</v>
      </c>
      <c r="AI2782" t="s">
        <v>24</v>
      </c>
      <c r="AL2782" t="s">
        <v>47</v>
      </c>
      <c r="AM2782">
        <v>1</v>
      </c>
      <c r="AN2782" s="2">
        <v>9780748605859</v>
      </c>
    </row>
    <row r="2783" spans="1:40" x14ac:dyDescent="0.3">
      <c r="A2783" t="s">
        <v>13151</v>
      </c>
      <c r="B2783" t="s">
        <v>1</v>
      </c>
      <c r="C2783" t="s">
        <v>13152</v>
      </c>
      <c r="D2783" t="s">
        <v>13153</v>
      </c>
      <c r="E2783" t="s">
        <v>13154</v>
      </c>
      <c r="F2783" t="s">
        <v>5</v>
      </c>
      <c r="G2783" t="s">
        <v>6</v>
      </c>
      <c r="L2783" t="s">
        <v>7</v>
      </c>
      <c r="M2783">
        <v>2013</v>
      </c>
      <c r="N2783" s="1">
        <v>41347</v>
      </c>
      <c r="O2783" t="s">
        <v>13155</v>
      </c>
      <c r="P2783">
        <v>1</v>
      </c>
      <c r="Q2783" t="s">
        <v>8096</v>
      </c>
      <c r="S2783">
        <v>217.95</v>
      </c>
      <c r="T2783">
        <v>250</v>
      </c>
      <c r="U2783">
        <v>190</v>
      </c>
      <c r="V2783" t="s">
        <v>42</v>
      </c>
      <c r="W2783" t="s">
        <v>116</v>
      </c>
      <c r="X2783" t="s">
        <v>116</v>
      </c>
      <c r="Y2783" t="s">
        <v>117</v>
      </c>
      <c r="AF2783" t="s">
        <v>13</v>
      </c>
      <c r="AG2783" t="str">
        <f>HYPERLINK("https://doi.org/10.1515/9780748632565?locatt=mode:legacy")</f>
        <v>https://doi.org/10.1515/9780748632565?locatt=mode:legacy</v>
      </c>
      <c r="AH2783" t="str">
        <f>HYPERLINK("http://www.degruyter.com/isbn/9780748632565")</f>
        <v>http://www.degruyter.com/isbn/9780748632565</v>
      </c>
      <c r="AI2783" t="s">
        <v>68</v>
      </c>
      <c r="AL2783" t="s">
        <v>47</v>
      </c>
      <c r="AM2783">
        <v>1</v>
      </c>
      <c r="AN2783" s="2">
        <v>9780748627615</v>
      </c>
    </row>
    <row r="2784" spans="1:40" x14ac:dyDescent="0.3">
      <c r="A2784" t="s">
        <v>13156</v>
      </c>
      <c r="B2784" t="s">
        <v>1</v>
      </c>
      <c r="C2784" t="s">
        <v>13157</v>
      </c>
      <c r="E2784" t="s">
        <v>13158</v>
      </c>
      <c r="F2784" t="s">
        <v>5</v>
      </c>
      <c r="G2784" t="s">
        <v>6</v>
      </c>
      <c r="L2784" t="s">
        <v>7</v>
      </c>
      <c r="M2784">
        <v>1997</v>
      </c>
      <c r="N2784" s="1">
        <v>44895</v>
      </c>
      <c r="O2784" t="s">
        <v>13159</v>
      </c>
      <c r="P2784">
        <v>1</v>
      </c>
      <c r="Q2784" t="s">
        <v>7266</v>
      </c>
      <c r="S2784">
        <v>227.95</v>
      </c>
      <c r="T2784">
        <v>260</v>
      </c>
      <c r="U2784">
        <v>200</v>
      </c>
      <c r="V2784" t="s">
        <v>42</v>
      </c>
      <c r="W2784" t="s">
        <v>116</v>
      </c>
      <c r="X2784" t="s">
        <v>116</v>
      </c>
      <c r="Y2784" t="s">
        <v>117</v>
      </c>
      <c r="AF2784" t="s">
        <v>13</v>
      </c>
      <c r="AH2784" t="str">
        <f>HYPERLINK("http://www.degruyter.com/isbn/9780748698615")</f>
        <v>http://www.degruyter.com/isbn/9780748698615</v>
      </c>
      <c r="AI2784" t="s">
        <v>24</v>
      </c>
      <c r="AL2784" t="s">
        <v>47</v>
      </c>
      <c r="AM2784">
        <v>1</v>
      </c>
      <c r="AN2784" s="2">
        <v>9780748605804</v>
      </c>
    </row>
    <row r="2785" spans="1:40" x14ac:dyDescent="0.3">
      <c r="A2785" t="s">
        <v>13160</v>
      </c>
      <c r="B2785" t="s">
        <v>1</v>
      </c>
      <c r="C2785" t="s">
        <v>13161</v>
      </c>
      <c r="D2785" t="s">
        <v>13162</v>
      </c>
      <c r="E2785" t="s">
        <v>13163</v>
      </c>
      <c r="F2785" t="s">
        <v>5</v>
      </c>
      <c r="G2785" t="s">
        <v>6</v>
      </c>
      <c r="L2785" t="s">
        <v>7</v>
      </c>
      <c r="M2785">
        <v>2015</v>
      </c>
      <c r="N2785" s="1">
        <v>42072</v>
      </c>
      <c r="O2785" t="s">
        <v>13164</v>
      </c>
      <c r="P2785">
        <v>1</v>
      </c>
      <c r="Q2785" t="s">
        <v>6606</v>
      </c>
      <c r="S2785">
        <v>227.95</v>
      </c>
      <c r="T2785">
        <v>260</v>
      </c>
      <c r="U2785">
        <v>200</v>
      </c>
      <c r="V2785" t="s">
        <v>305</v>
      </c>
      <c r="W2785" t="s">
        <v>650</v>
      </c>
      <c r="X2785" t="s">
        <v>650</v>
      </c>
      <c r="Y2785" t="s">
        <v>651</v>
      </c>
      <c r="AF2785" t="s">
        <v>13</v>
      </c>
      <c r="AG2785" t="str">
        <f>HYPERLINK("https://doi.org/10.1515/9780748685363")</f>
        <v>https://doi.org/10.1515/9780748685363</v>
      </c>
      <c r="AH2785" t="str">
        <f>HYPERLINK("http://www.degruyter.com/isbn/9780748685363")</f>
        <v>http://www.degruyter.com/isbn/9780748685363</v>
      </c>
      <c r="AI2785" t="s">
        <v>34</v>
      </c>
      <c r="AL2785" t="s">
        <v>308</v>
      </c>
      <c r="AM2785">
        <v>1</v>
      </c>
      <c r="AN2785" s="2">
        <v>9780748685356</v>
      </c>
    </row>
    <row r="2786" spans="1:40" x14ac:dyDescent="0.3">
      <c r="A2786" t="s">
        <v>13165</v>
      </c>
      <c r="B2786" t="s">
        <v>1</v>
      </c>
      <c r="C2786" t="s">
        <v>13166</v>
      </c>
      <c r="D2786" t="s">
        <v>13167</v>
      </c>
      <c r="E2786" t="s">
        <v>13168</v>
      </c>
      <c r="F2786" t="s">
        <v>5</v>
      </c>
      <c r="G2786" t="s">
        <v>6</v>
      </c>
      <c r="L2786" t="s">
        <v>7</v>
      </c>
      <c r="M2786">
        <v>2008</v>
      </c>
      <c r="N2786" s="1">
        <v>39643</v>
      </c>
      <c r="O2786" t="s">
        <v>13169</v>
      </c>
      <c r="P2786">
        <v>1</v>
      </c>
      <c r="Q2786" t="s">
        <v>9122</v>
      </c>
      <c r="S2786">
        <v>417.95</v>
      </c>
      <c r="T2786">
        <v>480</v>
      </c>
      <c r="U2786">
        <v>370</v>
      </c>
      <c r="V2786" t="s">
        <v>847</v>
      </c>
      <c r="W2786" t="s">
        <v>848</v>
      </c>
      <c r="X2786" t="s">
        <v>1771</v>
      </c>
      <c r="Y2786" t="s">
        <v>1772</v>
      </c>
      <c r="AF2786" t="s">
        <v>13</v>
      </c>
      <c r="AG2786" t="str">
        <f>HYPERLINK("https://doi.org/10.1515/9780748633760")</f>
        <v>https://doi.org/10.1515/9780748633760</v>
      </c>
      <c r="AH2786" t="str">
        <f>HYPERLINK("http://www.degruyter.com/isbn/9780748633760")</f>
        <v>http://www.degruyter.com/isbn/9780748633760</v>
      </c>
      <c r="AI2786" t="s">
        <v>68</v>
      </c>
      <c r="AL2786" t="s">
        <v>1070</v>
      </c>
      <c r="AM2786">
        <v>1</v>
      </c>
      <c r="AN2786" s="2">
        <v>9780748633753</v>
      </c>
    </row>
    <row r="2787" spans="1:40" x14ac:dyDescent="0.3">
      <c r="A2787" t="s">
        <v>13170</v>
      </c>
      <c r="B2787" t="s">
        <v>1</v>
      </c>
      <c r="C2787" t="s">
        <v>13171</v>
      </c>
      <c r="E2787" t="s">
        <v>13172</v>
      </c>
      <c r="F2787" t="s">
        <v>5</v>
      </c>
      <c r="G2787" t="s">
        <v>6</v>
      </c>
      <c r="L2787" t="s">
        <v>7</v>
      </c>
      <c r="M2787">
        <v>2019</v>
      </c>
      <c r="N2787" s="1">
        <v>44644</v>
      </c>
      <c r="O2787" t="s">
        <v>13173</v>
      </c>
      <c r="P2787">
        <v>1</v>
      </c>
      <c r="Q2787" t="s">
        <v>6606</v>
      </c>
      <c r="S2787">
        <v>253.95</v>
      </c>
      <c r="T2787">
        <v>290</v>
      </c>
      <c r="U2787">
        <v>220</v>
      </c>
      <c r="V2787" t="s">
        <v>79</v>
      </c>
      <c r="W2787" t="s">
        <v>123</v>
      </c>
      <c r="X2787" t="s">
        <v>123</v>
      </c>
      <c r="Y2787" t="s">
        <v>124</v>
      </c>
      <c r="AF2787" t="s">
        <v>13</v>
      </c>
      <c r="AG2787" t="str">
        <f>HYPERLINK("https://doi.org/10.1515/9781474450324?locatt=mode:legacy")</f>
        <v>https://doi.org/10.1515/9781474450324?locatt=mode:legacy</v>
      </c>
      <c r="AH2787" t="str">
        <f>HYPERLINK("http://www.degruyter.com/isbn/9781474450324")</f>
        <v>http://www.degruyter.com/isbn/9781474450324</v>
      </c>
      <c r="AI2787" t="s">
        <v>280</v>
      </c>
      <c r="AL2787" t="s">
        <v>83</v>
      </c>
      <c r="AM2787">
        <v>1</v>
      </c>
      <c r="AN2787" s="2">
        <v>9781474450300</v>
      </c>
    </row>
    <row r="2788" spans="1:40" x14ac:dyDescent="0.3">
      <c r="A2788" t="s">
        <v>13174</v>
      </c>
      <c r="B2788" t="s">
        <v>1</v>
      </c>
      <c r="C2788" t="s">
        <v>13175</v>
      </c>
      <c r="D2788" t="s">
        <v>13176</v>
      </c>
      <c r="E2788" t="s">
        <v>13177</v>
      </c>
      <c r="F2788" t="s">
        <v>5</v>
      </c>
      <c r="G2788" t="s">
        <v>6</v>
      </c>
      <c r="L2788" t="s">
        <v>7</v>
      </c>
      <c r="M2788">
        <v>2014</v>
      </c>
      <c r="N2788" s="1">
        <v>41715</v>
      </c>
      <c r="O2788" t="s">
        <v>13178</v>
      </c>
      <c r="P2788">
        <v>1</v>
      </c>
      <c r="Q2788" t="s">
        <v>8702</v>
      </c>
      <c r="S2788">
        <v>253.95</v>
      </c>
      <c r="T2788">
        <v>290</v>
      </c>
      <c r="U2788">
        <v>220</v>
      </c>
      <c r="V2788" t="s">
        <v>79</v>
      </c>
      <c r="W2788" t="s">
        <v>209</v>
      </c>
      <c r="X2788" t="s">
        <v>209</v>
      </c>
      <c r="Y2788" t="s">
        <v>510</v>
      </c>
      <c r="AF2788" t="s">
        <v>13</v>
      </c>
      <c r="AG2788" t="str">
        <f>HYPERLINK("https://doi.org/10.1515/9780748679980")</f>
        <v>https://doi.org/10.1515/9780748679980</v>
      </c>
      <c r="AH2788" t="str">
        <f>HYPERLINK("http://www.degruyter.com/isbn/9780748679980")</f>
        <v>http://www.degruyter.com/isbn/9780748679980</v>
      </c>
      <c r="AI2788" t="s">
        <v>34</v>
      </c>
      <c r="AL2788" t="s">
        <v>83</v>
      </c>
      <c r="AM2788">
        <v>1</v>
      </c>
      <c r="AN2788" s="2">
        <v>9780748679966</v>
      </c>
    </row>
    <row r="2789" spans="1:40" x14ac:dyDescent="0.3">
      <c r="A2789" t="s">
        <v>13179</v>
      </c>
      <c r="B2789" t="s">
        <v>1</v>
      </c>
      <c r="C2789" t="s">
        <v>13180</v>
      </c>
      <c r="D2789" t="s">
        <v>13181</v>
      </c>
      <c r="E2789" t="s">
        <v>13182</v>
      </c>
      <c r="F2789" t="s">
        <v>5</v>
      </c>
      <c r="G2789" t="s">
        <v>6</v>
      </c>
      <c r="L2789" t="s">
        <v>7</v>
      </c>
      <c r="M2789">
        <v>2012</v>
      </c>
      <c r="N2789" s="1">
        <v>41108</v>
      </c>
      <c r="O2789" t="s">
        <v>13183</v>
      </c>
      <c r="P2789">
        <v>1</v>
      </c>
      <c r="Q2789" t="s">
        <v>6876</v>
      </c>
      <c r="S2789">
        <v>253.95</v>
      </c>
      <c r="T2789">
        <v>290</v>
      </c>
      <c r="U2789">
        <v>220</v>
      </c>
      <c r="V2789" t="s">
        <v>42</v>
      </c>
      <c r="W2789" t="s">
        <v>161</v>
      </c>
      <c r="X2789" t="s">
        <v>162</v>
      </c>
      <c r="Y2789" t="s">
        <v>12338</v>
      </c>
      <c r="AF2789" t="s">
        <v>13</v>
      </c>
      <c r="AG2789" t="str">
        <f>HYPERLINK("https://doi.org/10.1515/9780748669189")</f>
        <v>https://doi.org/10.1515/9780748669189</v>
      </c>
      <c r="AH2789" t="str">
        <f>HYPERLINK("http://www.degruyter.com/isbn/9780748669189")</f>
        <v>http://www.degruyter.com/isbn/9780748669189</v>
      </c>
      <c r="AI2789" t="s">
        <v>68</v>
      </c>
      <c r="AL2789" t="s">
        <v>47</v>
      </c>
      <c r="AM2789">
        <v>1</v>
      </c>
      <c r="AN2789" s="2">
        <v>9780748639267</v>
      </c>
    </row>
    <row r="2790" spans="1:40" x14ac:dyDescent="0.3">
      <c r="A2790" t="s">
        <v>13184</v>
      </c>
      <c r="B2790" t="s">
        <v>1</v>
      </c>
      <c r="C2790" t="s">
        <v>13185</v>
      </c>
      <c r="D2790" t="s">
        <v>13186</v>
      </c>
      <c r="E2790" t="s">
        <v>13187</v>
      </c>
      <c r="F2790" t="s">
        <v>5</v>
      </c>
      <c r="G2790" t="s">
        <v>6</v>
      </c>
      <c r="L2790" t="s">
        <v>7</v>
      </c>
      <c r="M2790">
        <v>2004</v>
      </c>
      <c r="N2790" s="1">
        <v>44599</v>
      </c>
      <c r="O2790" t="s">
        <v>13188</v>
      </c>
      <c r="P2790">
        <v>1</v>
      </c>
      <c r="Q2790" t="s">
        <v>6418</v>
      </c>
      <c r="S2790">
        <v>217.95</v>
      </c>
      <c r="T2790">
        <v>250</v>
      </c>
      <c r="U2790">
        <v>190</v>
      </c>
      <c r="V2790" t="s">
        <v>79</v>
      </c>
      <c r="W2790" t="s">
        <v>209</v>
      </c>
      <c r="X2790" t="s">
        <v>209</v>
      </c>
      <c r="Y2790" t="s">
        <v>510</v>
      </c>
      <c r="AF2790" t="s">
        <v>13</v>
      </c>
      <c r="AG2790" t="str">
        <f>HYPERLINK("https://doi.org/10.1515/9781474464543")</f>
        <v>https://doi.org/10.1515/9781474464543</v>
      </c>
      <c r="AH2790" t="str">
        <f>HYPERLINK("http://www.degruyter.com/isbn/9781474464543")</f>
        <v>http://www.degruyter.com/isbn/9781474464543</v>
      </c>
      <c r="AI2790" t="s">
        <v>68</v>
      </c>
      <c r="AL2790" t="s">
        <v>83</v>
      </c>
      <c r="AM2790">
        <v>1</v>
      </c>
      <c r="AN2790" s="2">
        <v>9780748618392</v>
      </c>
    </row>
    <row r="2791" spans="1:40" x14ac:dyDescent="0.3">
      <c r="A2791" t="s">
        <v>13189</v>
      </c>
      <c r="B2791" t="s">
        <v>1</v>
      </c>
      <c r="C2791" t="s">
        <v>13190</v>
      </c>
      <c r="E2791" t="s">
        <v>13191</v>
      </c>
      <c r="F2791" t="s">
        <v>5</v>
      </c>
      <c r="G2791" t="s">
        <v>6</v>
      </c>
      <c r="L2791" t="s">
        <v>7</v>
      </c>
      <c r="M2791">
        <v>2013</v>
      </c>
      <c r="N2791" s="1">
        <v>41452</v>
      </c>
      <c r="O2791" t="s">
        <v>13192</v>
      </c>
      <c r="P2791">
        <v>1</v>
      </c>
      <c r="Q2791" t="s">
        <v>8391</v>
      </c>
      <c r="S2791">
        <v>253.95</v>
      </c>
      <c r="T2791">
        <v>290</v>
      </c>
      <c r="U2791">
        <v>220</v>
      </c>
      <c r="V2791" t="s">
        <v>98</v>
      </c>
      <c r="W2791" t="s">
        <v>99</v>
      </c>
      <c r="X2791" t="s">
        <v>386</v>
      </c>
      <c r="Y2791" t="s">
        <v>387</v>
      </c>
      <c r="AF2791" t="s">
        <v>13</v>
      </c>
      <c r="AG2791" t="str">
        <f>HYPERLINK("https://doi.org/10.1515/9780748646234")</f>
        <v>https://doi.org/10.1515/9780748646234</v>
      </c>
      <c r="AH2791" t="str">
        <f>HYPERLINK("http://www.degruyter.com/isbn/9780748646234")</f>
        <v>http://www.degruyter.com/isbn/9780748646234</v>
      </c>
      <c r="AI2791" t="s">
        <v>68</v>
      </c>
      <c r="AL2791" t="s">
        <v>102</v>
      </c>
      <c r="AM2791">
        <v>1</v>
      </c>
      <c r="AN2791" s="2">
        <v>9780748646227</v>
      </c>
    </row>
    <row r="2792" spans="1:40" x14ac:dyDescent="0.3">
      <c r="A2792" t="s">
        <v>13193</v>
      </c>
      <c r="B2792" t="s">
        <v>1</v>
      </c>
      <c r="C2792" t="s">
        <v>13194</v>
      </c>
      <c r="E2792" t="s">
        <v>13195</v>
      </c>
      <c r="F2792" t="s">
        <v>5</v>
      </c>
      <c r="G2792" t="s">
        <v>6</v>
      </c>
      <c r="L2792" t="s">
        <v>7</v>
      </c>
      <c r="M2792">
        <v>2011</v>
      </c>
      <c r="N2792" s="1">
        <v>40626</v>
      </c>
      <c r="O2792" t="s">
        <v>13196</v>
      </c>
      <c r="P2792">
        <v>1</v>
      </c>
      <c r="Q2792" t="s">
        <v>6630</v>
      </c>
      <c r="S2792">
        <v>173.95</v>
      </c>
      <c r="T2792">
        <v>200</v>
      </c>
      <c r="U2792">
        <v>150</v>
      </c>
      <c r="V2792" t="s">
        <v>42</v>
      </c>
      <c r="W2792" t="s">
        <v>43</v>
      </c>
      <c r="X2792" t="s">
        <v>178</v>
      </c>
      <c r="Y2792" t="s">
        <v>179</v>
      </c>
      <c r="AF2792" t="s">
        <v>13</v>
      </c>
      <c r="AG2792" t="str">
        <f>HYPERLINK("https://doi.org/10.1515/9780748634613")</f>
        <v>https://doi.org/10.1515/9780748634613</v>
      </c>
      <c r="AH2792" t="str">
        <f>HYPERLINK("http://www.degruyter.com/isbn/9780748634613")</f>
        <v>http://www.degruyter.com/isbn/9780748634613</v>
      </c>
      <c r="AI2792" t="s">
        <v>68</v>
      </c>
      <c r="AL2792" t="s">
        <v>47</v>
      </c>
      <c r="AM2792">
        <v>1</v>
      </c>
      <c r="AN2792" s="2">
        <v>9780748634590</v>
      </c>
    </row>
    <row r="2793" spans="1:40" x14ac:dyDescent="0.3">
      <c r="A2793" t="s">
        <v>13197</v>
      </c>
      <c r="B2793" t="s">
        <v>1</v>
      </c>
      <c r="C2793" t="s">
        <v>13198</v>
      </c>
      <c r="E2793" t="s">
        <v>13199</v>
      </c>
      <c r="F2793" t="s">
        <v>5</v>
      </c>
      <c r="G2793" t="s">
        <v>6</v>
      </c>
      <c r="L2793" t="s">
        <v>7</v>
      </c>
      <c r="M2793">
        <v>2018</v>
      </c>
      <c r="N2793" s="1">
        <v>44644</v>
      </c>
      <c r="O2793" t="s">
        <v>13200</v>
      </c>
      <c r="P2793">
        <v>1</v>
      </c>
      <c r="Q2793" t="s">
        <v>6876</v>
      </c>
      <c r="S2793">
        <v>253.95</v>
      </c>
      <c r="T2793">
        <v>290</v>
      </c>
      <c r="U2793">
        <v>220</v>
      </c>
      <c r="V2793" t="s">
        <v>20</v>
      </c>
      <c r="W2793" t="s">
        <v>21</v>
      </c>
      <c r="X2793" t="s">
        <v>458</v>
      </c>
      <c r="Y2793" t="s">
        <v>1816</v>
      </c>
      <c r="AF2793" t="s">
        <v>13</v>
      </c>
      <c r="AG2793" t="str">
        <f>HYPERLINK("https://doi.org/10.1515/9781474417457")</f>
        <v>https://doi.org/10.1515/9781474417457</v>
      </c>
      <c r="AH2793" t="str">
        <f>HYPERLINK("http://www.degruyter.com/isbn/9781474417457")</f>
        <v>http://www.degruyter.com/isbn/9781474417457</v>
      </c>
      <c r="AI2793" t="s">
        <v>46</v>
      </c>
      <c r="AL2793" t="s">
        <v>15</v>
      </c>
      <c r="AM2793">
        <v>1</v>
      </c>
      <c r="AN2793" s="2">
        <v>9781474417440</v>
      </c>
    </row>
    <row r="2794" spans="1:40" x14ac:dyDescent="0.3">
      <c r="A2794" t="s">
        <v>13201</v>
      </c>
      <c r="B2794" t="s">
        <v>1</v>
      </c>
      <c r="C2794" t="s">
        <v>6983</v>
      </c>
      <c r="D2794" t="s">
        <v>13202</v>
      </c>
      <c r="E2794" t="s">
        <v>6985</v>
      </c>
      <c r="F2794" t="s">
        <v>5</v>
      </c>
      <c r="G2794" t="s">
        <v>6</v>
      </c>
      <c r="L2794" t="s">
        <v>7</v>
      </c>
      <c r="M2794">
        <v>2019</v>
      </c>
      <c r="N2794" s="1">
        <v>44656</v>
      </c>
      <c r="O2794" t="s">
        <v>13203</v>
      </c>
      <c r="P2794">
        <v>1</v>
      </c>
      <c r="Q2794" t="s">
        <v>6987</v>
      </c>
      <c r="S2794">
        <v>227.95</v>
      </c>
      <c r="T2794">
        <v>260</v>
      </c>
      <c r="U2794">
        <v>200</v>
      </c>
      <c r="V2794" t="s">
        <v>9</v>
      </c>
      <c r="W2794" t="s">
        <v>10</v>
      </c>
      <c r="X2794" t="s">
        <v>11</v>
      </c>
      <c r="Y2794" t="s">
        <v>52</v>
      </c>
      <c r="AF2794" t="s">
        <v>13</v>
      </c>
      <c r="AG2794" t="str">
        <f>HYPERLINK("https://www.degruyter.com/isbn/9781474429504")</f>
        <v>https://www.degruyter.com/isbn/9781474429504</v>
      </c>
      <c r="AH2794" t="str">
        <f>HYPERLINK("http://www.degruyter.com/isbn/9781474429504")</f>
        <v>http://www.degruyter.com/isbn/9781474429504</v>
      </c>
      <c r="AI2794" t="s">
        <v>280</v>
      </c>
      <c r="AL2794" t="s">
        <v>15</v>
      </c>
      <c r="AM2794">
        <v>1</v>
      </c>
      <c r="AN2794" s="2">
        <v>9781474429481</v>
      </c>
    </row>
    <row r="2795" spans="1:40" x14ac:dyDescent="0.3">
      <c r="A2795" t="s">
        <v>13204</v>
      </c>
      <c r="B2795" t="s">
        <v>1</v>
      </c>
      <c r="C2795" t="s">
        <v>13205</v>
      </c>
      <c r="D2795" t="s">
        <v>13206</v>
      </c>
      <c r="E2795" t="s">
        <v>13207</v>
      </c>
      <c r="F2795" t="s">
        <v>5</v>
      </c>
      <c r="G2795" t="s">
        <v>6</v>
      </c>
      <c r="L2795" t="s">
        <v>7</v>
      </c>
      <c r="M2795">
        <v>2020</v>
      </c>
      <c r="N2795" s="1">
        <v>44644</v>
      </c>
      <c r="O2795" t="s">
        <v>13208</v>
      </c>
      <c r="P2795">
        <v>1</v>
      </c>
      <c r="Q2795" t="s">
        <v>12181</v>
      </c>
      <c r="S2795">
        <v>217.95</v>
      </c>
      <c r="T2795">
        <v>250</v>
      </c>
      <c r="U2795">
        <v>190</v>
      </c>
      <c r="V2795" t="s">
        <v>79</v>
      </c>
      <c r="W2795" t="s">
        <v>783</v>
      </c>
      <c r="X2795" t="s">
        <v>783</v>
      </c>
      <c r="Y2795" t="s">
        <v>784</v>
      </c>
      <c r="AF2795" t="s">
        <v>13</v>
      </c>
      <c r="AG2795" t="str">
        <f>HYPERLINK("https://doi.org/10.1515/9781474467650?locatt=mode:legacy")</f>
        <v>https://doi.org/10.1515/9781474467650?locatt=mode:legacy</v>
      </c>
      <c r="AH2795" t="str">
        <f>HYPERLINK("http://www.degruyter.com/isbn/9781474467650")</f>
        <v>http://www.degruyter.com/isbn/9781474467650</v>
      </c>
      <c r="AI2795" t="s">
        <v>14</v>
      </c>
      <c r="AL2795" t="s">
        <v>83</v>
      </c>
      <c r="AM2795">
        <v>1</v>
      </c>
      <c r="AN2795" s="2">
        <v>9781474467636</v>
      </c>
    </row>
    <row r="2796" spans="1:40" x14ac:dyDescent="0.3">
      <c r="A2796" t="s">
        <v>13209</v>
      </c>
      <c r="B2796" t="s">
        <v>1</v>
      </c>
      <c r="C2796" t="s">
        <v>13210</v>
      </c>
      <c r="D2796" t="s">
        <v>13211</v>
      </c>
      <c r="E2796" t="s">
        <v>13212</v>
      </c>
      <c r="F2796" t="s">
        <v>5</v>
      </c>
      <c r="G2796" t="s">
        <v>6</v>
      </c>
      <c r="L2796" t="s">
        <v>7</v>
      </c>
      <c r="M2796">
        <v>2000</v>
      </c>
      <c r="N2796" s="1">
        <v>36732</v>
      </c>
      <c r="O2796" t="s">
        <v>13213</v>
      </c>
      <c r="P2796">
        <v>1</v>
      </c>
      <c r="Q2796" t="s">
        <v>6929</v>
      </c>
      <c r="S2796">
        <v>217.95</v>
      </c>
      <c r="T2796">
        <v>250</v>
      </c>
      <c r="U2796">
        <v>190</v>
      </c>
      <c r="V2796" t="s">
        <v>20</v>
      </c>
      <c r="W2796" t="s">
        <v>1018</v>
      </c>
      <c r="X2796" t="s">
        <v>1018</v>
      </c>
      <c r="Y2796" t="s">
        <v>2215</v>
      </c>
      <c r="AF2796" t="s">
        <v>13</v>
      </c>
      <c r="AG2796" t="str">
        <f>HYPERLINK("https://doi.org/10.1515/9780585445212")</f>
        <v>https://doi.org/10.1515/9780585445212</v>
      </c>
      <c r="AH2796" t="str">
        <f>HYPERLINK("http://www.degruyter.com/isbn/9780585445212")</f>
        <v>http://www.degruyter.com/isbn/9780585445212</v>
      </c>
      <c r="AI2796" t="s">
        <v>68</v>
      </c>
      <c r="AL2796" t="s">
        <v>15</v>
      </c>
      <c r="AM2796">
        <v>1</v>
      </c>
      <c r="AN2796" s="2">
        <v>9780748613052</v>
      </c>
    </row>
    <row r="2797" spans="1:40" x14ac:dyDescent="0.3">
      <c r="A2797" t="s">
        <v>13214</v>
      </c>
      <c r="B2797" t="s">
        <v>1</v>
      </c>
      <c r="C2797" t="s">
        <v>13215</v>
      </c>
      <c r="D2797" t="s">
        <v>13216</v>
      </c>
      <c r="E2797" t="s">
        <v>13217</v>
      </c>
      <c r="F2797" t="s">
        <v>5</v>
      </c>
      <c r="G2797" t="s">
        <v>6</v>
      </c>
      <c r="L2797" t="s">
        <v>7</v>
      </c>
      <c r="M2797">
        <v>2020</v>
      </c>
      <c r="N2797" s="1">
        <v>44644</v>
      </c>
      <c r="O2797" t="s">
        <v>13218</v>
      </c>
      <c r="P2797">
        <v>1</v>
      </c>
      <c r="Q2797" t="s">
        <v>6665</v>
      </c>
      <c r="S2797">
        <v>217.95</v>
      </c>
      <c r="T2797">
        <v>250</v>
      </c>
      <c r="U2797">
        <v>190</v>
      </c>
      <c r="V2797" t="s">
        <v>9</v>
      </c>
      <c r="W2797" t="s">
        <v>10</v>
      </c>
      <c r="X2797" t="s">
        <v>11</v>
      </c>
      <c r="Y2797" t="s">
        <v>52</v>
      </c>
      <c r="AF2797" t="s">
        <v>13</v>
      </c>
      <c r="AG2797" t="str">
        <f>HYPERLINK("https://doi.org/10.1515/9781474458450")</f>
        <v>https://doi.org/10.1515/9781474458450</v>
      </c>
      <c r="AH2797" t="str">
        <f>HYPERLINK("http://www.degruyter.com/isbn/9781474458450")</f>
        <v>http://www.degruyter.com/isbn/9781474458450</v>
      </c>
      <c r="AI2797" t="s">
        <v>14</v>
      </c>
      <c r="AL2797" t="s">
        <v>15</v>
      </c>
      <c r="AM2797">
        <v>1</v>
      </c>
      <c r="AN2797" s="2">
        <v>9781474458436</v>
      </c>
    </row>
    <row r="2798" spans="1:40" x14ac:dyDescent="0.3">
      <c r="A2798" t="s">
        <v>13219</v>
      </c>
      <c r="B2798" t="s">
        <v>1</v>
      </c>
      <c r="C2798" t="s">
        <v>13220</v>
      </c>
      <c r="E2798" t="s">
        <v>13221</v>
      </c>
      <c r="F2798" t="s">
        <v>5</v>
      </c>
      <c r="G2798" t="s">
        <v>6</v>
      </c>
      <c r="L2798" t="s">
        <v>7</v>
      </c>
      <c r="M2798">
        <v>2000</v>
      </c>
      <c r="N2798" s="1">
        <v>44607</v>
      </c>
      <c r="O2798" t="s">
        <v>13222</v>
      </c>
      <c r="P2798">
        <v>1</v>
      </c>
      <c r="Q2798" t="s">
        <v>6815</v>
      </c>
      <c r="S2798">
        <v>217.95</v>
      </c>
      <c r="T2798">
        <v>250</v>
      </c>
      <c r="U2798">
        <v>190</v>
      </c>
      <c r="V2798" t="s">
        <v>449</v>
      </c>
      <c r="W2798" t="s">
        <v>450</v>
      </c>
      <c r="X2798" t="s">
        <v>450</v>
      </c>
      <c r="Y2798" t="s">
        <v>13223</v>
      </c>
      <c r="AF2798" t="s">
        <v>13</v>
      </c>
      <c r="AG2798" t="str">
        <f>HYPERLINK("https://doi.org/10.1515/9781474473293")</f>
        <v>https://doi.org/10.1515/9781474473293</v>
      </c>
      <c r="AH2798" t="str">
        <f>HYPERLINK("http://www.degruyter.com/isbn/9781474473293")</f>
        <v>http://www.degruyter.com/isbn/9781474473293</v>
      </c>
      <c r="AI2798" t="s">
        <v>452</v>
      </c>
      <c r="AL2798" t="s">
        <v>308</v>
      </c>
      <c r="AM2798">
        <v>1</v>
      </c>
      <c r="AN2798" s="2">
        <v>9781853312045</v>
      </c>
    </row>
    <row r="2799" spans="1:40" x14ac:dyDescent="0.3">
      <c r="A2799" t="s">
        <v>13224</v>
      </c>
      <c r="B2799" t="s">
        <v>1</v>
      </c>
      <c r="C2799" t="s">
        <v>13225</v>
      </c>
      <c r="E2799" t="s">
        <v>13226</v>
      </c>
      <c r="F2799" t="s">
        <v>5</v>
      </c>
      <c r="G2799" t="s">
        <v>6</v>
      </c>
      <c r="L2799" t="s">
        <v>7</v>
      </c>
      <c r="M2799">
        <v>2017</v>
      </c>
      <c r="N2799" s="1">
        <v>42800</v>
      </c>
      <c r="O2799" t="s">
        <v>13227</v>
      </c>
      <c r="P2799">
        <v>1</v>
      </c>
      <c r="Q2799" t="s">
        <v>7622</v>
      </c>
      <c r="S2799">
        <v>253.95</v>
      </c>
      <c r="T2799">
        <v>290</v>
      </c>
      <c r="U2799">
        <v>220</v>
      </c>
      <c r="V2799" t="s">
        <v>58</v>
      </c>
      <c r="W2799" t="s">
        <v>808</v>
      </c>
      <c r="X2799" t="s">
        <v>3096</v>
      </c>
      <c r="Y2799" t="s">
        <v>3097</v>
      </c>
      <c r="AF2799" t="s">
        <v>13</v>
      </c>
      <c r="AG2799" t="str">
        <f>HYPERLINK("https://doi.org/10.1515/9780748675760")</f>
        <v>https://doi.org/10.1515/9780748675760</v>
      </c>
      <c r="AH2799" t="str">
        <f>HYPERLINK("http://www.degruyter.com/isbn/9780748675760")</f>
        <v>http://www.degruyter.com/isbn/9780748675760</v>
      </c>
      <c r="AI2799" t="s">
        <v>222</v>
      </c>
      <c r="AL2799" t="s">
        <v>62</v>
      </c>
      <c r="AM2799">
        <v>1</v>
      </c>
      <c r="AN2799" s="2">
        <v>9780748675746</v>
      </c>
    </row>
    <row r="2800" spans="1:40" x14ac:dyDescent="0.3">
      <c r="A2800" t="s">
        <v>13228</v>
      </c>
      <c r="B2800" t="s">
        <v>1</v>
      </c>
      <c r="C2800" t="s">
        <v>13229</v>
      </c>
      <c r="E2800" t="s">
        <v>13230</v>
      </c>
      <c r="F2800" t="s">
        <v>5</v>
      </c>
      <c r="G2800" t="s">
        <v>6</v>
      </c>
      <c r="L2800" t="s">
        <v>7</v>
      </c>
      <c r="M2800">
        <v>2010</v>
      </c>
      <c r="N2800" s="1">
        <v>40325</v>
      </c>
      <c r="O2800" t="s">
        <v>13231</v>
      </c>
      <c r="P2800">
        <v>1</v>
      </c>
      <c r="Q2800" t="s">
        <v>6418</v>
      </c>
      <c r="S2800">
        <v>253.95</v>
      </c>
      <c r="T2800">
        <v>290</v>
      </c>
      <c r="U2800">
        <v>220</v>
      </c>
      <c r="V2800" t="s">
        <v>79</v>
      </c>
      <c r="W2800" t="s">
        <v>209</v>
      </c>
      <c r="X2800" t="s">
        <v>209</v>
      </c>
      <c r="Y2800" t="s">
        <v>510</v>
      </c>
      <c r="AF2800" t="s">
        <v>13</v>
      </c>
      <c r="AG2800" t="str">
        <f>HYPERLINK("https://doi.org/10.1515/9780748642403?locatt=mode:legacy")</f>
        <v>https://doi.org/10.1515/9780748642403?locatt=mode:legacy</v>
      </c>
      <c r="AH2800" t="str">
        <f>HYPERLINK("http://www.degruyter.com/isbn/9780748642403")</f>
        <v>http://www.degruyter.com/isbn/9780748642403</v>
      </c>
      <c r="AI2800" t="s">
        <v>68</v>
      </c>
      <c r="AL2800" t="s">
        <v>83</v>
      </c>
      <c r="AM2800">
        <v>1</v>
      </c>
      <c r="AN2800" s="2">
        <v>9780748638376</v>
      </c>
    </row>
    <row r="2801" spans="1:40" x14ac:dyDescent="0.3">
      <c r="A2801" t="s">
        <v>13232</v>
      </c>
      <c r="B2801" t="s">
        <v>1</v>
      </c>
      <c r="C2801" t="s">
        <v>13233</v>
      </c>
      <c r="E2801" t="s">
        <v>13234</v>
      </c>
      <c r="F2801" t="s">
        <v>5</v>
      </c>
      <c r="G2801" t="s">
        <v>6</v>
      </c>
      <c r="L2801" t="s">
        <v>7</v>
      </c>
      <c r="M2801">
        <v>2017</v>
      </c>
      <c r="N2801" s="1">
        <v>42967</v>
      </c>
      <c r="O2801" t="s">
        <v>13235</v>
      </c>
      <c r="P2801">
        <v>1</v>
      </c>
      <c r="Q2801" t="s">
        <v>6729</v>
      </c>
      <c r="S2801">
        <v>253.95</v>
      </c>
      <c r="T2801">
        <v>290</v>
      </c>
      <c r="U2801">
        <v>220</v>
      </c>
      <c r="V2801" t="s">
        <v>79</v>
      </c>
      <c r="W2801" t="s">
        <v>734</v>
      </c>
      <c r="X2801" t="s">
        <v>734</v>
      </c>
      <c r="Y2801" t="s">
        <v>735</v>
      </c>
      <c r="AF2801" t="s">
        <v>13</v>
      </c>
      <c r="AG2801" t="str">
        <f>HYPERLINK("https://doi.org/10.1515/9781474421157?locatt=mode:legacy")</f>
        <v>https://doi.org/10.1515/9781474421157?locatt=mode:legacy</v>
      </c>
      <c r="AH2801" t="str">
        <f>HYPERLINK("http://www.degruyter.com/isbn/9781474421157")</f>
        <v>http://www.degruyter.com/isbn/9781474421157</v>
      </c>
      <c r="AI2801" t="s">
        <v>222</v>
      </c>
      <c r="AL2801" t="s">
        <v>83</v>
      </c>
      <c r="AM2801">
        <v>1</v>
      </c>
      <c r="AN2801" s="2">
        <v>9781474421140</v>
      </c>
    </row>
    <row r="2802" spans="1:40" x14ac:dyDescent="0.3">
      <c r="A2802" t="s">
        <v>13236</v>
      </c>
      <c r="B2802" t="s">
        <v>1</v>
      </c>
      <c r="C2802" t="s">
        <v>13237</v>
      </c>
      <c r="D2802" t="s">
        <v>13238</v>
      </c>
      <c r="E2802" t="s">
        <v>13239</v>
      </c>
      <c r="F2802" t="s">
        <v>5</v>
      </c>
      <c r="G2802" t="s">
        <v>6</v>
      </c>
      <c r="L2802" t="s">
        <v>7</v>
      </c>
      <c r="M2802">
        <v>2006</v>
      </c>
      <c r="N2802" s="1">
        <v>44607</v>
      </c>
      <c r="O2802" t="s">
        <v>13240</v>
      </c>
      <c r="P2802">
        <v>1</v>
      </c>
      <c r="Q2802" t="s">
        <v>6939</v>
      </c>
      <c r="S2802">
        <v>217.95</v>
      </c>
      <c r="T2802">
        <v>250</v>
      </c>
      <c r="U2802">
        <v>190</v>
      </c>
      <c r="V2802" t="s">
        <v>42</v>
      </c>
      <c r="W2802" t="s">
        <v>116</v>
      </c>
      <c r="X2802" t="s">
        <v>116</v>
      </c>
      <c r="Y2802" t="s">
        <v>117</v>
      </c>
      <c r="AF2802" t="s">
        <v>13</v>
      </c>
      <c r="AG2802" t="str">
        <f>HYPERLINK("https://doi.org/10.1515/9781474470698")</f>
        <v>https://doi.org/10.1515/9781474470698</v>
      </c>
      <c r="AH2802" t="str">
        <f>HYPERLINK("http://www.degruyter.com/isbn/9781474470698")</f>
        <v>http://www.degruyter.com/isbn/9781474470698</v>
      </c>
      <c r="AI2802" t="s">
        <v>68</v>
      </c>
      <c r="AL2802" t="s">
        <v>47</v>
      </c>
      <c r="AM2802">
        <v>1</v>
      </c>
      <c r="AN2802" s="2">
        <v>9780748625581</v>
      </c>
    </row>
    <row r="2803" spans="1:40" x14ac:dyDescent="0.3">
      <c r="A2803" t="s">
        <v>13241</v>
      </c>
      <c r="B2803" t="s">
        <v>1</v>
      </c>
      <c r="C2803" t="s">
        <v>13242</v>
      </c>
      <c r="D2803" t="s">
        <v>13243</v>
      </c>
      <c r="E2803" t="s">
        <v>13244</v>
      </c>
      <c r="F2803" t="s">
        <v>5</v>
      </c>
      <c r="G2803" t="s">
        <v>6</v>
      </c>
      <c r="L2803" t="s">
        <v>7</v>
      </c>
      <c r="M2803">
        <v>2012</v>
      </c>
      <c r="N2803" s="1">
        <v>41182</v>
      </c>
      <c r="O2803" t="s">
        <v>13245</v>
      </c>
      <c r="P2803">
        <v>1</v>
      </c>
      <c r="Q2803" t="s">
        <v>8750</v>
      </c>
      <c r="S2803">
        <v>217.95</v>
      </c>
      <c r="T2803">
        <v>250</v>
      </c>
      <c r="U2803">
        <v>190</v>
      </c>
      <c r="V2803" t="s">
        <v>42</v>
      </c>
      <c r="W2803" t="s">
        <v>116</v>
      </c>
      <c r="X2803" t="s">
        <v>116</v>
      </c>
      <c r="Y2803" t="s">
        <v>117</v>
      </c>
      <c r="AF2803" t="s">
        <v>13</v>
      </c>
      <c r="AG2803" t="str">
        <f>HYPERLINK("https://doi.org/10.1515/9781474465878")</f>
        <v>https://doi.org/10.1515/9781474465878</v>
      </c>
      <c r="AH2803" t="str">
        <f>HYPERLINK("http://www.degruyter.com/isbn/9781474465878")</f>
        <v>http://www.degruyter.com/isbn/9781474465878</v>
      </c>
      <c r="AI2803" t="s">
        <v>68</v>
      </c>
      <c r="AL2803" t="s">
        <v>47</v>
      </c>
      <c r="AM2803">
        <v>1</v>
      </c>
      <c r="AN2803" s="2">
        <v>9780748684731</v>
      </c>
    </row>
    <row r="2804" spans="1:40" x14ac:dyDescent="0.3">
      <c r="A2804" t="s">
        <v>13246</v>
      </c>
      <c r="B2804" t="s">
        <v>1</v>
      </c>
      <c r="C2804" t="s">
        <v>13247</v>
      </c>
      <c r="D2804" t="s">
        <v>3941</v>
      </c>
      <c r="E2804" t="s">
        <v>13248</v>
      </c>
      <c r="F2804" t="s">
        <v>5</v>
      </c>
      <c r="G2804" t="s">
        <v>6</v>
      </c>
      <c r="L2804" t="s">
        <v>7</v>
      </c>
      <c r="M2804">
        <v>2007</v>
      </c>
      <c r="N2804" s="1">
        <v>39227</v>
      </c>
      <c r="O2804" t="s">
        <v>9027</v>
      </c>
      <c r="P2804">
        <v>1</v>
      </c>
      <c r="Q2804" t="s">
        <v>6659</v>
      </c>
      <c r="S2804">
        <v>243.95</v>
      </c>
      <c r="T2804">
        <v>280</v>
      </c>
      <c r="U2804">
        <v>210</v>
      </c>
      <c r="V2804" t="s">
        <v>268</v>
      </c>
      <c r="W2804" t="s">
        <v>269</v>
      </c>
      <c r="X2804" t="s">
        <v>269</v>
      </c>
      <c r="Y2804" t="s">
        <v>5838</v>
      </c>
      <c r="AF2804" t="s">
        <v>13</v>
      </c>
      <c r="AG2804" t="str">
        <f>HYPERLINK("https://doi.org/10.1515/9780748631773?locatt=mode:legacy")</f>
        <v>https://doi.org/10.1515/9780748631773?locatt=mode:legacy</v>
      </c>
      <c r="AH2804" t="str">
        <f>HYPERLINK("http://www.degruyter.com/isbn/9780748631773")</f>
        <v>http://www.degruyter.com/isbn/9780748631773</v>
      </c>
      <c r="AI2804" t="s">
        <v>444</v>
      </c>
      <c r="AL2804" t="s">
        <v>272</v>
      </c>
      <c r="AM2804">
        <v>1</v>
      </c>
      <c r="AN2804" s="2">
        <v>9780748627936</v>
      </c>
    </row>
    <row r="2805" spans="1:40" x14ac:dyDescent="0.3">
      <c r="A2805" t="s">
        <v>13249</v>
      </c>
      <c r="B2805" t="s">
        <v>1</v>
      </c>
      <c r="C2805" t="s">
        <v>12414</v>
      </c>
      <c r="D2805" t="s">
        <v>13250</v>
      </c>
      <c r="E2805" t="s">
        <v>12416</v>
      </c>
      <c r="F2805" t="s">
        <v>5</v>
      </c>
      <c r="G2805" t="s">
        <v>6</v>
      </c>
      <c r="L2805" t="s">
        <v>7</v>
      </c>
      <c r="M2805">
        <v>2006</v>
      </c>
      <c r="N2805" s="1">
        <v>39034</v>
      </c>
      <c r="O2805" t="s">
        <v>1981</v>
      </c>
      <c r="P2805">
        <v>1</v>
      </c>
      <c r="Q2805" t="s">
        <v>12417</v>
      </c>
      <c r="R2805" s="3" t="s">
        <v>13251</v>
      </c>
      <c r="S2805">
        <v>380.95</v>
      </c>
      <c r="T2805">
        <v>430</v>
      </c>
      <c r="U2805">
        <v>330</v>
      </c>
      <c r="V2805" t="s">
        <v>42</v>
      </c>
      <c r="W2805" t="s">
        <v>116</v>
      </c>
      <c r="X2805" t="s">
        <v>116</v>
      </c>
      <c r="Y2805" t="s">
        <v>3967</v>
      </c>
      <c r="AF2805" t="s">
        <v>13</v>
      </c>
      <c r="AG2805" t="str">
        <f>HYPERLINK("https://www.degruyter.com/isbn/9780748630653")</f>
        <v>https://www.degruyter.com/isbn/9780748630653</v>
      </c>
      <c r="AH2805" t="str">
        <f>HYPERLINK("http://www.degruyter.com/isbn/9780748630653")</f>
        <v>http://www.degruyter.com/isbn/9780748630653</v>
      </c>
      <c r="AI2805" t="s">
        <v>12419</v>
      </c>
      <c r="AL2805" t="s">
        <v>47</v>
      </c>
      <c r="AM2805">
        <v>1</v>
      </c>
      <c r="AN2805" s="2">
        <v>9780748624829</v>
      </c>
    </row>
    <row r="2806" spans="1:40" x14ac:dyDescent="0.3">
      <c r="A2806" t="s">
        <v>13252</v>
      </c>
      <c r="B2806" t="s">
        <v>1</v>
      </c>
      <c r="C2806" t="s">
        <v>13253</v>
      </c>
      <c r="E2806" t="s">
        <v>13254</v>
      </c>
      <c r="F2806" t="s">
        <v>5</v>
      </c>
      <c r="G2806" t="s">
        <v>6</v>
      </c>
      <c r="L2806" t="s">
        <v>7</v>
      </c>
      <c r="M2806">
        <v>2008</v>
      </c>
      <c r="N2806" s="1">
        <v>39790</v>
      </c>
      <c r="O2806" t="s">
        <v>13255</v>
      </c>
      <c r="P2806">
        <v>1</v>
      </c>
      <c r="Q2806" t="s">
        <v>8048</v>
      </c>
      <c r="S2806">
        <v>217.95</v>
      </c>
      <c r="T2806">
        <v>250</v>
      </c>
      <c r="U2806">
        <v>190</v>
      </c>
      <c r="V2806" t="s">
        <v>58</v>
      </c>
      <c r="W2806" t="s">
        <v>59</v>
      </c>
      <c r="X2806" t="s">
        <v>60</v>
      </c>
      <c r="Y2806" t="s">
        <v>13256</v>
      </c>
      <c r="AF2806" t="s">
        <v>13</v>
      </c>
      <c r="AG2806" t="str">
        <f>HYPERLINK("https://doi.org/10.1515/9780748630493")</f>
        <v>https://doi.org/10.1515/9780748630493</v>
      </c>
      <c r="AH2806" t="str">
        <f>HYPERLINK("http://www.degruyter.com/isbn/9780748630493")</f>
        <v>http://www.degruyter.com/isbn/9780748630493</v>
      </c>
      <c r="AI2806" t="s">
        <v>68</v>
      </c>
      <c r="AL2806" t="s">
        <v>62</v>
      </c>
      <c r="AM2806">
        <v>1</v>
      </c>
      <c r="AN2806" s="2">
        <v>9780748624478</v>
      </c>
    </row>
    <row r="2807" spans="1:40" x14ac:dyDescent="0.3">
      <c r="A2807" t="s">
        <v>13257</v>
      </c>
      <c r="B2807" t="s">
        <v>1</v>
      </c>
      <c r="C2807" t="s">
        <v>13258</v>
      </c>
      <c r="D2807" t="s">
        <v>13259</v>
      </c>
      <c r="E2807" t="s">
        <v>13260</v>
      </c>
      <c r="F2807" t="s">
        <v>5</v>
      </c>
      <c r="G2807" t="s">
        <v>6</v>
      </c>
      <c r="L2807" t="s">
        <v>7</v>
      </c>
      <c r="M2807">
        <v>2013</v>
      </c>
      <c r="N2807" s="1">
        <v>41450</v>
      </c>
      <c r="O2807" t="s">
        <v>13261</v>
      </c>
      <c r="P2807">
        <v>1</v>
      </c>
      <c r="Q2807" t="s">
        <v>10034</v>
      </c>
      <c r="S2807">
        <v>217.95</v>
      </c>
      <c r="T2807">
        <v>250</v>
      </c>
      <c r="U2807">
        <v>190</v>
      </c>
      <c r="V2807" t="s">
        <v>58</v>
      </c>
      <c r="W2807" t="s">
        <v>59</v>
      </c>
      <c r="X2807" t="s">
        <v>60</v>
      </c>
      <c r="Y2807" t="s">
        <v>73</v>
      </c>
      <c r="AF2807" t="s">
        <v>13</v>
      </c>
      <c r="AG2807" t="str">
        <f>HYPERLINK("https://doi.org/10.1515/9780748684793")</f>
        <v>https://doi.org/10.1515/9780748684793</v>
      </c>
      <c r="AH2807" t="str">
        <f>HYPERLINK("http://www.degruyter.com/isbn/9780748684793")</f>
        <v>http://www.degruyter.com/isbn/9780748684793</v>
      </c>
      <c r="AI2807" t="s">
        <v>68</v>
      </c>
      <c r="AL2807" t="s">
        <v>62</v>
      </c>
      <c r="AM2807">
        <v>1</v>
      </c>
      <c r="AN2807" s="2">
        <v>9780748684786</v>
      </c>
    </row>
    <row r="2808" spans="1:40" x14ac:dyDescent="0.3">
      <c r="A2808" t="s">
        <v>13262</v>
      </c>
      <c r="B2808" t="s">
        <v>1</v>
      </c>
      <c r="C2808" t="s">
        <v>13263</v>
      </c>
      <c r="D2808" t="s">
        <v>13264</v>
      </c>
      <c r="E2808" t="s">
        <v>13265</v>
      </c>
      <c r="F2808" t="s">
        <v>5</v>
      </c>
      <c r="G2808" t="s">
        <v>6</v>
      </c>
      <c r="L2808" t="s">
        <v>7</v>
      </c>
      <c r="M2808">
        <v>2013</v>
      </c>
      <c r="N2808" s="1">
        <v>41432</v>
      </c>
      <c r="O2808" t="s">
        <v>12646</v>
      </c>
      <c r="P2808">
        <v>1</v>
      </c>
      <c r="Q2808" t="s">
        <v>7174</v>
      </c>
      <c r="S2808">
        <v>217.95</v>
      </c>
      <c r="T2808">
        <v>250</v>
      </c>
      <c r="U2808">
        <v>190</v>
      </c>
      <c r="V2808" t="s">
        <v>42</v>
      </c>
      <c r="W2808" t="s">
        <v>116</v>
      </c>
      <c r="X2808" t="s">
        <v>116</v>
      </c>
      <c r="Y2808" t="s">
        <v>117</v>
      </c>
      <c r="AF2808" t="s">
        <v>13</v>
      </c>
      <c r="AG2808" t="str">
        <f>HYPERLINK("https://doi.org/10.1515/9780748681273?locatt=mode:legacy")</f>
        <v>https://doi.org/10.1515/9780748681273?locatt=mode:legacy</v>
      </c>
      <c r="AH2808" t="str">
        <f>HYPERLINK("http://www.degruyter.com/isbn/9780748681273")</f>
        <v>http://www.degruyter.com/isbn/9780748681273</v>
      </c>
      <c r="AI2808" t="s">
        <v>68</v>
      </c>
      <c r="AL2808" t="s">
        <v>47</v>
      </c>
      <c r="AM2808">
        <v>1</v>
      </c>
      <c r="AN2808" s="2">
        <v>9780748681266</v>
      </c>
    </row>
    <row r="2809" spans="1:40" x14ac:dyDescent="0.3">
      <c r="A2809" t="s">
        <v>13266</v>
      </c>
      <c r="B2809" t="s">
        <v>1</v>
      </c>
      <c r="C2809" t="s">
        <v>13267</v>
      </c>
      <c r="D2809" t="s">
        <v>13268</v>
      </c>
      <c r="E2809" t="s">
        <v>13269</v>
      </c>
      <c r="F2809" t="s">
        <v>5</v>
      </c>
      <c r="G2809" t="s">
        <v>6</v>
      </c>
      <c r="L2809" t="s">
        <v>7</v>
      </c>
      <c r="M2809">
        <v>2015</v>
      </c>
      <c r="N2809" s="1">
        <v>42193</v>
      </c>
      <c r="O2809" t="s">
        <v>13270</v>
      </c>
      <c r="P2809">
        <v>1</v>
      </c>
      <c r="Q2809" t="s">
        <v>6912</v>
      </c>
      <c r="S2809">
        <v>253.95</v>
      </c>
      <c r="T2809">
        <v>290</v>
      </c>
      <c r="U2809">
        <v>220</v>
      </c>
      <c r="V2809" t="s">
        <v>98</v>
      </c>
      <c r="W2809" t="s">
        <v>99</v>
      </c>
      <c r="X2809" t="s">
        <v>386</v>
      </c>
      <c r="Y2809" t="s">
        <v>387</v>
      </c>
      <c r="AF2809" t="s">
        <v>13</v>
      </c>
      <c r="AG2809" t="str">
        <f>HYPERLINK("https://doi.org/10.1515/9780748691647")</f>
        <v>https://doi.org/10.1515/9780748691647</v>
      </c>
      <c r="AH2809" t="str">
        <f>HYPERLINK("http://www.degruyter.com/isbn/9780748691647")</f>
        <v>http://www.degruyter.com/isbn/9780748691647</v>
      </c>
      <c r="AI2809" t="s">
        <v>34</v>
      </c>
      <c r="AL2809" t="s">
        <v>102</v>
      </c>
      <c r="AM2809">
        <v>1</v>
      </c>
      <c r="AN2809" s="2">
        <v>9780748691623</v>
      </c>
    </row>
    <row r="2810" spans="1:40" x14ac:dyDescent="0.3">
      <c r="A2810" t="s">
        <v>13271</v>
      </c>
      <c r="B2810" t="s">
        <v>1</v>
      </c>
      <c r="C2810" t="s">
        <v>13272</v>
      </c>
      <c r="E2810" t="s">
        <v>13273</v>
      </c>
      <c r="F2810" t="s">
        <v>5</v>
      </c>
      <c r="G2810" t="s">
        <v>6</v>
      </c>
      <c r="L2810" t="s">
        <v>7</v>
      </c>
      <c r="M2810">
        <v>2018</v>
      </c>
      <c r="N2810" s="1">
        <v>44644</v>
      </c>
      <c r="O2810" t="s">
        <v>13274</v>
      </c>
      <c r="P2810">
        <v>1</v>
      </c>
      <c r="Q2810" t="s">
        <v>7174</v>
      </c>
      <c r="S2810">
        <v>227.95</v>
      </c>
      <c r="T2810">
        <v>260</v>
      </c>
      <c r="U2810">
        <v>200</v>
      </c>
      <c r="V2810" t="s">
        <v>42</v>
      </c>
      <c r="W2810" t="s">
        <v>1379</v>
      </c>
      <c r="X2810" t="s">
        <v>1380</v>
      </c>
      <c r="Y2810" t="s">
        <v>1381</v>
      </c>
      <c r="AF2810" t="s">
        <v>13</v>
      </c>
      <c r="AG2810" t="str">
        <f>HYPERLINK("https://doi.org/10.1515/9781474425131")</f>
        <v>https://doi.org/10.1515/9781474425131</v>
      </c>
      <c r="AH2810" t="str">
        <f>HYPERLINK("http://www.degruyter.com/isbn/9781474425131")</f>
        <v>http://www.degruyter.com/isbn/9781474425131</v>
      </c>
      <c r="AI2810" t="s">
        <v>46</v>
      </c>
      <c r="AL2810" t="s">
        <v>47</v>
      </c>
      <c r="AM2810">
        <v>1</v>
      </c>
      <c r="AN2810" s="2">
        <v>9781474425117</v>
      </c>
    </row>
    <row r="2811" spans="1:40" x14ac:dyDescent="0.3">
      <c r="A2811" t="s">
        <v>13275</v>
      </c>
      <c r="B2811" t="s">
        <v>1</v>
      </c>
      <c r="C2811" t="s">
        <v>13276</v>
      </c>
      <c r="E2811" t="s">
        <v>13277</v>
      </c>
      <c r="F2811" t="s">
        <v>5</v>
      </c>
      <c r="G2811" t="s">
        <v>6</v>
      </c>
      <c r="L2811" t="s">
        <v>7</v>
      </c>
      <c r="M2811">
        <v>2009</v>
      </c>
      <c r="N2811" s="1">
        <v>39843</v>
      </c>
      <c r="O2811" t="s">
        <v>13278</v>
      </c>
      <c r="P2811">
        <v>1</v>
      </c>
      <c r="Q2811" t="s">
        <v>6418</v>
      </c>
      <c r="S2811">
        <v>253.95</v>
      </c>
      <c r="T2811">
        <v>290</v>
      </c>
      <c r="U2811">
        <v>220</v>
      </c>
      <c r="V2811" t="s">
        <v>79</v>
      </c>
      <c r="W2811" t="s">
        <v>209</v>
      </c>
      <c r="X2811" t="s">
        <v>209</v>
      </c>
      <c r="Y2811" t="s">
        <v>510</v>
      </c>
      <c r="AF2811" t="s">
        <v>13</v>
      </c>
      <c r="AG2811" t="str">
        <f>HYPERLINK("https://doi.org/10.1515/9780748634064?locatt=mode:legacy")</f>
        <v>https://doi.org/10.1515/9780748634064?locatt=mode:legacy</v>
      </c>
      <c r="AH2811" t="str">
        <f>HYPERLINK("http://www.degruyter.com/isbn/9780748634064")</f>
        <v>http://www.degruyter.com/isbn/9780748634064</v>
      </c>
      <c r="AI2811" t="s">
        <v>68</v>
      </c>
      <c r="AJ2811" t="s">
        <v>35</v>
      </c>
      <c r="AL2811" t="s">
        <v>718</v>
      </c>
      <c r="AM2811">
        <v>1</v>
      </c>
      <c r="AN2811" s="2">
        <v>9780748634040</v>
      </c>
    </row>
    <row r="2812" spans="1:40" x14ac:dyDescent="0.3">
      <c r="A2812" t="s">
        <v>13279</v>
      </c>
      <c r="B2812" t="s">
        <v>1</v>
      </c>
      <c r="C2812" t="s">
        <v>13280</v>
      </c>
      <c r="D2812" t="s">
        <v>13281</v>
      </c>
      <c r="E2812" t="s">
        <v>13282</v>
      </c>
      <c r="F2812" t="s">
        <v>5</v>
      </c>
      <c r="G2812" t="s">
        <v>6</v>
      </c>
      <c r="L2812" t="s">
        <v>7</v>
      </c>
      <c r="M2812">
        <v>2019</v>
      </c>
      <c r="N2812" s="1">
        <v>44656</v>
      </c>
      <c r="O2812" t="s">
        <v>13283</v>
      </c>
      <c r="P2812">
        <v>1</v>
      </c>
      <c r="Q2812" t="s">
        <v>6858</v>
      </c>
      <c r="S2812">
        <v>217.95</v>
      </c>
      <c r="T2812">
        <v>250</v>
      </c>
      <c r="U2812">
        <v>190</v>
      </c>
      <c r="V2812" t="s">
        <v>58</v>
      </c>
      <c r="W2812" t="s">
        <v>59</v>
      </c>
      <c r="X2812" t="s">
        <v>278</v>
      </c>
      <c r="Y2812" t="s">
        <v>279</v>
      </c>
      <c r="AF2812" t="s">
        <v>13</v>
      </c>
      <c r="AG2812" t="str">
        <f>HYPERLINK("https://doi.org/10.1515/9781474443050?locatt=mode:legacy")</f>
        <v>https://doi.org/10.1515/9781474443050?locatt=mode:legacy</v>
      </c>
      <c r="AH2812" t="str">
        <f>HYPERLINK("http://www.degruyter.com/isbn/9781474443050")</f>
        <v>http://www.degruyter.com/isbn/9781474443050</v>
      </c>
      <c r="AI2812" t="s">
        <v>280</v>
      </c>
      <c r="AL2812" t="s">
        <v>62</v>
      </c>
      <c r="AM2812">
        <v>1</v>
      </c>
      <c r="AN2812" s="2">
        <v>9781474443036</v>
      </c>
    </row>
    <row r="2813" spans="1:40" x14ac:dyDescent="0.3">
      <c r="A2813" t="s">
        <v>13284</v>
      </c>
      <c r="B2813" t="s">
        <v>1</v>
      </c>
      <c r="C2813" t="s">
        <v>13285</v>
      </c>
      <c r="D2813" t="s">
        <v>13286</v>
      </c>
      <c r="E2813" t="s">
        <v>13287</v>
      </c>
      <c r="F2813" t="s">
        <v>5</v>
      </c>
      <c r="G2813" t="s">
        <v>6</v>
      </c>
      <c r="L2813" t="s">
        <v>7</v>
      </c>
      <c r="M2813">
        <v>2012</v>
      </c>
      <c r="N2813" s="1">
        <v>41227</v>
      </c>
      <c r="O2813" t="s">
        <v>2144</v>
      </c>
      <c r="P2813">
        <v>1</v>
      </c>
      <c r="Q2813" t="s">
        <v>8096</v>
      </c>
      <c r="S2813">
        <v>217.95</v>
      </c>
      <c r="T2813">
        <v>250</v>
      </c>
      <c r="U2813">
        <v>190</v>
      </c>
      <c r="V2813" t="s">
        <v>42</v>
      </c>
      <c r="W2813" t="s">
        <v>116</v>
      </c>
      <c r="X2813" t="s">
        <v>116</v>
      </c>
      <c r="Y2813" t="s">
        <v>117</v>
      </c>
      <c r="AF2813" t="s">
        <v>13</v>
      </c>
      <c r="AG2813" t="str">
        <f>HYPERLINK("https://doi.org/10.1515/9780748631650?locatt=mode:legacy")</f>
        <v>https://doi.org/10.1515/9780748631650?locatt=mode:legacy</v>
      </c>
      <c r="AH2813" t="str">
        <f>HYPERLINK("http://www.degruyter.com/isbn/9780748631650")</f>
        <v>http://www.degruyter.com/isbn/9780748631650</v>
      </c>
      <c r="AI2813" t="s">
        <v>68</v>
      </c>
      <c r="AL2813" t="s">
        <v>47</v>
      </c>
      <c r="AM2813">
        <v>1</v>
      </c>
      <c r="AN2813" s="2">
        <v>9780748627691</v>
      </c>
    </row>
    <row r="2814" spans="1:40" x14ac:dyDescent="0.3">
      <c r="A2814" t="s">
        <v>13288</v>
      </c>
      <c r="B2814" t="s">
        <v>1</v>
      </c>
      <c r="C2814" t="s">
        <v>13289</v>
      </c>
      <c r="E2814" t="s">
        <v>13290</v>
      </c>
      <c r="F2814" t="s">
        <v>5</v>
      </c>
      <c r="G2814" t="s">
        <v>6</v>
      </c>
      <c r="L2814" t="s">
        <v>7</v>
      </c>
      <c r="M2814">
        <v>2000</v>
      </c>
      <c r="N2814" s="1">
        <v>44607</v>
      </c>
      <c r="O2814" t="s">
        <v>13291</v>
      </c>
      <c r="P2814">
        <v>1</v>
      </c>
      <c r="Q2814" t="s">
        <v>7187</v>
      </c>
      <c r="S2814">
        <v>217.95</v>
      </c>
      <c r="T2814">
        <v>250</v>
      </c>
      <c r="U2814">
        <v>190</v>
      </c>
      <c r="V2814" t="s">
        <v>98</v>
      </c>
      <c r="W2814" t="s">
        <v>256</v>
      </c>
      <c r="X2814" t="s">
        <v>4297</v>
      </c>
      <c r="Y2814" t="s">
        <v>4298</v>
      </c>
      <c r="AF2814" t="s">
        <v>13</v>
      </c>
      <c r="AG2814" t="str">
        <f>HYPERLINK("https://doi.org/10.1515/9781474471534")</f>
        <v>https://doi.org/10.1515/9781474471534</v>
      </c>
      <c r="AH2814" t="str">
        <f>HYPERLINK("http://www.degruyter.com/isbn/9781474471534")</f>
        <v>http://www.degruyter.com/isbn/9781474471534</v>
      </c>
      <c r="AI2814" t="s">
        <v>68</v>
      </c>
      <c r="AL2814" t="s">
        <v>102</v>
      </c>
      <c r="AM2814">
        <v>1</v>
      </c>
      <c r="AN2814" s="2">
        <v>9780748612598</v>
      </c>
    </row>
    <row r="2815" spans="1:40" x14ac:dyDescent="0.3">
      <c r="A2815" t="s">
        <v>13292</v>
      </c>
      <c r="B2815" t="s">
        <v>1</v>
      </c>
      <c r="C2815" t="s">
        <v>13293</v>
      </c>
      <c r="E2815" t="s">
        <v>13294</v>
      </c>
      <c r="F2815" t="s">
        <v>5</v>
      </c>
      <c r="G2815" t="s">
        <v>6</v>
      </c>
      <c r="L2815" t="s">
        <v>7</v>
      </c>
      <c r="M2815">
        <v>2006</v>
      </c>
      <c r="N2815" s="1">
        <v>38810</v>
      </c>
      <c r="O2815" t="s">
        <v>13295</v>
      </c>
      <c r="P2815">
        <v>1</v>
      </c>
      <c r="Q2815" t="s">
        <v>6437</v>
      </c>
      <c r="S2815">
        <v>217.95</v>
      </c>
      <c r="T2815">
        <v>250</v>
      </c>
      <c r="U2815">
        <v>190</v>
      </c>
      <c r="V2815" t="s">
        <v>58</v>
      </c>
      <c r="W2815" t="s">
        <v>59</v>
      </c>
      <c r="X2815" t="s">
        <v>60</v>
      </c>
      <c r="Y2815" t="s">
        <v>73</v>
      </c>
      <c r="AF2815" t="s">
        <v>13</v>
      </c>
      <c r="AG2815" t="str">
        <f>HYPERLINK("https://doi.org/10.1515/9780748626694")</f>
        <v>https://doi.org/10.1515/9780748626694</v>
      </c>
      <c r="AH2815" t="str">
        <f>HYPERLINK("http://www.degruyter.com/isbn/9780748626694")</f>
        <v>http://www.degruyter.com/isbn/9780748626694</v>
      </c>
      <c r="AI2815" t="s">
        <v>68</v>
      </c>
      <c r="AL2815" t="s">
        <v>62</v>
      </c>
      <c r="AM2815">
        <v>1</v>
      </c>
      <c r="AN2815" s="2">
        <v>9780748623129</v>
      </c>
    </row>
    <row r="2816" spans="1:40" x14ac:dyDescent="0.3">
      <c r="A2816" t="s">
        <v>13296</v>
      </c>
      <c r="B2816" t="s">
        <v>1</v>
      </c>
      <c r="C2816" t="s">
        <v>13297</v>
      </c>
      <c r="E2816" t="s">
        <v>13298</v>
      </c>
      <c r="F2816" t="s">
        <v>5</v>
      </c>
      <c r="G2816" t="s">
        <v>6</v>
      </c>
      <c r="L2816" t="s">
        <v>7</v>
      </c>
      <c r="M2816">
        <v>2013</v>
      </c>
      <c r="N2816" s="1">
        <v>41506</v>
      </c>
      <c r="O2816" t="s">
        <v>13299</v>
      </c>
      <c r="P2816">
        <v>1</v>
      </c>
      <c r="Q2816" t="s">
        <v>6539</v>
      </c>
      <c r="S2816">
        <v>217.95</v>
      </c>
      <c r="T2816">
        <v>250</v>
      </c>
      <c r="U2816">
        <v>190</v>
      </c>
      <c r="V2816" t="s">
        <v>268</v>
      </c>
      <c r="W2816" t="s">
        <v>269</v>
      </c>
      <c r="X2816" t="s">
        <v>269</v>
      </c>
      <c r="Y2816" t="s">
        <v>1798</v>
      </c>
      <c r="AF2816" t="s">
        <v>13</v>
      </c>
      <c r="AG2816" t="str">
        <f>HYPERLINK("https://doi.org/10.1515/9780748673254?locatt=mode:legacy")</f>
        <v>https://doi.org/10.1515/9780748673254?locatt=mode:legacy</v>
      </c>
      <c r="AH2816" t="str">
        <f>HYPERLINK("http://www.degruyter.com/isbn/9780748673254")</f>
        <v>http://www.degruyter.com/isbn/9780748673254</v>
      </c>
      <c r="AI2816" t="s">
        <v>444</v>
      </c>
      <c r="AL2816" t="s">
        <v>272</v>
      </c>
      <c r="AM2816">
        <v>1</v>
      </c>
      <c r="AN2816" s="2">
        <v>9780748673247</v>
      </c>
    </row>
    <row r="2817" spans="1:40" x14ac:dyDescent="0.3">
      <c r="A2817" t="s">
        <v>13300</v>
      </c>
      <c r="B2817" t="s">
        <v>1</v>
      </c>
      <c r="C2817" t="s">
        <v>13301</v>
      </c>
      <c r="E2817" t="s">
        <v>13302</v>
      </c>
      <c r="F2817" t="s">
        <v>5</v>
      </c>
      <c r="G2817" t="s">
        <v>6</v>
      </c>
      <c r="L2817" t="s">
        <v>7</v>
      </c>
      <c r="M2817">
        <v>2020</v>
      </c>
      <c r="N2817" s="1">
        <v>44644</v>
      </c>
      <c r="O2817" t="s">
        <v>13303</v>
      </c>
      <c r="P2817">
        <v>1</v>
      </c>
      <c r="Q2817" t="s">
        <v>13304</v>
      </c>
      <c r="S2817">
        <v>417.95</v>
      </c>
      <c r="T2817">
        <v>480</v>
      </c>
      <c r="U2817">
        <v>370</v>
      </c>
      <c r="V2817" t="s">
        <v>79</v>
      </c>
      <c r="W2817" t="s">
        <v>227</v>
      </c>
      <c r="X2817" t="s">
        <v>2599</v>
      </c>
      <c r="Y2817" t="s">
        <v>2600</v>
      </c>
      <c r="AF2817" t="s">
        <v>13</v>
      </c>
      <c r="AG2817" t="str">
        <f>HYPERLINK("https://doi.org/10.1515/9781474450829")</f>
        <v>https://doi.org/10.1515/9781474450829</v>
      </c>
      <c r="AH2817" t="str">
        <f>HYPERLINK("http://www.degruyter.com/isbn/9781474450829")</f>
        <v>http://www.degruyter.com/isbn/9781474450829</v>
      </c>
      <c r="AI2817" t="s">
        <v>14</v>
      </c>
      <c r="AL2817" t="s">
        <v>83</v>
      </c>
      <c r="AM2817">
        <v>1</v>
      </c>
      <c r="AN2817" s="2">
        <v>9781474450805</v>
      </c>
    </row>
    <row r="2818" spans="1:40" x14ac:dyDescent="0.3">
      <c r="A2818" t="s">
        <v>13305</v>
      </c>
      <c r="B2818" t="s">
        <v>1</v>
      </c>
      <c r="C2818" t="s">
        <v>13306</v>
      </c>
      <c r="E2818" t="s">
        <v>13307</v>
      </c>
      <c r="F2818" t="s">
        <v>5</v>
      </c>
      <c r="G2818" t="s">
        <v>6</v>
      </c>
      <c r="L2818" t="s">
        <v>7</v>
      </c>
      <c r="M2818">
        <v>2017</v>
      </c>
      <c r="N2818" s="1">
        <v>42898</v>
      </c>
      <c r="O2818" t="s">
        <v>13308</v>
      </c>
      <c r="P2818">
        <v>1</v>
      </c>
      <c r="Q2818" t="s">
        <v>13309</v>
      </c>
      <c r="S2818">
        <v>417.95</v>
      </c>
      <c r="T2818">
        <v>480</v>
      </c>
      <c r="U2818">
        <v>370</v>
      </c>
      <c r="V2818" t="s">
        <v>20</v>
      </c>
      <c r="W2818" t="s">
        <v>21</v>
      </c>
      <c r="X2818" t="s">
        <v>22</v>
      </c>
      <c r="Y2818" t="s">
        <v>23</v>
      </c>
      <c r="AF2818" t="s">
        <v>13</v>
      </c>
      <c r="AG2818" t="str">
        <f>HYPERLINK("https://doi.org/10.1515/9781474401647")</f>
        <v>https://doi.org/10.1515/9781474401647</v>
      </c>
      <c r="AH2818" t="str">
        <f>HYPERLINK("http://www.degruyter.com/isbn/9781474401647")</f>
        <v>http://www.degruyter.com/isbn/9781474401647</v>
      </c>
      <c r="AI2818" t="s">
        <v>222</v>
      </c>
      <c r="AL2818" t="s">
        <v>15</v>
      </c>
      <c r="AM2818">
        <v>1</v>
      </c>
      <c r="AN2818" s="2">
        <v>9781474401630</v>
      </c>
    </row>
    <row r="2819" spans="1:40" x14ac:dyDescent="0.3">
      <c r="A2819" t="s">
        <v>13310</v>
      </c>
      <c r="B2819" t="s">
        <v>1</v>
      </c>
      <c r="C2819" t="s">
        <v>13311</v>
      </c>
      <c r="D2819" t="s">
        <v>13312</v>
      </c>
      <c r="E2819" t="s">
        <v>13313</v>
      </c>
      <c r="F2819" t="s">
        <v>5</v>
      </c>
      <c r="G2819" t="s">
        <v>6</v>
      </c>
      <c r="L2819" t="s">
        <v>7</v>
      </c>
      <c r="M2819">
        <v>2007</v>
      </c>
      <c r="N2819" s="1">
        <v>39407</v>
      </c>
      <c r="O2819" t="s">
        <v>13314</v>
      </c>
      <c r="P2819">
        <v>1</v>
      </c>
      <c r="Q2819" t="s">
        <v>7973</v>
      </c>
      <c r="S2819">
        <v>331.95</v>
      </c>
      <c r="T2819">
        <v>380</v>
      </c>
      <c r="U2819">
        <v>290</v>
      </c>
      <c r="V2819" t="s">
        <v>79</v>
      </c>
      <c r="W2819" t="s">
        <v>227</v>
      </c>
      <c r="X2819" t="s">
        <v>228</v>
      </c>
      <c r="Y2819" t="s">
        <v>229</v>
      </c>
      <c r="AF2819" t="s">
        <v>13</v>
      </c>
      <c r="AG2819" t="str">
        <f>HYPERLINK("https://doi.org/10.1515/9780748631889?locatt=mode:legacy")</f>
        <v>https://doi.org/10.1515/9780748631889?locatt=mode:legacy</v>
      </c>
      <c r="AH2819" t="str">
        <f>HYPERLINK("http://www.degruyter.com/isbn/9780748631889")</f>
        <v>http://www.degruyter.com/isbn/9780748631889</v>
      </c>
      <c r="AI2819" t="s">
        <v>68</v>
      </c>
      <c r="AL2819" t="s">
        <v>83</v>
      </c>
      <c r="AM2819">
        <v>1</v>
      </c>
      <c r="AN2819" s="2">
        <v>9780748628117</v>
      </c>
    </row>
    <row r="2820" spans="1:40" x14ac:dyDescent="0.3">
      <c r="A2820" t="s">
        <v>13315</v>
      </c>
      <c r="B2820" t="s">
        <v>1</v>
      </c>
      <c r="C2820" t="s">
        <v>13316</v>
      </c>
      <c r="E2820" t="s">
        <v>13317</v>
      </c>
      <c r="F2820" t="s">
        <v>5</v>
      </c>
      <c r="G2820" t="s">
        <v>6</v>
      </c>
      <c r="L2820" t="s">
        <v>7</v>
      </c>
      <c r="M2820">
        <v>2016</v>
      </c>
      <c r="N2820" s="1">
        <v>42542</v>
      </c>
      <c r="O2820" t="s">
        <v>13318</v>
      </c>
      <c r="P2820">
        <v>1</v>
      </c>
      <c r="Q2820" t="s">
        <v>13309</v>
      </c>
      <c r="S2820">
        <v>331.95</v>
      </c>
      <c r="T2820">
        <v>380</v>
      </c>
      <c r="U2820">
        <v>290</v>
      </c>
      <c r="V2820" t="s">
        <v>305</v>
      </c>
      <c r="W2820" t="s">
        <v>650</v>
      </c>
      <c r="X2820" t="s">
        <v>650</v>
      </c>
      <c r="Y2820" t="s">
        <v>651</v>
      </c>
      <c r="AF2820" t="s">
        <v>13</v>
      </c>
      <c r="AG2820" t="str">
        <f>HYPERLINK("https://doi.org/10.1515/9781474405294")</f>
        <v>https://doi.org/10.1515/9781474405294</v>
      </c>
      <c r="AH2820" t="str">
        <f>HYPERLINK("http://www.degruyter.com/isbn/9781474405294")</f>
        <v>http://www.degruyter.com/isbn/9781474405294</v>
      </c>
      <c r="AI2820" t="s">
        <v>180</v>
      </c>
      <c r="AL2820" t="s">
        <v>308</v>
      </c>
      <c r="AM2820">
        <v>1</v>
      </c>
      <c r="AN2820" s="2">
        <v>9781474405287</v>
      </c>
    </row>
    <row r="2821" spans="1:40" x14ac:dyDescent="0.3">
      <c r="A2821" t="s">
        <v>13319</v>
      </c>
      <c r="B2821" t="s">
        <v>1</v>
      </c>
      <c r="C2821" t="s">
        <v>13320</v>
      </c>
      <c r="D2821" t="s">
        <v>13321</v>
      </c>
      <c r="E2821" t="s">
        <v>13322</v>
      </c>
      <c r="F2821" t="s">
        <v>5</v>
      </c>
      <c r="G2821" t="s">
        <v>6</v>
      </c>
      <c r="K2821" t="s">
        <v>929</v>
      </c>
      <c r="L2821" t="s">
        <v>7</v>
      </c>
      <c r="M2821">
        <v>2021</v>
      </c>
      <c r="N2821" s="1">
        <v>44371</v>
      </c>
      <c r="O2821" t="s">
        <v>13323</v>
      </c>
      <c r="P2821">
        <v>1</v>
      </c>
      <c r="Q2821" t="s">
        <v>13324</v>
      </c>
      <c r="V2821" t="s">
        <v>297</v>
      </c>
      <c r="W2821" t="s">
        <v>7781</v>
      </c>
      <c r="X2821" t="s">
        <v>7781</v>
      </c>
      <c r="Y2821" t="s">
        <v>7782</v>
      </c>
      <c r="AF2821" t="s">
        <v>13</v>
      </c>
      <c r="AG2821" t="str">
        <f>HYPERLINK("https://doi.org/10.1515/9781474451666")</f>
        <v>https://doi.org/10.1515/9781474451666</v>
      </c>
      <c r="AH2821" t="str">
        <f>HYPERLINK("http://www.degruyter.com/isbn/9781474451666")</f>
        <v>http://www.degruyter.com/isbn/9781474451666</v>
      </c>
      <c r="AI2821" t="s">
        <v>82</v>
      </c>
      <c r="AM2821">
        <v>1</v>
      </c>
      <c r="AN2821" s="2"/>
    </row>
    <row r="2822" spans="1:40" x14ac:dyDescent="0.3">
      <c r="A2822" t="s">
        <v>13325</v>
      </c>
      <c r="B2822" t="s">
        <v>1</v>
      </c>
      <c r="C2822" t="s">
        <v>12414</v>
      </c>
      <c r="D2822" t="s">
        <v>13326</v>
      </c>
      <c r="E2822" t="s">
        <v>12416</v>
      </c>
      <c r="F2822" t="s">
        <v>5</v>
      </c>
      <c r="G2822" t="s">
        <v>6</v>
      </c>
      <c r="L2822" t="s">
        <v>7</v>
      </c>
      <c r="M2822">
        <v>2006</v>
      </c>
      <c r="N2822" s="1">
        <v>39034</v>
      </c>
      <c r="O2822" t="s">
        <v>1981</v>
      </c>
      <c r="P2822">
        <v>1</v>
      </c>
      <c r="Q2822" t="s">
        <v>12417</v>
      </c>
      <c r="R2822" s="3" t="s">
        <v>13327</v>
      </c>
      <c r="S2822">
        <v>380.95</v>
      </c>
      <c r="T2822">
        <v>430</v>
      </c>
      <c r="U2822">
        <v>330</v>
      </c>
      <c r="V2822" t="s">
        <v>42</v>
      </c>
      <c r="W2822" t="s">
        <v>116</v>
      </c>
      <c r="X2822" t="s">
        <v>116</v>
      </c>
      <c r="Y2822" t="s">
        <v>3967</v>
      </c>
      <c r="AF2822" t="s">
        <v>13</v>
      </c>
      <c r="AG2822" t="str">
        <f>HYPERLINK("https://www.degruyter.com/isbn/9780748628629")</f>
        <v>https://www.degruyter.com/isbn/9780748628629</v>
      </c>
      <c r="AH2822" t="str">
        <f>HYPERLINK("http://www.degruyter.com/isbn/9780748628629")</f>
        <v>http://www.degruyter.com/isbn/9780748628629</v>
      </c>
      <c r="AI2822" t="s">
        <v>12419</v>
      </c>
      <c r="AL2822" t="s">
        <v>47</v>
      </c>
      <c r="AM2822">
        <v>1</v>
      </c>
      <c r="AN2822" s="2">
        <v>9780748616152</v>
      </c>
    </row>
    <row r="2823" spans="1:40" x14ac:dyDescent="0.3">
      <c r="A2823" t="s">
        <v>13328</v>
      </c>
      <c r="B2823" t="s">
        <v>1</v>
      </c>
      <c r="C2823" t="s">
        <v>13329</v>
      </c>
      <c r="E2823" t="s">
        <v>13330</v>
      </c>
      <c r="F2823" t="s">
        <v>5</v>
      </c>
      <c r="G2823" t="s">
        <v>6</v>
      </c>
      <c r="L2823" t="s">
        <v>7</v>
      </c>
      <c r="M2823">
        <v>1996</v>
      </c>
      <c r="N2823" s="1">
        <v>44599</v>
      </c>
      <c r="O2823" t="s">
        <v>13331</v>
      </c>
      <c r="P2823">
        <v>1</v>
      </c>
      <c r="Q2823" t="s">
        <v>8002</v>
      </c>
      <c r="S2823">
        <v>287.95</v>
      </c>
      <c r="T2823">
        <v>330</v>
      </c>
      <c r="U2823">
        <v>250</v>
      </c>
      <c r="V2823" t="s">
        <v>42</v>
      </c>
      <c r="W2823" t="s">
        <v>43</v>
      </c>
      <c r="X2823" t="s">
        <v>178</v>
      </c>
      <c r="Y2823" t="s">
        <v>1745</v>
      </c>
      <c r="AF2823" t="s">
        <v>13</v>
      </c>
      <c r="AG2823" t="str">
        <f>HYPERLINK("https://doi.org/10.1515/9781474467933")</f>
        <v>https://doi.org/10.1515/9781474467933</v>
      </c>
      <c r="AH2823" t="str">
        <f>HYPERLINK("http://www.degruyter.com/isbn/9781474467933")</f>
        <v>http://www.degruyter.com/isbn/9781474467933</v>
      </c>
      <c r="AI2823" t="s">
        <v>24</v>
      </c>
      <c r="AL2823" t="s">
        <v>47</v>
      </c>
      <c r="AM2823">
        <v>1</v>
      </c>
      <c r="AN2823" s="2">
        <v>9781853311079</v>
      </c>
    </row>
    <row r="2824" spans="1:40" x14ac:dyDescent="0.3">
      <c r="A2824" t="s">
        <v>13332</v>
      </c>
      <c r="B2824" t="s">
        <v>1</v>
      </c>
      <c r="C2824" t="s">
        <v>13333</v>
      </c>
      <c r="E2824" t="s">
        <v>13334</v>
      </c>
      <c r="F2824" t="s">
        <v>5</v>
      </c>
      <c r="G2824" t="s">
        <v>6</v>
      </c>
      <c r="L2824" t="s">
        <v>7</v>
      </c>
      <c r="M2824">
        <v>2020</v>
      </c>
      <c r="N2824" s="1">
        <v>44644</v>
      </c>
      <c r="O2824" t="s">
        <v>13335</v>
      </c>
      <c r="P2824">
        <v>1</v>
      </c>
      <c r="Q2824" t="s">
        <v>11772</v>
      </c>
      <c r="S2824">
        <v>243.95</v>
      </c>
      <c r="T2824">
        <v>280</v>
      </c>
      <c r="U2824">
        <v>210</v>
      </c>
      <c r="V2824" t="s">
        <v>42</v>
      </c>
      <c r="W2824" t="s">
        <v>116</v>
      </c>
      <c r="X2824" t="s">
        <v>116</v>
      </c>
      <c r="Y2824" t="s">
        <v>117</v>
      </c>
      <c r="AF2824" t="s">
        <v>13</v>
      </c>
      <c r="AG2824" t="str">
        <f>HYPERLINK("https://doi.org/10.1515/9781474424448")</f>
        <v>https://doi.org/10.1515/9781474424448</v>
      </c>
      <c r="AH2824" t="str">
        <f>HYPERLINK("http://www.degruyter.com/isbn/9781474424448")</f>
        <v>http://www.degruyter.com/isbn/9781474424448</v>
      </c>
      <c r="AI2824" t="s">
        <v>14</v>
      </c>
      <c r="AL2824" t="s">
        <v>47</v>
      </c>
      <c r="AM2824">
        <v>1</v>
      </c>
      <c r="AN2824" s="2">
        <v>9781474424431</v>
      </c>
    </row>
    <row r="2825" spans="1:40" x14ac:dyDescent="0.3">
      <c r="A2825" t="s">
        <v>13336</v>
      </c>
      <c r="B2825" t="s">
        <v>1</v>
      </c>
      <c r="C2825" t="s">
        <v>13337</v>
      </c>
      <c r="D2825" t="s">
        <v>13338</v>
      </c>
      <c r="E2825" t="s">
        <v>13339</v>
      </c>
      <c r="F2825" t="s">
        <v>5</v>
      </c>
      <c r="G2825" t="s">
        <v>6</v>
      </c>
      <c r="L2825" t="s">
        <v>7</v>
      </c>
      <c r="M2825">
        <v>2007</v>
      </c>
      <c r="N2825" s="1">
        <v>39340</v>
      </c>
      <c r="O2825" t="s">
        <v>13340</v>
      </c>
      <c r="P2825">
        <v>1</v>
      </c>
      <c r="Q2825" t="s">
        <v>8317</v>
      </c>
      <c r="S2825">
        <v>209.95</v>
      </c>
      <c r="T2825">
        <v>240</v>
      </c>
      <c r="U2825">
        <v>180</v>
      </c>
      <c r="V2825" t="s">
        <v>98</v>
      </c>
      <c r="W2825" t="s">
        <v>99</v>
      </c>
      <c r="X2825" t="s">
        <v>386</v>
      </c>
      <c r="Y2825" t="s">
        <v>387</v>
      </c>
      <c r="AF2825" t="s">
        <v>13</v>
      </c>
      <c r="AG2825" t="str">
        <f>HYPERLINK("https://doi.org/10.1515/9780748630073")</f>
        <v>https://doi.org/10.1515/9780748630073</v>
      </c>
      <c r="AH2825" t="str">
        <f>HYPERLINK("http://www.degruyter.com/isbn/9780748630073")</f>
        <v>http://www.degruyter.com/isbn/9780748630073</v>
      </c>
      <c r="AI2825" t="s">
        <v>68</v>
      </c>
      <c r="AL2825" t="s">
        <v>102</v>
      </c>
      <c r="AM2825">
        <v>1</v>
      </c>
      <c r="AN2825" s="2">
        <v>9780748623471</v>
      </c>
    </row>
    <row r="2826" spans="1:40" x14ac:dyDescent="0.3">
      <c r="A2826" t="s">
        <v>13341</v>
      </c>
      <c r="B2826" t="s">
        <v>1</v>
      </c>
      <c r="C2826" t="s">
        <v>13342</v>
      </c>
      <c r="D2826" t="s">
        <v>7731</v>
      </c>
      <c r="E2826" t="s">
        <v>13343</v>
      </c>
      <c r="F2826" t="s">
        <v>5</v>
      </c>
      <c r="G2826" t="s">
        <v>6</v>
      </c>
      <c r="L2826" t="s">
        <v>7</v>
      </c>
      <c r="M2826">
        <v>2017</v>
      </c>
      <c r="N2826" s="1">
        <v>42815</v>
      </c>
      <c r="O2826" t="s">
        <v>13344</v>
      </c>
      <c r="P2826">
        <v>1</v>
      </c>
      <c r="Q2826" t="s">
        <v>7733</v>
      </c>
      <c r="S2826">
        <v>253.95</v>
      </c>
      <c r="T2826">
        <v>290</v>
      </c>
      <c r="U2826">
        <v>220</v>
      </c>
      <c r="V2826" t="s">
        <v>79</v>
      </c>
      <c r="W2826" t="s">
        <v>209</v>
      </c>
      <c r="X2826" t="s">
        <v>209</v>
      </c>
      <c r="Y2826" t="s">
        <v>699</v>
      </c>
      <c r="AF2826" t="s">
        <v>13</v>
      </c>
      <c r="AG2826" t="str">
        <f>HYPERLINK("https://doi.org/10.1515/9781474405843")</f>
        <v>https://doi.org/10.1515/9781474405843</v>
      </c>
      <c r="AH2826" t="str">
        <f>HYPERLINK("http://www.degruyter.com/isbn/9781474405843")</f>
        <v>http://www.degruyter.com/isbn/9781474405843</v>
      </c>
      <c r="AI2826" t="s">
        <v>222</v>
      </c>
      <c r="AL2826" t="s">
        <v>83</v>
      </c>
      <c r="AM2826">
        <v>1</v>
      </c>
      <c r="AN2826" s="2">
        <v>9781474405829</v>
      </c>
    </row>
    <row r="2827" spans="1:40" x14ac:dyDescent="0.3">
      <c r="A2827" t="s">
        <v>13345</v>
      </c>
      <c r="B2827" t="s">
        <v>1</v>
      </c>
      <c r="C2827" t="s">
        <v>13346</v>
      </c>
      <c r="E2827" t="s">
        <v>13347</v>
      </c>
      <c r="F2827" t="s">
        <v>5</v>
      </c>
      <c r="G2827" t="s">
        <v>6</v>
      </c>
      <c r="L2827" t="s">
        <v>7</v>
      </c>
      <c r="M2827">
        <v>1993</v>
      </c>
      <c r="N2827" s="1">
        <v>44672</v>
      </c>
      <c r="O2827" t="s">
        <v>12004</v>
      </c>
      <c r="P2827">
        <v>1</v>
      </c>
      <c r="Q2827" t="s">
        <v>7266</v>
      </c>
      <c r="S2827">
        <v>279.95</v>
      </c>
      <c r="T2827">
        <v>320</v>
      </c>
      <c r="U2827">
        <v>240</v>
      </c>
      <c r="V2827" t="s">
        <v>42</v>
      </c>
      <c r="W2827" t="s">
        <v>116</v>
      </c>
      <c r="X2827" t="s">
        <v>116</v>
      </c>
      <c r="Y2827" t="s">
        <v>117</v>
      </c>
      <c r="AF2827" t="s">
        <v>13</v>
      </c>
      <c r="AG2827" t="str">
        <f>HYPERLINK("https://doi.org/10.1515/9781474433471")</f>
        <v>https://doi.org/10.1515/9781474433471</v>
      </c>
      <c r="AH2827" t="str">
        <f>HYPERLINK("http://www.degruyter.com/isbn/9781474433471")</f>
        <v>http://www.degruyter.com/isbn/9781474433471</v>
      </c>
      <c r="AI2827" t="s">
        <v>24</v>
      </c>
      <c r="AL2827" t="s">
        <v>47</v>
      </c>
      <c r="AM2827">
        <v>1</v>
      </c>
      <c r="AN2827" s="2">
        <v>9780748604517</v>
      </c>
    </row>
    <row r="2828" spans="1:40" x14ac:dyDescent="0.3">
      <c r="A2828" t="s">
        <v>13348</v>
      </c>
      <c r="B2828" t="s">
        <v>1</v>
      </c>
      <c r="C2828" t="s">
        <v>13349</v>
      </c>
      <c r="E2828" t="s">
        <v>13350</v>
      </c>
      <c r="F2828" t="s">
        <v>5</v>
      </c>
      <c r="G2828" t="s">
        <v>6</v>
      </c>
      <c r="L2828" t="s">
        <v>7</v>
      </c>
      <c r="M2828">
        <v>1992</v>
      </c>
      <c r="N2828" s="1">
        <v>44607</v>
      </c>
      <c r="O2828" t="s">
        <v>13351</v>
      </c>
      <c r="P2828">
        <v>1</v>
      </c>
      <c r="Q2828" t="s">
        <v>13352</v>
      </c>
      <c r="S2828">
        <v>217.95</v>
      </c>
      <c r="T2828">
        <v>250</v>
      </c>
      <c r="U2828">
        <v>190</v>
      </c>
      <c r="V2828" t="s">
        <v>98</v>
      </c>
      <c r="W2828" t="s">
        <v>99</v>
      </c>
      <c r="X2828" t="s">
        <v>100</v>
      </c>
      <c r="Y2828" t="s">
        <v>4420</v>
      </c>
      <c r="AF2828" t="s">
        <v>13</v>
      </c>
      <c r="AG2828" t="str">
        <f>HYPERLINK("https://doi.org/10.1515/9781474468497")</f>
        <v>https://doi.org/10.1515/9781474468497</v>
      </c>
      <c r="AH2828" t="str">
        <f>HYPERLINK("http://www.degruyter.com/isbn/9781474468497")</f>
        <v>http://www.degruyter.com/isbn/9781474468497</v>
      </c>
      <c r="AI2828" t="s">
        <v>24</v>
      </c>
      <c r="AL2828" t="s">
        <v>102</v>
      </c>
      <c r="AM2828">
        <v>1</v>
      </c>
      <c r="AN2828" s="2">
        <v>9780748603107</v>
      </c>
    </row>
    <row r="2829" spans="1:40" x14ac:dyDescent="0.3">
      <c r="A2829" t="s">
        <v>13353</v>
      </c>
      <c r="B2829" t="s">
        <v>1</v>
      </c>
      <c r="C2829" t="s">
        <v>13354</v>
      </c>
      <c r="D2829" t="s">
        <v>1672</v>
      </c>
      <c r="E2829" t="s">
        <v>13355</v>
      </c>
      <c r="F2829" t="s">
        <v>5</v>
      </c>
      <c r="G2829" t="s">
        <v>6</v>
      </c>
      <c r="L2829" t="s">
        <v>7</v>
      </c>
      <c r="M2829">
        <v>2019</v>
      </c>
      <c r="N2829" s="1">
        <v>44656</v>
      </c>
      <c r="O2829" t="s">
        <v>13356</v>
      </c>
      <c r="P2829">
        <v>1</v>
      </c>
      <c r="Q2829" t="s">
        <v>12952</v>
      </c>
      <c r="S2829">
        <v>305.95</v>
      </c>
      <c r="T2829">
        <v>350</v>
      </c>
      <c r="U2829">
        <v>270</v>
      </c>
      <c r="V2829" t="s">
        <v>42</v>
      </c>
      <c r="W2829" t="s">
        <v>107</v>
      </c>
      <c r="X2829" t="s">
        <v>108</v>
      </c>
      <c r="Y2829" t="s">
        <v>109</v>
      </c>
      <c r="AF2829" t="s">
        <v>13</v>
      </c>
      <c r="AG2829" t="str">
        <f>HYPERLINK("https://doi.org/10.1515/9781474439558?locatt=mode:legacy")</f>
        <v>https://doi.org/10.1515/9781474439558?locatt=mode:legacy</v>
      </c>
      <c r="AH2829" t="str">
        <f>HYPERLINK("http://www.degruyter.com/isbn/9781474439558")</f>
        <v>http://www.degruyter.com/isbn/9781474439558</v>
      </c>
      <c r="AI2829" t="s">
        <v>280</v>
      </c>
      <c r="AL2829" t="s">
        <v>47</v>
      </c>
      <c r="AM2829">
        <v>1</v>
      </c>
      <c r="AN2829" s="2">
        <v>9781474439534</v>
      </c>
    </row>
    <row r="2830" spans="1:40" x14ac:dyDescent="0.3">
      <c r="A2830" t="s">
        <v>13357</v>
      </c>
      <c r="B2830" t="s">
        <v>1</v>
      </c>
      <c r="C2830" t="s">
        <v>13358</v>
      </c>
      <c r="E2830" t="s">
        <v>13359</v>
      </c>
      <c r="F2830" t="s">
        <v>5</v>
      </c>
      <c r="G2830" t="s">
        <v>6</v>
      </c>
      <c r="L2830" t="s">
        <v>7</v>
      </c>
      <c r="M2830">
        <v>2016</v>
      </c>
      <c r="N2830" s="1">
        <v>42625</v>
      </c>
      <c r="O2830" t="s">
        <v>13360</v>
      </c>
      <c r="P2830">
        <v>1</v>
      </c>
      <c r="Q2830" t="s">
        <v>13361</v>
      </c>
      <c r="S2830">
        <v>217.95</v>
      </c>
      <c r="T2830">
        <v>250</v>
      </c>
      <c r="U2830">
        <v>190</v>
      </c>
      <c r="V2830" t="s">
        <v>42</v>
      </c>
      <c r="W2830" t="s">
        <v>107</v>
      </c>
      <c r="X2830" t="s">
        <v>108</v>
      </c>
      <c r="Y2830" t="s">
        <v>109</v>
      </c>
      <c r="AF2830" t="s">
        <v>13</v>
      </c>
      <c r="AG2830" t="str">
        <f>HYPERLINK("https://doi.org/10.1515/9780748697359?locatt=mode:legacy")</f>
        <v>https://doi.org/10.1515/9780748697359?locatt=mode:legacy</v>
      </c>
      <c r="AH2830" t="str">
        <f>HYPERLINK("http://www.degruyter.com/isbn/9780748697359")</f>
        <v>http://www.degruyter.com/isbn/9780748697359</v>
      </c>
      <c r="AI2830" t="s">
        <v>180</v>
      </c>
      <c r="AL2830" t="s">
        <v>47</v>
      </c>
      <c r="AM2830">
        <v>1</v>
      </c>
      <c r="AN2830" s="2">
        <v>9780748697342</v>
      </c>
    </row>
    <row r="2831" spans="1:40" x14ac:dyDescent="0.3">
      <c r="A2831" t="s">
        <v>13362</v>
      </c>
      <c r="B2831" t="s">
        <v>1</v>
      </c>
      <c r="C2831" t="s">
        <v>13363</v>
      </c>
      <c r="E2831" t="s">
        <v>13364</v>
      </c>
      <c r="F2831" t="s">
        <v>5</v>
      </c>
      <c r="G2831" t="s">
        <v>6</v>
      </c>
      <c r="L2831" t="s">
        <v>7</v>
      </c>
      <c r="M2831">
        <v>2020</v>
      </c>
      <c r="N2831" s="1">
        <v>44656</v>
      </c>
      <c r="O2831" t="s">
        <v>13365</v>
      </c>
      <c r="P2831">
        <v>1</v>
      </c>
      <c r="Q2831" t="s">
        <v>12961</v>
      </c>
      <c r="S2831">
        <v>217.95</v>
      </c>
      <c r="T2831">
        <v>250</v>
      </c>
      <c r="U2831">
        <v>190</v>
      </c>
      <c r="V2831" t="s">
        <v>20</v>
      </c>
      <c r="W2831" t="s">
        <v>21</v>
      </c>
      <c r="X2831" t="s">
        <v>839</v>
      </c>
      <c r="Y2831" t="s">
        <v>840</v>
      </c>
      <c r="AF2831" t="s">
        <v>13</v>
      </c>
      <c r="AG2831" t="str">
        <f>HYPERLINK("https://doi.org/10.1515/9781474440486?locatt=mode:legacy")</f>
        <v>https://doi.org/10.1515/9781474440486?locatt=mode:legacy</v>
      </c>
      <c r="AH2831" t="str">
        <f>HYPERLINK("http://www.degruyter.com/isbn/9781474440486")</f>
        <v>http://www.degruyter.com/isbn/9781474440486</v>
      </c>
      <c r="AI2831" t="s">
        <v>14</v>
      </c>
      <c r="AL2831" t="s">
        <v>15</v>
      </c>
      <c r="AM2831">
        <v>1</v>
      </c>
      <c r="AN2831" s="2">
        <v>9781474440462</v>
      </c>
    </row>
    <row r="2832" spans="1:40" x14ac:dyDescent="0.3">
      <c r="A2832" t="s">
        <v>13366</v>
      </c>
      <c r="B2832" t="s">
        <v>1</v>
      </c>
      <c r="C2832" t="s">
        <v>13367</v>
      </c>
      <c r="E2832" t="s">
        <v>13368</v>
      </c>
      <c r="F2832" t="s">
        <v>5</v>
      </c>
      <c r="G2832" t="s">
        <v>6</v>
      </c>
      <c r="L2832" t="s">
        <v>7</v>
      </c>
      <c r="M2832">
        <v>2018</v>
      </c>
      <c r="N2832" s="1">
        <v>44656</v>
      </c>
      <c r="O2832" t="s">
        <v>13369</v>
      </c>
      <c r="P2832">
        <v>1</v>
      </c>
      <c r="Q2832" t="s">
        <v>13309</v>
      </c>
      <c r="S2832">
        <v>417.95</v>
      </c>
      <c r="T2832">
        <v>480</v>
      </c>
      <c r="U2832">
        <v>370</v>
      </c>
      <c r="V2832" t="s">
        <v>42</v>
      </c>
      <c r="W2832" t="s">
        <v>107</v>
      </c>
      <c r="X2832" t="s">
        <v>108</v>
      </c>
      <c r="Y2832" t="s">
        <v>109</v>
      </c>
      <c r="AF2832" t="s">
        <v>13</v>
      </c>
      <c r="AG2832" t="str">
        <f>HYPERLINK("https://doi.org/10.1515/9781474424752")</f>
        <v>https://doi.org/10.1515/9781474424752</v>
      </c>
      <c r="AH2832" t="str">
        <f>HYPERLINK("http://www.degruyter.com/isbn/9781474424752")</f>
        <v>http://www.degruyter.com/isbn/9781474424752</v>
      </c>
      <c r="AI2832" t="s">
        <v>46</v>
      </c>
      <c r="AL2832" t="s">
        <v>47</v>
      </c>
      <c r="AM2832">
        <v>1</v>
      </c>
      <c r="AN2832" s="2">
        <v>9781474424745</v>
      </c>
    </row>
    <row r="2833" spans="1:40" x14ac:dyDescent="0.3">
      <c r="A2833" t="s">
        <v>13370</v>
      </c>
      <c r="B2833" t="s">
        <v>1</v>
      </c>
      <c r="C2833" t="s">
        <v>13371</v>
      </c>
      <c r="D2833" t="s">
        <v>13372</v>
      </c>
      <c r="E2833" t="s">
        <v>13373</v>
      </c>
      <c r="F2833" t="s">
        <v>5</v>
      </c>
      <c r="G2833" t="s">
        <v>6</v>
      </c>
      <c r="L2833" t="s">
        <v>7</v>
      </c>
      <c r="M2833">
        <v>2018</v>
      </c>
      <c r="N2833" s="1">
        <v>44656</v>
      </c>
      <c r="O2833" t="s">
        <v>13374</v>
      </c>
      <c r="P2833">
        <v>1</v>
      </c>
      <c r="Q2833" t="s">
        <v>7164</v>
      </c>
      <c r="S2833">
        <v>253.95</v>
      </c>
      <c r="T2833">
        <v>290</v>
      </c>
      <c r="U2833">
        <v>220</v>
      </c>
      <c r="V2833" t="s">
        <v>20</v>
      </c>
      <c r="W2833" t="s">
        <v>556</v>
      </c>
      <c r="X2833" t="s">
        <v>1540</v>
      </c>
      <c r="Y2833" t="s">
        <v>2459</v>
      </c>
      <c r="AF2833" t="s">
        <v>13</v>
      </c>
      <c r="AG2833" t="str">
        <f>HYPERLINK("https://doi.org/10.1515/9781474437332")</f>
        <v>https://doi.org/10.1515/9781474437332</v>
      </c>
      <c r="AH2833" t="str">
        <f>HYPERLINK("http://www.degruyter.com/isbn/9781474437332")</f>
        <v>http://www.degruyter.com/isbn/9781474437332</v>
      </c>
      <c r="AI2833" t="s">
        <v>46</v>
      </c>
      <c r="AL2833" t="s">
        <v>15</v>
      </c>
      <c r="AM2833">
        <v>1</v>
      </c>
      <c r="AN2833" s="2">
        <v>9781474437318</v>
      </c>
    </row>
    <row r="2834" spans="1:40" x14ac:dyDescent="0.3">
      <c r="A2834" t="s">
        <v>13375</v>
      </c>
      <c r="B2834" t="s">
        <v>1</v>
      </c>
      <c r="C2834" t="s">
        <v>13376</v>
      </c>
      <c r="D2834" t="s">
        <v>13377</v>
      </c>
      <c r="E2834" t="s">
        <v>13378</v>
      </c>
      <c r="F2834" t="s">
        <v>5</v>
      </c>
      <c r="G2834" t="s">
        <v>6</v>
      </c>
      <c r="L2834" t="s">
        <v>7</v>
      </c>
      <c r="M2834">
        <v>2019</v>
      </c>
      <c r="N2834" s="1">
        <v>44656</v>
      </c>
      <c r="O2834" t="s">
        <v>13379</v>
      </c>
      <c r="P2834">
        <v>1</v>
      </c>
      <c r="Q2834" t="s">
        <v>13361</v>
      </c>
      <c r="S2834">
        <v>227.95</v>
      </c>
      <c r="T2834">
        <v>260</v>
      </c>
      <c r="U2834">
        <v>200</v>
      </c>
      <c r="V2834" t="s">
        <v>42</v>
      </c>
      <c r="W2834" t="s">
        <v>107</v>
      </c>
      <c r="X2834" t="s">
        <v>108</v>
      </c>
      <c r="Y2834" t="s">
        <v>2244</v>
      </c>
      <c r="AF2834" t="s">
        <v>13</v>
      </c>
      <c r="AG2834" t="str">
        <f>HYPERLINK("https://doi.org/10.1515/9781474439596?locatt=mode:legacy")</f>
        <v>https://doi.org/10.1515/9781474439596?locatt=mode:legacy</v>
      </c>
      <c r="AH2834" t="str">
        <f>HYPERLINK("http://www.degruyter.com/isbn/9781474439596")</f>
        <v>http://www.degruyter.com/isbn/9781474439596</v>
      </c>
      <c r="AI2834" t="s">
        <v>280</v>
      </c>
      <c r="AL2834" t="s">
        <v>47</v>
      </c>
      <c r="AM2834">
        <v>1</v>
      </c>
      <c r="AN2834" s="2">
        <v>9781474439572</v>
      </c>
    </row>
    <row r="2835" spans="1:40" x14ac:dyDescent="0.3">
      <c r="A2835" t="s">
        <v>13380</v>
      </c>
      <c r="B2835" t="s">
        <v>1</v>
      </c>
      <c r="C2835" t="s">
        <v>13381</v>
      </c>
      <c r="E2835" t="s">
        <v>13382</v>
      </c>
      <c r="F2835" t="s">
        <v>5</v>
      </c>
      <c r="G2835" t="s">
        <v>6</v>
      </c>
      <c r="L2835" t="s">
        <v>7</v>
      </c>
      <c r="M2835">
        <v>2015</v>
      </c>
      <c r="N2835" s="1">
        <v>42029</v>
      </c>
      <c r="O2835" t="s">
        <v>13383</v>
      </c>
      <c r="P2835">
        <v>1</v>
      </c>
      <c r="Q2835" t="s">
        <v>12993</v>
      </c>
      <c r="S2835">
        <v>321.95</v>
      </c>
      <c r="T2835">
        <v>370</v>
      </c>
      <c r="U2835">
        <v>280</v>
      </c>
      <c r="V2835" t="s">
        <v>42</v>
      </c>
      <c r="W2835" t="s">
        <v>116</v>
      </c>
      <c r="X2835" t="s">
        <v>116</v>
      </c>
      <c r="Y2835" t="s">
        <v>1129</v>
      </c>
      <c r="AF2835" t="s">
        <v>13</v>
      </c>
      <c r="AG2835" t="str">
        <f>HYPERLINK("https://doi.org/10.1515/9781474432986")</f>
        <v>https://doi.org/10.1515/9781474432986</v>
      </c>
      <c r="AH2835" t="str">
        <f>HYPERLINK("http://www.degruyter.com/isbn/9781474432986")</f>
        <v>http://www.degruyter.com/isbn/9781474432986</v>
      </c>
      <c r="AI2835" t="s">
        <v>34</v>
      </c>
      <c r="AL2835" t="s">
        <v>47</v>
      </c>
      <c r="AM2835">
        <v>1</v>
      </c>
      <c r="AN2835" s="2">
        <v>9780748639359</v>
      </c>
    </row>
    <row r="2836" spans="1:40" x14ac:dyDescent="0.3">
      <c r="A2836" t="s">
        <v>13384</v>
      </c>
      <c r="B2836" t="s">
        <v>1</v>
      </c>
      <c r="C2836" t="s">
        <v>13385</v>
      </c>
      <c r="E2836" t="s">
        <v>13386</v>
      </c>
      <c r="F2836" t="s">
        <v>5</v>
      </c>
      <c r="G2836" t="s">
        <v>6</v>
      </c>
      <c r="L2836" t="s">
        <v>7</v>
      </c>
      <c r="M2836">
        <v>2014</v>
      </c>
      <c r="N2836" s="1">
        <v>41954</v>
      </c>
      <c r="O2836" t="s">
        <v>9295</v>
      </c>
      <c r="P2836">
        <v>1</v>
      </c>
      <c r="Q2836" t="s">
        <v>5764</v>
      </c>
      <c r="S2836">
        <v>217.95</v>
      </c>
      <c r="T2836">
        <v>250</v>
      </c>
      <c r="U2836">
        <v>190</v>
      </c>
      <c r="V2836" t="s">
        <v>42</v>
      </c>
      <c r="W2836" t="s">
        <v>43</v>
      </c>
      <c r="X2836" t="s">
        <v>44</v>
      </c>
      <c r="Y2836" t="s">
        <v>45</v>
      </c>
      <c r="AF2836" t="s">
        <v>13</v>
      </c>
      <c r="AG2836" t="str">
        <f>HYPERLINK("https://doi.org/10.1515/9780748691081?locatt=mode:legacy")</f>
        <v>https://doi.org/10.1515/9780748691081?locatt=mode:legacy</v>
      </c>
      <c r="AH2836" t="str">
        <f>HYPERLINK("http://www.degruyter.com/isbn/9780748691081")</f>
        <v>http://www.degruyter.com/isbn/9780748691081</v>
      </c>
      <c r="AI2836" t="s">
        <v>34</v>
      </c>
      <c r="AL2836" t="s">
        <v>47</v>
      </c>
      <c r="AM2836">
        <v>1</v>
      </c>
      <c r="AN2836" s="2">
        <v>9780748691074</v>
      </c>
    </row>
    <row r="2837" spans="1:40" x14ac:dyDescent="0.3">
      <c r="A2837" t="s">
        <v>13387</v>
      </c>
      <c r="B2837" t="s">
        <v>1</v>
      </c>
      <c r="C2837" t="s">
        <v>13388</v>
      </c>
      <c r="E2837" t="s">
        <v>13389</v>
      </c>
      <c r="F2837" t="s">
        <v>5</v>
      </c>
      <c r="G2837" t="s">
        <v>6</v>
      </c>
      <c r="L2837" t="s">
        <v>7</v>
      </c>
      <c r="M2837">
        <v>2021</v>
      </c>
      <c r="N2837" s="1">
        <v>44644</v>
      </c>
      <c r="O2837" t="s">
        <v>13390</v>
      </c>
      <c r="P2837">
        <v>1</v>
      </c>
      <c r="Q2837" t="s">
        <v>13391</v>
      </c>
      <c r="S2837">
        <v>217.95</v>
      </c>
      <c r="T2837">
        <v>250</v>
      </c>
      <c r="U2837">
        <v>190</v>
      </c>
      <c r="V2837" t="s">
        <v>42</v>
      </c>
      <c r="W2837" t="s">
        <v>107</v>
      </c>
      <c r="X2837" t="s">
        <v>108</v>
      </c>
      <c r="Y2837" t="s">
        <v>221</v>
      </c>
      <c r="AF2837" t="s">
        <v>13</v>
      </c>
      <c r="AG2837" t="str">
        <f>HYPERLINK("https://doi.org/10.1515/9781474481755")</f>
        <v>https://doi.org/10.1515/9781474481755</v>
      </c>
      <c r="AH2837" t="str">
        <f>HYPERLINK("http://www.degruyter.com/isbn/9781474481755")</f>
        <v>http://www.degruyter.com/isbn/9781474481755</v>
      </c>
      <c r="AI2837" t="s">
        <v>1561</v>
      </c>
      <c r="AL2837" t="s">
        <v>47</v>
      </c>
      <c r="AM2837">
        <v>1</v>
      </c>
      <c r="AN2837" s="2">
        <v>9781474481731</v>
      </c>
    </row>
    <row r="2838" spans="1:40" x14ac:dyDescent="0.3">
      <c r="A2838" t="s">
        <v>13392</v>
      </c>
      <c r="B2838" t="s">
        <v>1</v>
      </c>
      <c r="C2838" t="s">
        <v>13393</v>
      </c>
      <c r="D2838" t="s">
        <v>13394</v>
      </c>
      <c r="E2838" t="s">
        <v>13395</v>
      </c>
      <c r="F2838" t="s">
        <v>5</v>
      </c>
      <c r="G2838" t="s">
        <v>6</v>
      </c>
      <c r="L2838" t="s">
        <v>7</v>
      </c>
      <c r="M2838">
        <v>2019</v>
      </c>
      <c r="N2838" s="1">
        <v>44656</v>
      </c>
      <c r="O2838" t="s">
        <v>13396</v>
      </c>
      <c r="P2838">
        <v>1</v>
      </c>
      <c r="Q2838" t="s">
        <v>6539</v>
      </c>
      <c r="S2838">
        <v>227.95</v>
      </c>
      <c r="T2838">
        <v>260</v>
      </c>
      <c r="U2838">
        <v>200</v>
      </c>
      <c r="V2838" t="s">
        <v>42</v>
      </c>
      <c r="W2838" t="s">
        <v>107</v>
      </c>
      <c r="X2838" t="s">
        <v>108</v>
      </c>
      <c r="Y2838" t="s">
        <v>109</v>
      </c>
      <c r="AF2838" t="s">
        <v>13</v>
      </c>
      <c r="AG2838" t="str">
        <f>HYPERLINK("https://doi.org/10.1515/9781474453158")</f>
        <v>https://doi.org/10.1515/9781474453158</v>
      </c>
      <c r="AH2838" t="str">
        <f>HYPERLINK("http://www.degruyter.com/isbn/9781474453158")</f>
        <v>http://www.degruyter.com/isbn/9781474453158</v>
      </c>
      <c r="AI2838" t="s">
        <v>280</v>
      </c>
      <c r="AL2838" t="s">
        <v>47</v>
      </c>
      <c r="AM2838">
        <v>1</v>
      </c>
      <c r="AN2838" s="2">
        <v>9781474453134</v>
      </c>
    </row>
    <row r="2839" spans="1:40" x14ac:dyDescent="0.3">
      <c r="A2839" t="s">
        <v>13397</v>
      </c>
      <c r="B2839" t="s">
        <v>1</v>
      </c>
      <c r="C2839" t="s">
        <v>13398</v>
      </c>
      <c r="E2839" t="s">
        <v>13399</v>
      </c>
      <c r="F2839" t="s">
        <v>5</v>
      </c>
      <c r="G2839" t="s">
        <v>6</v>
      </c>
      <c r="L2839" t="s">
        <v>7</v>
      </c>
      <c r="M2839">
        <v>2019</v>
      </c>
      <c r="N2839" s="1">
        <v>44644</v>
      </c>
      <c r="O2839" t="s">
        <v>13400</v>
      </c>
      <c r="P2839">
        <v>1</v>
      </c>
      <c r="Q2839" t="s">
        <v>7728</v>
      </c>
      <c r="S2839">
        <v>227.95</v>
      </c>
      <c r="T2839">
        <v>260</v>
      </c>
      <c r="U2839">
        <v>200</v>
      </c>
      <c r="V2839" t="s">
        <v>42</v>
      </c>
      <c r="W2839" t="s">
        <v>43</v>
      </c>
      <c r="X2839" t="s">
        <v>178</v>
      </c>
      <c r="Y2839" t="s">
        <v>4382</v>
      </c>
      <c r="AF2839" t="s">
        <v>13</v>
      </c>
      <c r="AG2839" t="str">
        <f>HYPERLINK("https://doi.org/10.1515/9781474441735?locatt=mode:legacy")</f>
        <v>https://doi.org/10.1515/9781474441735?locatt=mode:legacy</v>
      </c>
      <c r="AH2839" t="str">
        <f>HYPERLINK("http://www.degruyter.com/isbn/9781474441735")</f>
        <v>http://www.degruyter.com/isbn/9781474441735</v>
      </c>
      <c r="AI2839" t="s">
        <v>280</v>
      </c>
      <c r="AL2839" t="s">
        <v>47</v>
      </c>
      <c r="AM2839">
        <v>1</v>
      </c>
      <c r="AN2839" s="2">
        <v>9781474441711</v>
      </c>
    </row>
    <row r="2840" spans="1:40" x14ac:dyDescent="0.3">
      <c r="A2840" t="s">
        <v>13401</v>
      </c>
      <c r="B2840" t="s">
        <v>1</v>
      </c>
      <c r="C2840" t="s">
        <v>13402</v>
      </c>
      <c r="E2840" t="s">
        <v>13403</v>
      </c>
      <c r="F2840" t="s">
        <v>5</v>
      </c>
      <c r="G2840" t="s">
        <v>6</v>
      </c>
      <c r="L2840" t="s">
        <v>7</v>
      </c>
      <c r="M2840">
        <v>2006</v>
      </c>
      <c r="N2840" s="1">
        <v>38820</v>
      </c>
      <c r="O2840" t="s">
        <v>13404</v>
      </c>
      <c r="P2840">
        <v>1</v>
      </c>
      <c r="Q2840" t="s">
        <v>6820</v>
      </c>
      <c r="S2840">
        <v>217.95</v>
      </c>
      <c r="T2840">
        <v>250</v>
      </c>
      <c r="U2840">
        <v>190</v>
      </c>
      <c r="V2840" t="s">
        <v>89</v>
      </c>
      <c r="W2840" t="s">
        <v>4664</v>
      </c>
      <c r="X2840" t="s">
        <v>4664</v>
      </c>
      <c r="Y2840" t="s">
        <v>4665</v>
      </c>
      <c r="AF2840" t="s">
        <v>13</v>
      </c>
      <c r="AG2840" t="str">
        <f>HYPERLINK("https://doi.org/10.1515/9780748626830")</f>
        <v>https://doi.org/10.1515/9780748626830</v>
      </c>
      <c r="AH2840" t="str">
        <f>HYPERLINK("http://www.degruyter.com/isbn/9780748626830")</f>
        <v>http://www.degruyter.com/isbn/9780748626830</v>
      </c>
      <c r="AI2840" t="s">
        <v>68</v>
      </c>
      <c r="AL2840" t="s">
        <v>83</v>
      </c>
      <c r="AM2840">
        <v>1</v>
      </c>
      <c r="AN2840" s="2">
        <v>9780748620326</v>
      </c>
    </row>
    <row r="2841" spans="1:40" x14ac:dyDescent="0.3">
      <c r="A2841" t="s">
        <v>13405</v>
      </c>
      <c r="B2841" t="s">
        <v>1</v>
      </c>
      <c r="C2841" t="s">
        <v>13406</v>
      </c>
      <c r="E2841" t="s">
        <v>13407</v>
      </c>
      <c r="F2841" t="s">
        <v>5</v>
      </c>
      <c r="G2841" t="s">
        <v>6</v>
      </c>
      <c r="L2841" t="s">
        <v>7</v>
      </c>
      <c r="M2841">
        <v>2009</v>
      </c>
      <c r="N2841" s="1">
        <v>39989</v>
      </c>
      <c r="O2841" t="s">
        <v>12712</v>
      </c>
      <c r="P2841">
        <v>1</v>
      </c>
      <c r="Q2841" t="s">
        <v>7047</v>
      </c>
      <c r="S2841">
        <v>227.95</v>
      </c>
      <c r="T2841">
        <v>260</v>
      </c>
      <c r="U2841">
        <v>200</v>
      </c>
      <c r="V2841" t="s">
        <v>42</v>
      </c>
      <c r="W2841" t="s">
        <v>107</v>
      </c>
      <c r="X2841" t="s">
        <v>108</v>
      </c>
      <c r="Y2841" t="s">
        <v>109</v>
      </c>
      <c r="AF2841" t="s">
        <v>13</v>
      </c>
      <c r="AG2841" t="str">
        <f>HYPERLINK("https://doi.org/10.1515/9780748636501")</f>
        <v>https://doi.org/10.1515/9780748636501</v>
      </c>
      <c r="AH2841" t="str">
        <f>HYPERLINK("http://www.degruyter.com/isbn/9780748636501")</f>
        <v>http://www.degruyter.com/isbn/9780748636501</v>
      </c>
      <c r="AI2841" t="s">
        <v>68</v>
      </c>
      <c r="AL2841" t="s">
        <v>47</v>
      </c>
      <c r="AM2841">
        <v>1</v>
      </c>
      <c r="AN2841" s="2">
        <v>9780748636488</v>
      </c>
    </row>
    <row r="2842" spans="1:40" x14ac:dyDescent="0.3">
      <c r="A2842" t="s">
        <v>13408</v>
      </c>
      <c r="B2842" t="s">
        <v>1</v>
      </c>
      <c r="C2842" t="s">
        <v>6983</v>
      </c>
      <c r="D2842" t="s">
        <v>13409</v>
      </c>
      <c r="E2842" t="s">
        <v>6985</v>
      </c>
      <c r="F2842" t="s">
        <v>5</v>
      </c>
      <c r="G2842" t="s">
        <v>6</v>
      </c>
      <c r="L2842" t="s">
        <v>7</v>
      </c>
      <c r="M2842">
        <v>2019</v>
      </c>
      <c r="N2842" s="1">
        <v>44656</v>
      </c>
      <c r="O2842" t="s">
        <v>13410</v>
      </c>
      <c r="P2842">
        <v>1</v>
      </c>
      <c r="Q2842" t="s">
        <v>7655</v>
      </c>
      <c r="S2842">
        <v>217.95</v>
      </c>
      <c r="T2842">
        <v>250</v>
      </c>
      <c r="U2842">
        <v>190</v>
      </c>
      <c r="V2842" t="s">
        <v>20</v>
      </c>
      <c r="W2842" t="s">
        <v>21</v>
      </c>
      <c r="X2842" t="s">
        <v>3445</v>
      </c>
      <c r="Y2842" t="s">
        <v>3446</v>
      </c>
      <c r="AF2842" t="s">
        <v>13</v>
      </c>
      <c r="AG2842" t="str">
        <f>HYPERLINK("https://doi.org/10.1515/9781474439961")</f>
        <v>https://doi.org/10.1515/9781474439961</v>
      </c>
      <c r="AH2842" t="str">
        <f>HYPERLINK("http://www.degruyter.com/isbn/9781474439961")</f>
        <v>http://www.degruyter.com/isbn/9781474439961</v>
      </c>
      <c r="AI2842" t="s">
        <v>280</v>
      </c>
      <c r="AL2842" t="s">
        <v>15</v>
      </c>
      <c r="AM2842">
        <v>1</v>
      </c>
      <c r="AN2842" s="2">
        <v>9781474439947</v>
      </c>
    </row>
    <row r="2843" spans="1:40" x14ac:dyDescent="0.3">
      <c r="A2843" t="s">
        <v>13411</v>
      </c>
      <c r="B2843" t="s">
        <v>1</v>
      </c>
      <c r="C2843" t="s">
        <v>13412</v>
      </c>
      <c r="E2843" t="s">
        <v>13413</v>
      </c>
      <c r="F2843" t="s">
        <v>5</v>
      </c>
      <c r="G2843" t="s">
        <v>6</v>
      </c>
      <c r="L2843" t="s">
        <v>7</v>
      </c>
      <c r="M2843">
        <v>2007</v>
      </c>
      <c r="N2843" s="1">
        <v>39140</v>
      </c>
      <c r="O2843" t="s">
        <v>13414</v>
      </c>
      <c r="P2843">
        <v>1</v>
      </c>
      <c r="Q2843" t="s">
        <v>8910</v>
      </c>
      <c r="S2843">
        <v>253.95</v>
      </c>
      <c r="T2843">
        <v>290</v>
      </c>
      <c r="U2843">
        <v>220</v>
      </c>
      <c r="V2843" t="s">
        <v>58</v>
      </c>
      <c r="W2843" t="s">
        <v>59</v>
      </c>
      <c r="X2843" t="s">
        <v>60</v>
      </c>
      <c r="Y2843" t="s">
        <v>145</v>
      </c>
      <c r="AF2843" t="s">
        <v>13</v>
      </c>
      <c r="AG2843" t="str">
        <f>HYPERLINK("https://doi.org/10.1515/9780748629787")</f>
        <v>https://doi.org/10.1515/9780748629787</v>
      </c>
      <c r="AH2843" t="str">
        <f>HYPERLINK("http://www.degruyter.com/isbn/9780748629787")</f>
        <v>http://www.degruyter.com/isbn/9780748629787</v>
      </c>
      <c r="AI2843" t="s">
        <v>68</v>
      </c>
      <c r="AL2843" t="s">
        <v>62</v>
      </c>
      <c r="AM2843">
        <v>1</v>
      </c>
      <c r="AN2843" s="2">
        <v>9780748628032</v>
      </c>
    </row>
    <row r="2844" spans="1:40" x14ac:dyDescent="0.3">
      <c r="A2844" t="s">
        <v>13415</v>
      </c>
      <c r="B2844" t="s">
        <v>1</v>
      </c>
      <c r="C2844" t="s">
        <v>13416</v>
      </c>
      <c r="D2844" t="s">
        <v>13417</v>
      </c>
      <c r="E2844" t="s">
        <v>13418</v>
      </c>
      <c r="F2844" t="s">
        <v>5</v>
      </c>
      <c r="G2844" t="s">
        <v>6</v>
      </c>
      <c r="L2844" t="s">
        <v>7</v>
      </c>
      <c r="M2844">
        <v>2016</v>
      </c>
      <c r="N2844" s="1">
        <v>42387</v>
      </c>
      <c r="O2844" t="s">
        <v>13419</v>
      </c>
      <c r="P2844">
        <v>1</v>
      </c>
      <c r="Q2844" t="s">
        <v>7423</v>
      </c>
      <c r="S2844">
        <v>217.95</v>
      </c>
      <c r="T2844">
        <v>250</v>
      </c>
      <c r="U2844">
        <v>190</v>
      </c>
      <c r="V2844" t="s">
        <v>58</v>
      </c>
      <c r="W2844" t="s">
        <v>808</v>
      </c>
      <c r="X2844" t="s">
        <v>3096</v>
      </c>
      <c r="Y2844" t="s">
        <v>3097</v>
      </c>
      <c r="AF2844" t="s">
        <v>13</v>
      </c>
      <c r="AG2844" t="str">
        <f>HYPERLINK("https://doi.org/10.1515/9780748697441?locatt=mode:legacy")</f>
        <v>https://doi.org/10.1515/9780748697441?locatt=mode:legacy</v>
      </c>
      <c r="AH2844" t="str">
        <f>HYPERLINK("http://www.degruyter.com/isbn/9780748697441")</f>
        <v>http://www.degruyter.com/isbn/9780748697441</v>
      </c>
      <c r="AI2844" t="s">
        <v>180</v>
      </c>
      <c r="AL2844" t="s">
        <v>62</v>
      </c>
      <c r="AM2844">
        <v>1</v>
      </c>
      <c r="AN2844" s="2">
        <v>9780748697434</v>
      </c>
    </row>
    <row r="2845" spans="1:40" x14ac:dyDescent="0.3">
      <c r="A2845" t="s">
        <v>13420</v>
      </c>
      <c r="B2845" t="s">
        <v>1</v>
      </c>
      <c r="C2845" t="s">
        <v>13421</v>
      </c>
      <c r="D2845" t="s">
        <v>13422</v>
      </c>
      <c r="E2845" t="s">
        <v>13423</v>
      </c>
      <c r="F2845" t="s">
        <v>5</v>
      </c>
      <c r="G2845" t="s">
        <v>6</v>
      </c>
      <c r="L2845" t="s">
        <v>7</v>
      </c>
      <c r="M2845">
        <v>2011</v>
      </c>
      <c r="N2845" s="1">
        <v>40679</v>
      </c>
      <c r="O2845" t="s">
        <v>3925</v>
      </c>
      <c r="P2845">
        <v>1</v>
      </c>
      <c r="Q2845" t="s">
        <v>7194</v>
      </c>
      <c r="S2845">
        <v>253.95</v>
      </c>
      <c r="T2845">
        <v>290</v>
      </c>
      <c r="U2845">
        <v>220</v>
      </c>
      <c r="V2845" t="s">
        <v>79</v>
      </c>
      <c r="W2845" t="s">
        <v>734</v>
      </c>
      <c r="X2845" t="s">
        <v>734</v>
      </c>
      <c r="Y2845" t="s">
        <v>735</v>
      </c>
      <c r="AF2845" t="s">
        <v>13</v>
      </c>
      <c r="AG2845" t="str">
        <f>HYPERLINK("https://doi.org/10.1515/9780748646302?locatt=mode:legacy")</f>
        <v>https://doi.org/10.1515/9780748646302?locatt=mode:legacy</v>
      </c>
      <c r="AH2845" t="str">
        <f>HYPERLINK("http://www.degruyter.com/isbn/9780748646302")</f>
        <v>http://www.degruyter.com/isbn/9780748646302</v>
      </c>
      <c r="AI2845" t="s">
        <v>68</v>
      </c>
      <c r="AL2845" t="s">
        <v>83</v>
      </c>
      <c r="AM2845">
        <v>1</v>
      </c>
      <c r="AN2845" s="2">
        <v>9780748640577</v>
      </c>
    </row>
    <row r="2846" spans="1:40" x14ac:dyDescent="0.3">
      <c r="A2846" t="s">
        <v>13424</v>
      </c>
      <c r="B2846" t="s">
        <v>1</v>
      </c>
      <c r="C2846" t="s">
        <v>13425</v>
      </c>
      <c r="D2846" t="s">
        <v>13426</v>
      </c>
      <c r="E2846" t="s">
        <v>13427</v>
      </c>
      <c r="F2846" t="s">
        <v>5</v>
      </c>
      <c r="G2846" t="s">
        <v>6</v>
      </c>
      <c r="L2846" t="s">
        <v>7</v>
      </c>
      <c r="M2846">
        <v>2021</v>
      </c>
      <c r="N2846" s="1">
        <v>44656</v>
      </c>
      <c r="O2846" t="s">
        <v>13428</v>
      </c>
      <c r="P2846">
        <v>1</v>
      </c>
      <c r="Q2846" t="s">
        <v>7303</v>
      </c>
      <c r="S2846">
        <v>253.95</v>
      </c>
      <c r="T2846">
        <v>290</v>
      </c>
      <c r="U2846">
        <v>220</v>
      </c>
      <c r="V2846" t="s">
        <v>305</v>
      </c>
      <c r="W2846" t="s">
        <v>2566</v>
      </c>
      <c r="X2846" t="s">
        <v>2567</v>
      </c>
      <c r="Y2846" t="s">
        <v>13429</v>
      </c>
      <c r="AF2846" t="s">
        <v>13</v>
      </c>
      <c r="AG2846" t="str">
        <f>HYPERLINK("https://doi.org/10.1515/9781474478847")</f>
        <v>https://doi.org/10.1515/9781474478847</v>
      </c>
      <c r="AH2846" t="str">
        <f>HYPERLINK("http://www.degruyter.com/isbn/9781474478847")</f>
        <v>http://www.degruyter.com/isbn/9781474478847</v>
      </c>
      <c r="AI2846" t="s">
        <v>1936</v>
      </c>
      <c r="AL2846" t="s">
        <v>308</v>
      </c>
      <c r="AM2846">
        <v>1</v>
      </c>
      <c r="AN2846" s="2">
        <v>9781474478816</v>
      </c>
    </row>
    <row r="2847" spans="1:40" x14ac:dyDescent="0.3">
      <c r="A2847" t="s">
        <v>13430</v>
      </c>
      <c r="B2847" t="s">
        <v>1</v>
      </c>
      <c r="C2847" t="s">
        <v>13431</v>
      </c>
      <c r="E2847" t="s">
        <v>13432</v>
      </c>
      <c r="F2847" t="s">
        <v>5</v>
      </c>
      <c r="G2847" t="s">
        <v>6</v>
      </c>
      <c r="L2847" t="s">
        <v>7</v>
      </c>
      <c r="M2847">
        <v>2020</v>
      </c>
      <c r="N2847" s="1">
        <v>44644</v>
      </c>
      <c r="O2847" t="s">
        <v>13433</v>
      </c>
      <c r="P2847">
        <v>1</v>
      </c>
      <c r="Q2847" t="s">
        <v>6606</v>
      </c>
      <c r="S2847">
        <v>217.95</v>
      </c>
      <c r="T2847">
        <v>250</v>
      </c>
      <c r="U2847">
        <v>190</v>
      </c>
      <c r="V2847" t="s">
        <v>42</v>
      </c>
      <c r="W2847" t="s">
        <v>43</v>
      </c>
      <c r="X2847" t="s">
        <v>178</v>
      </c>
      <c r="Y2847" t="s">
        <v>2453</v>
      </c>
      <c r="AF2847" t="s">
        <v>13</v>
      </c>
      <c r="AG2847" t="str">
        <f>HYPERLINK("https://doi.org/10.1515/9781474466707")</f>
        <v>https://doi.org/10.1515/9781474466707</v>
      </c>
      <c r="AH2847" t="str">
        <f>HYPERLINK("http://www.degruyter.com/isbn/9781474466707")</f>
        <v>http://www.degruyter.com/isbn/9781474466707</v>
      </c>
      <c r="AI2847" t="s">
        <v>14</v>
      </c>
      <c r="AL2847" t="s">
        <v>47</v>
      </c>
      <c r="AM2847">
        <v>1</v>
      </c>
      <c r="AN2847" s="2">
        <v>9781474466677</v>
      </c>
    </row>
    <row r="2848" spans="1:40" x14ac:dyDescent="0.3">
      <c r="A2848">
        <v>286882</v>
      </c>
      <c r="B2848" t="s">
        <v>1</v>
      </c>
      <c r="C2848" t="s">
        <v>13434</v>
      </c>
      <c r="D2848" t="s">
        <v>186</v>
      </c>
      <c r="E2848" t="s">
        <v>13434</v>
      </c>
      <c r="F2848" t="s">
        <v>5</v>
      </c>
      <c r="G2848" t="s">
        <v>6</v>
      </c>
      <c r="L2848" t="s">
        <v>7</v>
      </c>
      <c r="M2848">
        <v>1999</v>
      </c>
      <c r="N2848" s="1">
        <v>44502</v>
      </c>
      <c r="P2848">
        <v>1</v>
      </c>
      <c r="S2848">
        <v>20467</v>
      </c>
      <c r="T2848">
        <v>23700</v>
      </c>
      <c r="U2848">
        <v>17407</v>
      </c>
      <c r="V2848" t="s">
        <v>187</v>
      </c>
      <c r="W2848" t="s">
        <v>187</v>
      </c>
      <c r="X2848" t="s">
        <v>187</v>
      </c>
      <c r="Y2848" t="s">
        <v>188</v>
      </c>
      <c r="AF2848" t="s">
        <v>189</v>
      </c>
      <c r="AL2848" t="s">
        <v>190</v>
      </c>
      <c r="AM2848">
        <v>1</v>
      </c>
      <c r="AN2848" s="2"/>
    </row>
    <row r="2849" spans="1:40" x14ac:dyDescent="0.3">
      <c r="A2849">
        <v>286876</v>
      </c>
      <c r="B2849" t="s">
        <v>1</v>
      </c>
      <c r="C2849" t="s">
        <v>13435</v>
      </c>
      <c r="D2849" t="s">
        <v>186</v>
      </c>
      <c r="E2849" t="s">
        <v>13435</v>
      </c>
      <c r="F2849" t="s">
        <v>5</v>
      </c>
      <c r="G2849" t="s">
        <v>6</v>
      </c>
      <c r="L2849" t="s">
        <v>7</v>
      </c>
      <c r="M2849">
        <v>2016</v>
      </c>
      <c r="N2849" s="1">
        <v>44502</v>
      </c>
      <c r="P2849">
        <v>1</v>
      </c>
      <c r="S2849">
        <v>16575.3</v>
      </c>
      <c r="T2849">
        <v>19200</v>
      </c>
      <c r="U2849">
        <v>14094.43</v>
      </c>
      <c r="V2849" t="s">
        <v>187</v>
      </c>
      <c r="W2849" t="s">
        <v>187</v>
      </c>
      <c r="X2849" t="s">
        <v>187</v>
      </c>
      <c r="Y2849" t="s">
        <v>188</v>
      </c>
      <c r="AF2849" t="s">
        <v>189</v>
      </c>
      <c r="AL2849" t="s">
        <v>190</v>
      </c>
      <c r="AM2849">
        <v>1</v>
      </c>
      <c r="AN2849" s="2"/>
    </row>
    <row r="2850" spans="1:40" x14ac:dyDescent="0.3">
      <c r="A2850" t="s">
        <v>13436</v>
      </c>
      <c r="B2850" t="s">
        <v>1</v>
      </c>
      <c r="C2850" t="s">
        <v>13437</v>
      </c>
      <c r="E2850" t="s">
        <v>13438</v>
      </c>
      <c r="F2850" t="s">
        <v>5</v>
      </c>
      <c r="G2850" t="s">
        <v>6</v>
      </c>
      <c r="L2850" t="s">
        <v>7</v>
      </c>
      <c r="M2850">
        <v>2016</v>
      </c>
      <c r="N2850" s="1">
        <v>42541</v>
      </c>
      <c r="O2850" t="s">
        <v>13439</v>
      </c>
      <c r="P2850">
        <v>1</v>
      </c>
      <c r="Q2850" t="s">
        <v>13309</v>
      </c>
      <c r="S2850">
        <v>487.95</v>
      </c>
      <c r="T2850">
        <v>560</v>
      </c>
      <c r="U2850">
        <v>430</v>
      </c>
      <c r="V2850" t="s">
        <v>42</v>
      </c>
      <c r="W2850" t="s">
        <v>107</v>
      </c>
      <c r="X2850" t="s">
        <v>108</v>
      </c>
      <c r="Y2850" t="s">
        <v>109</v>
      </c>
      <c r="AF2850" t="s">
        <v>13</v>
      </c>
      <c r="AG2850" t="str">
        <f>HYPERLINK("https://doi.org/10.1515/9781474400053")</f>
        <v>https://doi.org/10.1515/9781474400053</v>
      </c>
      <c r="AH2850" t="str">
        <f>HYPERLINK("http://www.degruyter.com/isbn/9781474400053")</f>
        <v>http://www.degruyter.com/isbn/9781474400053</v>
      </c>
      <c r="AI2850" t="s">
        <v>180</v>
      </c>
      <c r="AL2850" t="s">
        <v>47</v>
      </c>
      <c r="AM2850">
        <v>1</v>
      </c>
      <c r="AN2850" s="2">
        <v>9781474400046</v>
      </c>
    </row>
    <row r="2851" spans="1:40" x14ac:dyDescent="0.3">
      <c r="A2851" t="s">
        <v>13440</v>
      </c>
      <c r="B2851" t="s">
        <v>1</v>
      </c>
      <c r="C2851" t="s">
        <v>13441</v>
      </c>
      <c r="E2851" t="s">
        <v>13442</v>
      </c>
      <c r="F2851" t="s">
        <v>5</v>
      </c>
      <c r="G2851" t="s">
        <v>6</v>
      </c>
      <c r="L2851" t="s">
        <v>7</v>
      </c>
      <c r="M2851">
        <v>2020</v>
      </c>
      <c r="N2851" s="1">
        <v>44644</v>
      </c>
      <c r="O2851" t="s">
        <v>13443</v>
      </c>
      <c r="P2851">
        <v>1</v>
      </c>
      <c r="Q2851" t="s">
        <v>13444</v>
      </c>
      <c r="S2851">
        <v>253.95</v>
      </c>
      <c r="T2851">
        <v>290</v>
      </c>
      <c r="U2851">
        <v>220</v>
      </c>
      <c r="V2851" t="s">
        <v>268</v>
      </c>
      <c r="W2851" t="s">
        <v>2337</v>
      </c>
      <c r="X2851" t="s">
        <v>2337</v>
      </c>
      <c r="Y2851" t="s">
        <v>2338</v>
      </c>
      <c r="AF2851" t="s">
        <v>13</v>
      </c>
      <c r="AG2851" t="str">
        <f>HYPERLINK("https://doi.org/10.1515/9781474450126")</f>
        <v>https://doi.org/10.1515/9781474450126</v>
      </c>
      <c r="AH2851" t="str">
        <f>HYPERLINK("http://www.degruyter.com/isbn/9781474450126")</f>
        <v>http://www.degruyter.com/isbn/9781474450126</v>
      </c>
      <c r="AI2851" t="s">
        <v>13445</v>
      </c>
      <c r="AL2851" t="s">
        <v>272</v>
      </c>
      <c r="AM2851">
        <v>1</v>
      </c>
      <c r="AN2851" s="2">
        <v>9781474450102</v>
      </c>
    </row>
    <row r="2852" spans="1:40" x14ac:dyDescent="0.3">
      <c r="A2852" t="s">
        <v>13446</v>
      </c>
      <c r="B2852" t="s">
        <v>1</v>
      </c>
      <c r="C2852" t="s">
        <v>13447</v>
      </c>
      <c r="E2852" t="s">
        <v>13448</v>
      </c>
      <c r="F2852" t="s">
        <v>5</v>
      </c>
      <c r="G2852" t="s">
        <v>6</v>
      </c>
      <c r="L2852" t="s">
        <v>7</v>
      </c>
      <c r="M2852">
        <v>2020</v>
      </c>
      <c r="N2852" s="1">
        <v>44656</v>
      </c>
      <c r="O2852" t="s">
        <v>13449</v>
      </c>
      <c r="P2852">
        <v>1</v>
      </c>
      <c r="Q2852" t="s">
        <v>13309</v>
      </c>
      <c r="S2852">
        <v>415.95</v>
      </c>
      <c r="T2852">
        <v>470</v>
      </c>
      <c r="U2852">
        <v>360</v>
      </c>
      <c r="V2852" t="s">
        <v>98</v>
      </c>
      <c r="W2852" t="s">
        <v>1513</v>
      </c>
      <c r="X2852" t="s">
        <v>1514</v>
      </c>
      <c r="Y2852" t="s">
        <v>1515</v>
      </c>
      <c r="AF2852" t="s">
        <v>13</v>
      </c>
      <c r="AG2852" t="str">
        <f>HYPERLINK("https://doi.org/10.1515/9781474456630")</f>
        <v>https://doi.org/10.1515/9781474456630</v>
      </c>
      <c r="AH2852" t="str">
        <f>HYPERLINK("http://www.degruyter.com/isbn/9781474456630")</f>
        <v>http://www.degruyter.com/isbn/9781474456630</v>
      </c>
      <c r="AI2852" t="s">
        <v>14</v>
      </c>
      <c r="AL2852" t="s">
        <v>102</v>
      </c>
      <c r="AM2852">
        <v>1</v>
      </c>
      <c r="AN2852" s="2">
        <v>9781474456623</v>
      </c>
    </row>
    <row r="2853" spans="1:40" x14ac:dyDescent="0.3">
      <c r="A2853" t="s">
        <v>13450</v>
      </c>
      <c r="B2853" t="s">
        <v>1</v>
      </c>
      <c r="C2853" t="s">
        <v>13451</v>
      </c>
      <c r="D2853" t="s">
        <v>13452</v>
      </c>
      <c r="E2853" t="s">
        <v>13453</v>
      </c>
      <c r="F2853" t="s">
        <v>5</v>
      </c>
      <c r="G2853" t="s">
        <v>6</v>
      </c>
      <c r="L2853" t="s">
        <v>7</v>
      </c>
      <c r="M2853">
        <v>2020</v>
      </c>
      <c r="N2853" s="1">
        <v>44656</v>
      </c>
      <c r="O2853" t="s">
        <v>9991</v>
      </c>
      <c r="P2853">
        <v>1</v>
      </c>
      <c r="Q2853" t="s">
        <v>13444</v>
      </c>
      <c r="S2853">
        <v>217.95</v>
      </c>
      <c r="T2853">
        <v>250</v>
      </c>
      <c r="U2853">
        <v>190</v>
      </c>
      <c r="V2853" t="s">
        <v>268</v>
      </c>
      <c r="W2853" t="s">
        <v>269</v>
      </c>
      <c r="X2853" t="s">
        <v>269</v>
      </c>
      <c r="Y2853" t="s">
        <v>360</v>
      </c>
      <c r="AF2853" t="s">
        <v>13</v>
      </c>
      <c r="AG2853" t="str">
        <f>HYPERLINK("https://doi.org/10.1515/9781474455954?locatt=mode:legacy")</f>
        <v>https://doi.org/10.1515/9781474455954?locatt=mode:legacy</v>
      </c>
      <c r="AH2853" t="str">
        <f>HYPERLINK("http://www.degruyter.com/isbn/9781474455954")</f>
        <v>http://www.degruyter.com/isbn/9781474455954</v>
      </c>
      <c r="AI2853" t="s">
        <v>13454</v>
      </c>
      <c r="AL2853" t="s">
        <v>272</v>
      </c>
      <c r="AM2853">
        <v>1</v>
      </c>
      <c r="AN2853" s="2">
        <v>9781474455930</v>
      </c>
    </row>
    <row r="2854" spans="1:40" x14ac:dyDescent="0.3">
      <c r="A2854" t="s">
        <v>13455</v>
      </c>
      <c r="B2854" t="s">
        <v>1</v>
      </c>
      <c r="C2854" t="s">
        <v>13456</v>
      </c>
      <c r="D2854" t="s">
        <v>13457</v>
      </c>
      <c r="E2854" t="s">
        <v>13458</v>
      </c>
      <c r="F2854" t="s">
        <v>5</v>
      </c>
      <c r="G2854" t="s">
        <v>6</v>
      </c>
      <c r="K2854" t="s">
        <v>929</v>
      </c>
      <c r="L2854" t="s">
        <v>7</v>
      </c>
      <c r="M2854">
        <v>2020</v>
      </c>
      <c r="N2854" s="1">
        <v>43840</v>
      </c>
      <c r="O2854" t="s">
        <v>13459</v>
      </c>
      <c r="P2854">
        <v>1</v>
      </c>
      <c r="Q2854" t="s">
        <v>13460</v>
      </c>
      <c r="V2854" t="s">
        <v>20</v>
      </c>
      <c r="W2854" t="s">
        <v>21</v>
      </c>
      <c r="X2854" t="s">
        <v>458</v>
      </c>
      <c r="Y2854" t="s">
        <v>459</v>
      </c>
      <c r="AF2854" t="s">
        <v>13</v>
      </c>
      <c r="AG2854" t="str">
        <f>HYPERLINK("https://doi.org/10.1515/9781474423229")</f>
        <v>https://doi.org/10.1515/9781474423229</v>
      </c>
      <c r="AH2854" t="str">
        <f>HYPERLINK("http://www.degruyter.com/isbn/9781474423229")</f>
        <v>http://www.degruyter.com/isbn/9781474423229</v>
      </c>
      <c r="AI2854" t="s">
        <v>14</v>
      </c>
      <c r="AM2854">
        <v>1</v>
      </c>
      <c r="AN2854" s="2"/>
    </row>
    <row r="2855" spans="1:40" x14ac:dyDescent="0.3">
      <c r="A2855" t="s">
        <v>13461</v>
      </c>
      <c r="B2855" t="s">
        <v>1</v>
      </c>
      <c r="C2855" t="s">
        <v>13462</v>
      </c>
      <c r="D2855" t="s">
        <v>13463</v>
      </c>
      <c r="E2855" t="s">
        <v>13464</v>
      </c>
      <c r="F2855" t="s">
        <v>5</v>
      </c>
      <c r="G2855" t="s">
        <v>6</v>
      </c>
      <c r="L2855" t="s">
        <v>7</v>
      </c>
      <c r="M2855">
        <v>2008</v>
      </c>
      <c r="N2855" s="1">
        <v>39749</v>
      </c>
      <c r="O2855" t="s">
        <v>13465</v>
      </c>
      <c r="P2855">
        <v>1</v>
      </c>
      <c r="Q2855" t="s">
        <v>12993</v>
      </c>
      <c r="S2855">
        <v>227.95</v>
      </c>
      <c r="T2855">
        <v>260</v>
      </c>
      <c r="U2855">
        <v>200</v>
      </c>
      <c r="V2855" t="s">
        <v>42</v>
      </c>
      <c r="W2855" t="s">
        <v>116</v>
      </c>
      <c r="X2855" t="s">
        <v>116</v>
      </c>
      <c r="Y2855" t="s">
        <v>1129</v>
      </c>
      <c r="AF2855" t="s">
        <v>13</v>
      </c>
      <c r="AH2855" t="str">
        <f>HYPERLINK("http://www.degruyter.com/isbn/9780748630509")</f>
        <v>http://www.degruyter.com/isbn/9780748630509</v>
      </c>
      <c r="AI2855" t="s">
        <v>68</v>
      </c>
      <c r="AL2855" t="s">
        <v>47</v>
      </c>
      <c r="AM2855">
        <v>1</v>
      </c>
      <c r="AN2855" s="2">
        <v>9780748624881</v>
      </c>
    </row>
    <row r="2856" spans="1:40" x14ac:dyDescent="0.3">
      <c r="A2856" t="s">
        <v>13466</v>
      </c>
      <c r="B2856" t="s">
        <v>1</v>
      </c>
      <c r="C2856" t="s">
        <v>13467</v>
      </c>
      <c r="E2856" t="s">
        <v>13468</v>
      </c>
      <c r="F2856" t="s">
        <v>5</v>
      </c>
      <c r="G2856" t="s">
        <v>6</v>
      </c>
      <c r="L2856" t="s">
        <v>7</v>
      </c>
      <c r="M2856">
        <v>2015</v>
      </c>
      <c r="N2856" s="1">
        <v>42192</v>
      </c>
      <c r="O2856" t="s">
        <v>13469</v>
      </c>
      <c r="P2856">
        <v>1</v>
      </c>
      <c r="Q2856" t="s">
        <v>13460</v>
      </c>
      <c r="S2856">
        <v>217.95</v>
      </c>
      <c r="T2856">
        <v>250</v>
      </c>
      <c r="U2856">
        <v>190</v>
      </c>
      <c r="V2856" t="s">
        <v>20</v>
      </c>
      <c r="W2856" t="s">
        <v>21</v>
      </c>
      <c r="X2856" t="s">
        <v>458</v>
      </c>
      <c r="Y2856" t="s">
        <v>1816</v>
      </c>
      <c r="AF2856" t="s">
        <v>13</v>
      </c>
      <c r="AG2856" t="str">
        <f>HYPERLINK("https://doi.org/10.1515/9780748694228?locatt=mode:legacy")</f>
        <v>https://doi.org/10.1515/9780748694228?locatt=mode:legacy</v>
      </c>
      <c r="AH2856" t="str">
        <f>HYPERLINK("http://www.degruyter.com/isbn/9780748694228")</f>
        <v>http://www.degruyter.com/isbn/9780748694228</v>
      </c>
      <c r="AI2856" t="s">
        <v>34</v>
      </c>
      <c r="AL2856" t="s">
        <v>15</v>
      </c>
      <c r="AM2856">
        <v>1</v>
      </c>
      <c r="AN2856" s="2">
        <v>9780748694211</v>
      </c>
    </row>
    <row r="2857" spans="1:40" x14ac:dyDescent="0.3">
      <c r="A2857" t="s">
        <v>13470</v>
      </c>
      <c r="B2857" t="s">
        <v>1</v>
      </c>
      <c r="C2857" t="s">
        <v>13471</v>
      </c>
      <c r="D2857" t="s">
        <v>13472</v>
      </c>
      <c r="E2857" t="s">
        <v>13473</v>
      </c>
      <c r="F2857" t="s">
        <v>5</v>
      </c>
      <c r="G2857" t="s">
        <v>6</v>
      </c>
      <c r="L2857" t="s">
        <v>7</v>
      </c>
      <c r="M2857">
        <v>2017</v>
      </c>
      <c r="N2857" s="1">
        <v>42898</v>
      </c>
      <c r="O2857" t="s">
        <v>13474</v>
      </c>
      <c r="P2857">
        <v>1</v>
      </c>
      <c r="Q2857" t="s">
        <v>13361</v>
      </c>
      <c r="S2857">
        <v>217.95</v>
      </c>
      <c r="T2857">
        <v>250</v>
      </c>
      <c r="U2857">
        <v>190</v>
      </c>
      <c r="V2857" t="s">
        <v>42</v>
      </c>
      <c r="W2857" t="s">
        <v>43</v>
      </c>
      <c r="X2857" t="s">
        <v>178</v>
      </c>
      <c r="Y2857" t="s">
        <v>13475</v>
      </c>
      <c r="AF2857" t="s">
        <v>13</v>
      </c>
      <c r="AG2857" t="str">
        <f>HYPERLINK("https://doi.org/10.1515/9781474418393?locatt=mode:legacy")</f>
        <v>https://doi.org/10.1515/9781474418393?locatt=mode:legacy</v>
      </c>
      <c r="AH2857" t="str">
        <f>HYPERLINK("http://www.degruyter.com/isbn/9781474418393")</f>
        <v>http://www.degruyter.com/isbn/9781474418393</v>
      </c>
      <c r="AI2857" t="s">
        <v>222</v>
      </c>
      <c r="AL2857" t="s">
        <v>47</v>
      </c>
      <c r="AM2857">
        <v>1</v>
      </c>
      <c r="AN2857" s="2">
        <v>9781474418386</v>
      </c>
    </row>
    <row r="2858" spans="1:40" x14ac:dyDescent="0.3">
      <c r="A2858" t="s">
        <v>13476</v>
      </c>
      <c r="B2858" t="s">
        <v>1</v>
      </c>
      <c r="C2858" t="s">
        <v>13477</v>
      </c>
      <c r="E2858" t="s">
        <v>13478</v>
      </c>
      <c r="F2858" t="s">
        <v>5</v>
      </c>
      <c r="G2858" t="s">
        <v>6</v>
      </c>
      <c r="L2858" t="s">
        <v>7</v>
      </c>
      <c r="M2858">
        <v>2019</v>
      </c>
      <c r="N2858" s="1">
        <v>44644</v>
      </c>
      <c r="O2858" t="s">
        <v>13479</v>
      </c>
      <c r="P2858">
        <v>1</v>
      </c>
      <c r="Q2858" t="s">
        <v>12952</v>
      </c>
      <c r="S2858">
        <v>305.95</v>
      </c>
      <c r="T2858">
        <v>350</v>
      </c>
      <c r="U2858">
        <v>270</v>
      </c>
      <c r="V2858" t="s">
        <v>42</v>
      </c>
      <c r="W2858" t="s">
        <v>116</v>
      </c>
      <c r="X2858" t="s">
        <v>116</v>
      </c>
      <c r="Y2858" t="s">
        <v>117</v>
      </c>
      <c r="AF2858" t="s">
        <v>13</v>
      </c>
      <c r="AG2858" t="str">
        <f>HYPERLINK("https://doi.org/10.1515/9781474443258")</f>
        <v>https://doi.org/10.1515/9781474443258</v>
      </c>
      <c r="AH2858" t="str">
        <f>HYPERLINK("http://www.degruyter.com/isbn/9781474443258")</f>
        <v>http://www.degruyter.com/isbn/9781474443258</v>
      </c>
      <c r="AI2858" t="s">
        <v>280</v>
      </c>
      <c r="AL2858" t="s">
        <v>47</v>
      </c>
      <c r="AM2858">
        <v>1</v>
      </c>
      <c r="AN2858" s="2">
        <v>9781474443234</v>
      </c>
    </row>
    <row r="2859" spans="1:40" x14ac:dyDescent="0.3">
      <c r="A2859" t="s">
        <v>13480</v>
      </c>
      <c r="B2859" t="s">
        <v>1</v>
      </c>
      <c r="C2859" t="s">
        <v>13481</v>
      </c>
      <c r="E2859" t="s">
        <v>13482</v>
      </c>
      <c r="F2859" t="s">
        <v>5</v>
      </c>
      <c r="G2859" t="s">
        <v>6</v>
      </c>
      <c r="L2859" t="s">
        <v>7</v>
      </c>
      <c r="M2859">
        <v>2018</v>
      </c>
      <c r="N2859" s="1">
        <v>44656</v>
      </c>
      <c r="O2859" t="s">
        <v>13483</v>
      </c>
      <c r="P2859">
        <v>1</v>
      </c>
      <c r="Q2859" t="s">
        <v>13309</v>
      </c>
      <c r="S2859">
        <v>417.95</v>
      </c>
      <c r="T2859">
        <v>480</v>
      </c>
      <c r="U2859">
        <v>370</v>
      </c>
      <c r="V2859" t="s">
        <v>42</v>
      </c>
      <c r="W2859" t="s">
        <v>107</v>
      </c>
      <c r="X2859" t="s">
        <v>108</v>
      </c>
      <c r="Y2859" t="s">
        <v>952</v>
      </c>
      <c r="AF2859" t="s">
        <v>13</v>
      </c>
      <c r="AG2859" t="str">
        <f>HYPERLINK("https://doi.org/10.1515/9781474424417")</f>
        <v>https://doi.org/10.1515/9781474424417</v>
      </c>
      <c r="AH2859" t="str">
        <f>HYPERLINK("http://www.degruyter.com/isbn/9781474424417")</f>
        <v>http://www.degruyter.com/isbn/9781474424417</v>
      </c>
      <c r="AI2859" t="s">
        <v>46</v>
      </c>
      <c r="AL2859" t="s">
        <v>47</v>
      </c>
      <c r="AM2859">
        <v>1</v>
      </c>
      <c r="AN2859" s="2">
        <v>9781474424400</v>
      </c>
    </row>
    <row r="2860" spans="1:40" x14ac:dyDescent="0.3">
      <c r="A2860" t="s">
        <v>13484</v>
      </c>
      <c r="B2860" t="s">
        <v>1</v>
      </c>
      <c r="C2860" t="s">
        <v>13485</v>
      </c>
      <c r="D2860" t="s">
        <v>13486</v>
      </c>
      <c r="E2860" t="s">
        <v>13487</v>
      </c>
      <c r="F2860" t="s">
        <v>5</v>
      </c>
      <c r="G2860" t="s">
        <v>6</v>
      </c>
      <c r="L2860" t="s">
        <v>7</v>
      </c>
      <c r="M2860">
        <v>2019</v>
      </c>
      <c r="N2860" s="1">
        <v>44644</v>
      </c>
      <c r="O2860" t="s">
        <v>13488</v>
      </c>
      <c r="P2860">
        <v>1</v>
      </c>
      <c r="Q2860" t="s">
        <v>12952</v>
      </c>
      <c r="S2860">
        <v>217.95</v>
      </c>
      <c r="T2860">
        <v>250</v>
      </c>
      <c r="U2860">
        <v>190</v>
      </c>
      <c r="V2860" t="s">
        <v>42</v>
      </c>
      <c r="W2860" t="s">
        <v>107</v>
      </c>
      <c r="X2860" t="s">
        <v>108</v>
      </c>
      <c r="Y2860" t="s">
        <v>109</v>
      </c>
      <c r="AF2860" t="s">
        <v>13</v>
      </c>
      <c r="AG2860" t="str">
        <f>HYPERLINK("https://doi.org/10.1515/9781474440905")</f>
        <v>https://doi.org/10.1515/9781474440905</v>
      </c>
      <c r="AH2860" t="str">
        <f>HYPERLINK("http://www.degruyter.com/isbn/9781474440905")</f>
        <v>http://www.degruyter.com/isbn/9781474440905</v>
      </c>
      <c r="AI2860" t="s">
        <v>280</v>
      </c>
      <c r="AL2860" t="s">
        <v>47</v>
      </c>
      <c r="AM2860">
        <v>1</v>
      </c>
      <c r="AN2860" s="2">
        <v>9781474440882</v>
      </c>
    </row>
    <row r="2861" spans="1:40" x14ac:dyDescent="0.3">
      <c r="A2861" t="s">
        <v>13489</v>
      </c>
      <c r="B2861" t="s">
        <v>1</v>
      </c>
      <c r="C2861" t="s">
        <v>13490</v>
      </c>
      <c r="D2861" t="s">
        <v>13491</v>
      </c>
      <c r="E2861" t="s">
        <v>13492</v>
      </c>
      <c r="F2861" t="s">
        <v>5</v>
      </c>
      <c r="G2861" t="s">
        <v>6</v>
      </c>
      <c r="L2861" t="s">
        <v>7</v>
      </c>
      <c r="M2861">
        <v>2020</v>
      </c>
      <c r="N2861" s="1">
        <v>44644</v>
      </c>
      <c r="O2861" t="s">
        <v>13493</v>
      </c>
      <c r="P2861">
        <v>1</v>
      </c>
      <c r="Q2861" t="s">
        <v>13361</v>
      </c>
      <c r="S2861">
        <v>243.95</v>
      </c>
      <c r="T2861">
        <v>280</v>
      </c>
      <c r="U2861">
        <v>210</v>
      </c>
      <c r="V2861" t="s">
        <v>42</v>
      </c>
      <c r="W2861" t="s">
        <v>107</v>
      </c>
      <c r="X2861" t="s">
        <v>108</v>
      </c>
      <c r="Y2861" t="s">
        <v>109</v>
      </c>
      <c r="AF2861" t="s">
        <v>13</v>
      </c>
      <c r="AG2861" t="str">
        <f>HYPERLINK("https://doi.org/10.1515/9781474457125")</f>
        <v>https://doi.org/10.1515/9781474457125</v>
      </c>
      <c r="AH2861" t="str">
        <f>HYPERLINK("http://www.degruyter.com/isbn/9781474457125")</f>
        <v>http://www.degruyter.com/isbn/9781474457125</v>
      </c>
      <c r="AI2861" t="s">
        <v>14</v>
      </c>
      <c r="AL2861" t="s">
        <v>47</v>
      </c>
      <c r="AM2861">
        <v>1</v>
      </c>
      <c r="AN2861" s="2">
        <v>9781474457101</v>
      </c>
    </row>
    <row r="2862" spans="1:40" x14ac:dyDescent="0.3">
      <c r="A2862" t="s">
        <v>13494</v>
      </c>
      <c r="B2862" t="s">
        <v>1</v>
      </c>
      <c r="C2862" t="s">
        <v>13495</v>
      </c>
      <c r="E2862" t="s">
        <v>13496</v>
      </c>
      <c r="F2862" t="s">
        <v>5</v>
      </c>
      <c r="G2862" t="s">
        <v>6</v>
      </c>
      <c r="L2862" t="s">
        <v>7</v>
      </c>
      <c r="M2862">
        <v>2002</v>
      </c>
      <c r="N2862" s="1">
        <v>37575</v>
      </c>
      <c r="O2862" t="s">
        <v>13497</v>
      </c>
      <c r="P2862">
        <v>1</v>
      </c>
      <c r="Q2862" t="s">
        <v>12993</v>
      </c>
      <c r="S2862">
        <v>227.95</v>
      </c>
      <c r="T2862">
        <v>260</v>
      </c>
      <c r="U2862">
        <v>200</v>
      </c>
      <c r="V2862" t="s">
        <v>42</v>
      </c>
      <c r="W2862" t="s">
        <v>116</v>
      </c>
      <c r="X2862" t="s">
        <v>116</v>
      </c>
      <c r="Y2862" t="s">
        <v>117</v>
      </c>
      <c r="AF2862" t="s">
        <v>13</v>
      </c>
      <c r="AG2862" t="str">
        <f>HYPERLINK("https://doi.org/10.1515/9781474433822")</f>
        <v>https://doi.org/10.1515/9781474433822</v>
      </c>
      <c r="AH2862" t="str">
        <f>HYPERLINK("http://www.degruyter.com/isbn/9781474433822")</f>
        <v>http://www.degruyter.com/isbn/9781474433822</v>
      </c>
      <c r="AI2862" t="s">
        <v>68</v>
      </c>
      <c r="AL2862" t="s">
        <v>47</v>
      </c>
      <c r="AM2862">
        <v>1</v>
      </c>
      <c r="AN2862" s="2">
        <v>9780748615568</v>
      </c>
    </row>
    <row r="2863" spans="1:40" x14ac:dyDescent="0.3">
      <c r="A2863" t="s">
        <v>13498</v>
      </c>
      <c r="B2863" t="s">
        <v>1</v>
      </c>
      <c r="C2863" t="s">
        <v>13499</v>
      </c>
      <c r="D2863" t="s">
        <v>13500</v>
      </c>
      <c r="E2863" t="s">
        <v>13501</v>
      </c>
      <c r="F2863" t="s">
        <v>5</v>
      </c>
      <c r="G2863" t="s">
        <v>6</v>
      </c>
      <c r="L2863" t="s">
        <v>7</v>
      </c>
      <c r="M2863">
        <v>2016</v>
      </c>
      <c r="N2863" s="1">
        <v>42550</v>
      </c>
      <c r="O2863" t="s">
        <v>13502</v>
      </c>
      <c r="P2863">
        <v>1</v>
      </c>
      <c r="Q2863" t="s">
        <v>13361</v>
      </c>
      <c r="S2863">
        <v>217.95</v>
      </c>
      <c r="T2863">
        <v>250</v>
      </c>
      <c r="U2863">
        <v>190</v>
      </c>
      <c r="V2863" t="s">
        <v>42</v>
      </c>
      <c r="W2863" t="s">
        <v>107</v>
      </c>
      <c r="X2863" t="s">
        <v>108</v>
      </c>
      <c r="Y2863" t="s">
        <v>109</v>
      </c>
      <c r="AF2863" t="s">
        <v>13</v>
      </c>
      <c r="AG2863" t="str">
        <f>HYPERLINK("https://doi.org/10.1515/9781474411462")</f>
        <v>https://doi.org/10.1515/9781474411462</v>
      </c>
      <c r="AH2863" t="str">
        <f>HYPERLINK("http://www.degruyter.com/isbn/9781474411462")</f>
        <v>http://www.degruyter.com/isbn/9781474411462</v>
      </c>
      <c r="AI2863" t="s">
        <v>180</v>
      </c>
      <c r="AL2863" t="s">
        <v>47</v>
      </c>
      <c r="AM2863">
        <v>1</v>
      </c>
      <c r="AN2863" s="2">
        <v>9781474411455</v>
      </c>
    </row>
    <row r="2864" spans="1:40" x14ac:dyDescent="0.3">
      <c r="A2864" t="s">
        <v>13503</v>
      </c>
      <c r="B2864" t="s">
        <v>1</v>
      </c>
      <c r="C2864" t="s">
        <v>13504</v>
      </c>
      <c r="D2864" t="s">
        <v>13505</v>
      </c>
      <c r="E2864" t="s">
        <v>13506</v>
      </c>
      <c r="F2864" t="s">
        <v>5</v>
      </c>
      <c r="G2864" t="s">
        <v>6</v>
      </c>
      <c r="L2864" t="s">
        <v>7</v>
      </c>
      <c r="M2864">
        <v>2020</v>
      </c>
      <c r="N2864" s="1">
        <v>44656</v>
      </c>
      <c r="O2864" t="s">
        <v>13507</v>
      </c>
      <c r="P2864">
        <v>1</v>
      </c>
      <c r="Q2864" t="s">
        <v>13460</v>
      </c>
      <c r="S2864">
        <v>217.95</v>
      </c>
      <c r="T2864">
        <v>250</v>
      </c>
      <c r="U2864">
        <v>190</v>
      </c>
      <c r="V2864" t="s">
        <v>20</v>
      </c>
      <c r="W2864" t="s">
        <v>21</v>
      </c>
      <c r="X2864" t="s">
        <v>458</v>
      </c>
      <c r="Y2864" t="s">
        <v>1816</v>
      </c>
      <c r="AF2864" t="s">
        <v>13</v>
      </c>
      <c r="AG2864" t="str">
        <f>HYPERLINK("https://doi.org/10.1515/9781474459266?locatt=mode:legacy")</f>
        <v>https://doi.org/10.1515/9781474459266?locatt=mode:legacy</v>
      </c>
      <c r="AH2864" t="str">
        <f>HYPERLINK("http://www.degruyter.com/isbn/9781474459266")</f>
        <v>http://www.degruyter.com/isbn/9781474459266</v>
      </c>
      <c r="AI2864" t="s">
        <v>14</v>
      </c>
      <c r="AL2864" t="s">
        <v>15</v>
      </c>
      <c r="AM2864">
        <v>1</v>
      </c>
      <c r="AN2864" s="2">
        <v>9781474459235</v>
      </c>
    </row>
    <row r="2865" spans="1:40" x14ac:dyDescent="0.3">
      <c r="A2865" t="s">
        <v>13508</v>
      </c>
      <c r="B2865" t="s">
        <v>1</v>
      </c>
      <c r="C2865" t="s">
        <v>13462</v>
      </c>
      <c r="D2865" t="s">
        <v>13509</v>
      </c>
      <c r="E2865" t="s">
        <v>13464</v>
      </c>
      <c r="F2865" t="s">
        <v>5</v>
      </c>
      <c r="G2865" t="s">
        <v>6</v>
      </c>
      <c r="L2865" t="s">
        <v>7</v>
      </c>
      <c r="M2865">
        <v>2012</v>
      </c>
      <c r="N2865" s="1">
        <v>41073</v>
      </c>
      <c r="O2865" t="s">
        <v>13465</v>
      </c>
      <c r="P2865">
        <v>1</v>
      </c>
      <c r="Q2865" t="s">
        <v>12993</v>
      </c>
      <c r="S2865">
        <v>253.95</v>
      </c>
      <c r="T2865">
        <v>290</v>
      </c>
      <c r="U2865">
        <v>220</v>
      </c>
      <c r="V2865" t="s">
        <v>42</v>
      </c>
      <c r="W2865" t="s">
        <v>107</v>
      </c>
      <c r="X2865" t="s">
        <v>108</v>
      </c>
      <c r="Y2865" t="s">
        <v>952</v>
      </c>
      <c r="AF2865" t="s">
        <v>13</v>
      </c>
      <c r="AG2865" t="str">
        <f>HYPERLINK("https://doi.org/10.1515/9781474479103")</f>
        <v>https://doi.org/10.1515/9781474479103</v>
      </c>
      <c r="AH2865" t="str">
        <f>HYPERLINK("http://www.degruyter.com/isbn/9781474479103")</f>
        <v>http://www.degruyter.com/isbn/9781474479103</v>
      </c>
      <c r="AI2865" t="s">
        <v>68</v>
      </c>
      <c r="AL2865" t="s">
        <v>47</v>
      </c>
      <c r="AM2865">
        <v>1</v>
      </c>
      <c r="AN2865" s="2">
        <v>9780748624898</v>
      </c>
    </row>
    <row r="2866" spans="1:40" x14ac:dyDescent="0.3">
      <c r="A2866" t="s">
        <v>13510</v>
      </c>
      <c r="B2866" t="s">
        <v>1</v>
      </c>
      <c r="C2866" t="s">
        <v>13511</v>
      </c>
      <c r="E2866" t="s">
        <v>13512</v>
      </c>
      <c r="F2866" t="s">
        <v>5</v>
      </c>
      <c r="G2866" t="s">
        <v>6</v>
      </c>
      <c r="L2866" t="s">
        <v>7</v>
      </c>
      <c r="M2866">
        <v>2018</v>
      </c>
      <c r="N2866" s="1">
        <v>44656</v>
      </c>
      <c r="O2866" t="s">
        <v>13513</v>
      </c>
      <c r="P2866">
        <v>1</v>
      </c>
      <c r="Q2866" t="s">
        <v>13361</v>
      </c>
      <c r="S2866">
        <v>227.95</v>
      </c>
      <c r="T2866">
        <v>260</v>
      </c>
      <c r="U2866">
        <v>200</v>
      </c>
      <c r="V2866" t="s">
        <v>42</v>
      </c>
      <c r="W2866" t="s">
        <v>107</v>
      </c>
      <c r="X2866" t="s">
        <v>108</v>
      </c>
      <c r="Y2866" t="s">
        <v>109</v>
      </c>
      <c r="AF2866" t="s">
        <v>13</v>
      </c>
      <c r="AG2866" t="str">
        <f>HYPERLINK("https://doi.org/10.1515/9781474440288")</f>
        <v>https://doi.org/10.1515/9781474440288</v>
      </c>
      <c r="AH2866" t="str">
        <f>HYPERLINK("http://www.degruyter.com/isbn/9781474440288")</f>
        <v>http://www.degruyter.com/isbn/9781474440288</v>
      </c>
      <c r="AI2866" t="s">
        <v>46</v>
      </c>
      <c r="AL2866" t="s">
        <v>47</v>
      </c>
      <c r="AM2866">
        <v>1</v>
      </c>
      <c r="AN2866" s="2">
        <v>9781474440264</v>
      </c>
    </row>
    <row r="2867" spans="1:40" x14ac:dyDescent="0.3">
      <c r="A2867" t="s">
        <v>13514</v>
      </c>
      <c r="B2867" t="s">
        <v>1</v>
      </c>
      <c r="C2867" t="s">
        <v>13515</v>
      </c>
      <c r="D2867" t="s">
        <v>13516</v>
      </c>
      <c r="E2867" t="s">
        <v>13517</v>
      </c>
      <c r="F2867" t="s">
        <v>5</v>
      </c>
      <c r="G2867" t="s">
        <v>6</v>
      </c>
      <c r="L2867" t="s">
        <v>7</v>
      </c>
      <c r="M2867">
        <v>2021</v>
      </c>
      <c r="N2867" s="1">
        <v>44656</v>
      </c>
      <c r="O2867" t="s">
        <v>13518</v>
      </c>
      <c r="P2867">
        <v>1</v>
      </c>
      <c r="Q2867" t="s">
        <v>13460</v>
      </c>
      <c r="S2867">
        <v>217.95</v>
      </c>
      <c r="T2867">
        <v>250</v>
      </c>
      <c r="U2867">
        <v>190</v>
      </c>
      <c r="V2867" t="s">
        <v>42</v>
      </c>
      <c r="W2867" t="s">
        <v>161</v>
      </c>
      <c r="X2867" t="s">
        <v>162</v>
      </c>
      <c r="Y2867" t="s">
        <v>393</v>
      </c>
      <c r="AF2867" t="s">
        <v>13</v>
      </c>
      <c r="AG2867" t="str">
        <f>HYPERLINK("https://doi.org/10.1515/9781474486361")</f>
        <v>https://doi.org/10.1515/9781474486361</v>
      </c>
      <c r="AH2867" t="str">
        <f>HYPERLINK("http://www.degruyter.com/isbn/9781474486361")</f>
        <v>http://www.degruyter.com/isbn/9781474486361</v>
      </c>
      <c r="AI2867" t="s">
        <v>110</v>
      </c>
      <c r="AL2867" t="s">
        <v>47</v>
      </c>
      <c r="AM2867">
        <v>1</v>
      </c>
      <c r="AN2867" s="2">
        <v>9781474486330</v>
      </c>
    </row>
    <row r="2868" spans="1:40" x14ac:dyDescent="0.3">
      <c r="A2868" t="s">
        <v>13519</v>
      </c>
      <c r="B2868" t="s">
        <v>1</v>
      </c>
      <c r="C2868" t="s">
        <v>13520</v>
      </c>
      <c r="E2868" t="s">
        <v>13521</v>
      </c>
      <c r="F2868" t="s">
        <v>5</v>
      </c>
      <c r="G2868" t="s">
        <v>6</v>
      </c>
      <c r="L2868" t="s">
        <v>7</v>
      </c>
      <c r="M2868">
        <v>2011</v>
      </c>
      <c r="N2868" s="1">
        <v>40828</v>
      </c>
      <c r="O2868" t="s">
        <v>13522</v>
      </c>
      <c r="P2868">
        <v>1</v>
      </c>
      <c r="Q2868" t="s">
        <v>13309</v>
      </c>
      <c r="S2868">
        <v>453.95</v>
      </c>
      <c r="T2868">
        <v>520</v>
      </c>
      <c r="U2868">
        <v>400</v>
      </c>
      <c r="V2868" t="s">
        <v>42</v>
      </c>
      <c r="W2868" t="s">
        <v>107</v>
      </c>
      <c r="X2868" t="s">
        <v>108</v>
      </c>
      <c r="Y2868" t="s">
        <v>2244</v>
      </c>
      <c r="AF2868" t="s">
        <v>13</v>
      </c>
      <c r="AG2868" t="str">
        <f>HYPERLINK("https://doi.org/10.1515/9780748635245?locatt=mode:legacy")</f>
        <v>https://doi.org/10.1515/9780748635245?locatt=mode:legacy</v>
      </c>
      <c r="AH2868" t="str">
        <f>HYPERLINK("http://www.degruyter.com/isbn/9780748635245")</f>
        <v>http://www.degruyter.com/isbn/9780748635245</v>
      </c>
      <c r="AI2868" t="s">
        <v>68</v>
      </c>
      <c r="AL2868" t="s">
        <v>47</v>
      </c>
      <c r="AM2868">
        <v>1</v>
      </c>
      <c r="AN2868" s="2">
        <v>9780748635238</v>
      </c>
    </row>
    <row r="2869" spans="1:40" x14ac:dyDescent="0.3">
      <c r="A2869" t="s">
        <v>13523</v>
      </c>
      <c r="B2869" t="s">
        <v>1</v>
      </c>
      <c r="C2869" t="s">
        <v>13524</v>
      </c>
      <c r="E2869" t="s">
        <v>13525</v>
      </c>
      <c r="F2869" t="s">
        <v>5</v>
      </c>
      <c r="G2869" t="s">
        <v>6</v>
      </c>
      <c r="L2869" t="s">
        <v>7</v>
      </c>
      <c r="M2869">
        <v>2016</v>
      </c>
      <c r="N2869" s="1">
        <v>42415</v>
      </c>
      <c r="O2869" t="s">
        <v>13526</v>
      </c>
      <c r="P2869">
        <v>1</v>
      </c>
      <c r="Q2869" t="s">
        <v>13309</v>
      </c>
      <c r="S2869">
        <v>487.95</v>
      </c>
      <c r="T2869">
        <v>560</v>
      </c>
      <c r="U2869">
        <v>430</v>
      </c>
      <c r="V2869" t="s">
        <v>42</v>
      </c>
      <c r="W2869" t="s">
        <v>107</v>
      </c>
      <c r="X2869" t="s">
        <v>108</v>
      </c>
      <c r="Y2869" t="s">
        <v>221</v>
      </c>
      <c r="AF2869" t="s">
        <v>13</v>
      </c>
      <c r="AG2869" t="str">
        <f>HYPERLINK("https://doi.org/10.1515/9780748692934")</f>
        <v>https://doi.org/10.1515/9780748692934</v>
      </c>
      <c r="AH2869" t="str">
        <f>HYPERLINK("http://www.degruyter.com/isbn/9780748692934")</f>
        <v>http://www.degruyter.com/isbn/9780748692934</v>
      </c>
      <c r="AI2869" t="s">
        <v>180</v>
      </c>
      <c r="AL2869" t="s">
        <v>47</v>
      </c>
      <c r="AM2869">
        <v>1</v>
      </c>
      <c r="AN2869" s="2">
        <v>9780748692927</v>
      </c>
    </row>
    <row r="2870" spans="1:40" x14ac:dyDescent="0.3">
      <c r="A2870" t="s">
        <v>13527</v>
      </c>
      <c r="B2870" t="s">
        <v>1</v>
      </c>
      <c r="C2870" t="s">
        <v>13528</v>
      </c>
      <c r="E2870" t="s">
        <v>13529</v>
      </c>
      <c r="F2870" t="s">
        <v>5</v>
      </c>
      <c r="G2870" t="s">
        <v>6</v>
      </c>
      <c r="L2870" t="s">
        <v>7</v>
      </c>
      <c r="M2870">
        <v>2018</v>
      </c>
      <c r="N2870" s="1">
        <v>44656</v>
      </c>
      <c r="O2870" t="s">
        <v>13530</v>
      </c>
      <c r="P2870">
        <v>1</v>
      </c>
      <c r="Q2870" t="s">
        <v>13309</v>
      </c>
      <c r="S2870">
        <v>417.95</v>
      </c>
      <c r="T2870">
        <v>480</v>
      </c>
      <c r="U2870">
        <v>370</v>
      </c>
      <c r="V2870" t="s">
        <v>42</v>
      </c>
      <c r="W2870" t="s">
        <v>107</v>
      </c>
      <c r="X2870" t="s">
        <v>108</v>
      </c>
      <c r="Y2870" t="s">
        <v>109</v>
      </c>
      <c r="AF2870" t="s">
        <v>13</v>
      </c>
      <c r="AG2870" t="str">
        <f>HYPERLINK("https://doi.org/10.1515/9781474418423")</f>
        <v>https://doi.org/10.1515/9781474418423</v>
      </c>
      <c r="AH2870" t="str">
        <f>HYPERLINK("http://www.degruyter.com/isbn/9781474418423")</f>
        <v>http://www.degruyter.com/isbn/9781474418423</v>
      </c>
      <c r="AI2870" t="s">
        <v>46</v>
      </c>
      <c r="AL2870" t="s">
        <v>47</v>
      </c>
      <c r="AM2870">
        <v>1</v>
      </c>
      <c r="AN2870" s="2">
        <v>9781474418416</v>
      </c>
    </row>
    <row r="2871" spans="1:40" x14ac:dyDescent="0.3">
      <c r="A2871" t="s">
        <v>13531</v>
      </c>
      <c r="B2871" t="s">
        <v>1</v>
      </c>
      <c r="C2871" t="s">
        <v>13532</v>
      </c>
      <c r="D2871" t="s">
        <v>2607</v>
      </c>
      <c r="E2871" t="s">
        <v>13533</v>
      </c>
      <c r="F2871" t="s">
        <v>5</v>
      </c>
      <c r="G2871" t="s">
        <v>6</v>
      </c>
      <c r="L2871" t="s">
        <v>7</v>
      </c>
      <c r="M2871">
        <v>2018</v>
      </c>
      <c r="N2871" s="1">
        <v>44644</v>
      </c>
      <c r="O2871" t="s">
        <v>2609</v>
      </c>
      <c r="P2871">
        <v>1</v>
      </c>
      <c r="Q2871" t="s">
        <v>13460</v>
      </c>
      <c r="S2871">
        <v>253.95</v>
      </c>
      <c r="T2871">
        <v>290</v>
      </c>
      <c r="U2871">
        <v>220</v>
      </c>
      <c r="V2871" t="s">
        <v>89</v>
      </c>
      <c r="W2871" t="s">
        <v>90</v>
      </c>
      <c r="X2871" t="s">
        <v>4409</v>
      </c>
      <c r="Y2871" t="s">
        <v>4410</v>
      </c>
      <c r="AF2871" t="s">
        <v>13</v>
      </c>
      <c r="AG2871" t="str">
        <f>HYPERLINK("https://doi.org/10.1515/9780748699070?locatt=mode:legacy")</f>
        <v>https://doi.org/10.1515/9780748699070?locatt=mode:legacy</v>
      </c>
      <c r="AH2871" t="str">
        <f>HYPERLINK("http://www.degruyter.com/isbn/9780748699070")</f>
        <v>http://www.degruyter.com/isbn/9780748699070</v>
      </c>
      <c r="AI2871" t="s">
        <v>46</v>
      </c>
      <c r="AJ2871" t="s">
        <v>35</v>
      </c>
      <c r="AL2871" t="s">
        <v>718</v>
      </c>
      <c r="AM2871">
        <v>1</v>
      </c>
      <c r="AN2871" s="2">
        <v>9780748699063</v>
      </c>
    </row>
    <row r="2872" spans="1:40" x14ac:dyDescent="0.3">
      <c r="A2872" t="s">
        <v>13534</v>
      </c>
      <c r="B2872" t="s">
        <v>1</v>
      </c>
      <c r="C2872" t="s">
        <v>13535</v>
      </c>
      <c r="E2872" t="s">
        <v>13536</v>
      </c>
      <c r="F2872" t="s">
        <v>5</v>
      </c>
      <c r="G2872" t="s">
        <v>6</v>
      </c>
      <c r="L2872" t="s">
        <v>7</v>
      </c>
      <c r="M2872">
        <v>2017</v>
      </c>
      <c r="N2872" s="1">
        <v>42865</v>
      </c>
      <c r="O2872" t="s">
        <v>13537</v>
      </c>
      <c r="P2872">
        <v>1</v>
      </c>
      <c r="Q2872" t="s">
        <v>12952</v>
      </c>
      <c r="S2872">
        <v>227.95</v>
      </c>
      <c r="T2872">
        <v>260</v>
      </c>
      <c r="U2872">
        <v>200</v>
      </c>
      <c r="V2872" t="s">
        <v>42</v>
      </c>
      <c r="W2872" t="s">
        <v>116</v>
      </c>
      <c r="X2872" t="s">
        <v>116</v>
      </c>
      <c r="Y2872" t="s">
        <v>1129</v>
      </c>
      <c r="AF2872" t="s">
        <v>13</v>
      </c>
      <c r="AG2872" t="str">
        <f>HYPERLINK("https://doi.org/10.1515/9781474402408")</f>
        <v>https://doi.org/10.1515/9781474402408</v>
      </c>
      <c r="AH2872" t="str">
        <f>HYPERLINK("http://www.degruyter.com/isbn/9781474402408")</f>
        <v>http://www.degruyter.com/isbn/9781474402408</v>
      </c>
      <c r="AI2872" t="s">
        <v>222</v>
      </c>
      <c r="AL2872" t="s">
        <v>47</v>
      </c>
      <c r="AM2872">
        <v>1</v>
      </c>
      <c r="AN2872" s="2">
        <v>9781474402392</v>
      </c>
    </row>
    <row r="2873" spans="1:40" x14ac:dyDescent="0.3">
      <c r="A2873" t="s">
        <v>13538</v>
      </c>
      <c r="B2873" t="s">
        <v>1</v>
      </c>
      <c r="C2873" t="s">
        <v>13539</v>
      </c>
      <c r="E2873" t="s">
        <v>13540</v>
      </c>
      <c r="F2873" t="s">
        <v>5</v>
      </c>
      <c r="G2873" t="s">
        <v>6</v>
      </c>
      <c r="L2873" t="s">
        <v>7</v>
      </c>
      <c r="M2873">
        <v>2014</v>
      </c>
      <c r="N2873" s="1">
        <v>41843</v>
      </c>
      <c r="O2873" t="s">
        <v>13383</v>
      </c>
      <c r="P2873">
        <v>1</v>
      </c>
      <c r="Q2873" t="s">
        <v>12993</v>
      </c>
      <c r="S2873">
        <v>217.95</v>
      </c>
      <c r="T2873">
        <v>250</v>
      </c>
      <c r="U2873">
        <v>190</v>
      </c>
      <c r="V2873" t="s">
        <v>42</v>
      </c>
      <c r="W2873" t="s">
        <v>116</v>
      </c>
      <c r="X2873" t="s">
        <v>116</v>
      </c>
      <c r="Y2873" t="s">
        <v>1129</v>
      </c>
      <c r="AF2873" t="s">
        <v>13</v>
      </c>
      <c r="AG2873" t="str">
        <f>HYPERLINK("https://doi.org/10.1515/9781474433037")</f>
        <v>https://doi.org/10.1515/9781474433037</v>
      </c>
      <c r="AH2873" t="str">
        <f>HYPERLINK("http://www.degruyter.com/isbn/9781474433037")</f>
        <v>http://www.degruyter.com/isbn/9781474433037</v>
      </c>
      <c r="AI2873" t="s">
        <v>34</v>
      </c>
      <c r="AL2873" t="s">
        <v>47</v>
      </c>
      <c r="AM2873">
        <v>1</v>
      </c>
      <c r="AN2873" s="2">
        <v>9780748639366</v>
      </c>
    </row>
    <row r="2874" spans="1:40" x14ac:dyDescent="0.3">
      <c r="A2874" t="s">
        <v>13541</v>
      </c>
      <c r="B2874" t="s">
        <v>1</v>
      </c>
      <c r="C2874" t="s">
        <v>13542</v>
      </c>
      <c r="D2874" t="s">
        <v>13543</v>
      </c>
      <c r="E2874" t="s">
        <v>13544</v>
      </c>
      <c r="F2874" t="s">
        <v>5</v>
      </c>
      <c r="G2874" t="s">
        <v>6</v>
      </c>
      <c r="L2874" t="s">
        <v>7</v>
      </c>
      <c r="M2874">
        <v>2018</v>
      </c>
      <c r="N2874" s="1">
        <v>44644</v>
      </c>
      <c r="O2874" t="s">
        <v>13545</v>
      </c>
      <c r="P2874">
        <v>1</v>
      </c>
      <c r="Q2874" t="s">
        <v>13460</v>
      </c>
      <c r="S2874">
        <v>253.95</v>
      </c>
      <c r="T2874">
        <v>290</v>
      </c>
      <c r="U2874">
        <v>220</v>
      </c>
      <c r="V2874" t="s">
        <v>89</v>
      </c>
      <c r="W2874" t="s">
        <v>90</v>
      </c>
      <c r="X2874" t="s">
        <v>91</v>
      </c>
      <c r="Y2874" t="s">
        <v>717</v>
      </c>
      <c r="AF2874" t="s">
        <v>13</v>
      </c>
      <c r="AG2874" t="str">
        <f>HYPERLINK("https://doi.org/10.1515/9780748689576?locatt=mode:legacy")</f>
        <v>https://doi.org/10.1515/9780748689576?locatt=mode:legacy</v>
      </c>
      <c r="AH2874" t="str">
        <f>HYPERLINK("http://www.degruyter.com/isbn/9780748689576")</f>
        <v>http://www.degruyter.com/isbn/9780748689576</v>
      </c>
      <c r="AI2874" t="s">
        <v>46</v>
      </c>
      <c r="AJ2874" t="s">
        <v>35</v>
      </c>
      <c r="AL2874" t="s">
        <v>718</v>
      </c>
      <c r="AM2874">
        <v>1</v>
      </c>
      <c r="AN2874" s="2">
        <v>9780748689569</v>
      </c>
    </row>
    <row r="2875" spans="1:40" x14ac:dyDescent="0.3">
      <c r="A2875" t="s">
        <v>13546</v>
      </c>
      <c r="B2875" t="s">
        <v>1</v>
      </c>
      <c r="C2875" t="s">
        <v>13547</v>
      </c>
      <c r="E2875" t="s">
        <v>13548</v>
      </c>
      <c r="F2875" t="s">
        <v>5</v>
      </c>
      <c r="G2875" t="s">
        <v>6</v>
      </c>
      <c r="L2875" t="s">
        <v>7</v>
      </c>
      <c r="M2875">
        <v>2014</v>
      </c>
      <c r="N2875" s="1">
        <v>41682</v>
      </c>
      <c r="O2875" t="s">
        <v>13549</v>
      </c>
      <c r="P2875">
        <v>1</v>
      </c>
      <c r="Q2875" t="s">
        <v>13309</v>
      </c>
      <c r="S2875">
        <v>417.95</v>
      </c>
      <c r="T2875">
        <v>480</v>
      </c>
      <c r="U2875">
        <v>370</v>
      </c>
      <c r="V2875" t="s">
        <v>42</v>
      </c>
      <c r="W2875" t="s">
        <v>116</v>
      </c>
      <c r="X2875" t="s">
        <v>116</v>
      </c>
      <c r="Y2875" t="s">
        <v>3967</v>
      </c>
      <c r="AF2875" t="s">
        <v>13</v>
      </c>
      <c r="AG2875" t="str">
        <f>HYPERLINK("https://doi.org/10.1515/9781474471794")</f>
        <v>https://doi.org/10.1515/9781474471794</v>
      </c>
      <c r="AH2875" t="str">
        <f>HYPERLINK("http://www.degruyter.com/isbn/9781474471794")</f>
        <v>http://www.degruyter.com/isbn/9781474471794</v>
      </c>
      <c r="AI2875" t="s">
        <v>34</v>
      </c>
      <c r="AJ2875" t="s">
        <v>35</v>
      </c>
      <c r="AL2875" t="s">
        <v>520</v>
      </c>
      <c r="AM2875">
        <v>1</v>
      </c>
      <c r="AN2875" s="2">
        <v>9780748639335</v>
      </c>
    </row>
    <row r="2876" spans="1:40" x14ac:dyDescent="0.3">
      <c r="A2876" t="s">
        <v>13550</v>
      </c>
      <c r="B2876" t="s">
        <v>1</v>
      </c>
      <c r="C2876" t="s">
        <v>13551</v>
      </c>
      <c r="D2876" t="s">
        <v>2712</v>
      </c>
      <c r="E2876" t="s">
        <v>13552</v>
      </c>
      <c r="F2876" t="s">
        <v>5</v>
      </c>
      <c r="G2876" t="s">
        <v>6</v>
      </c>
      <c r="L2876" t="s">
        <v>7</v>
      </c>
      <c r="M2876">
        <v>2021</v>
      </c>
      <c r="N2876" s="1">
        <v>44644</v>
      </c>
      <c r="O2876" t="s">
        <v>13553</v>
      </c>
      <c r="P2876">
        <v>1</v>
      </c>
      <c r="Q2876" t="s">
        <v>13460</v>
      </c>
      <c r="S2876">
        <v>227.95</v>
      </c>
      <c r="T2876">
        <v>260</v>
      </c>
      <c r="U2876">
        <v>200</v>
      </c>
      <c r="V2876" t="s">
        <v>20</v>
      </c>
      <c r="W2876" t="s">
        <v>21</v>
      </c>
      <c r="X2876" t="s">
        <v>458</v>
      </c>
      <c r="Y2876" t="s">
        <v>459</v>
      </c>
      <c r="AF2876" t="s">
        <v>13</v>
      </c>
      <c r="AG2876" t="str">
        <f>HYPERLINK("https://doi.org/10.1515/9781474450911")</f>
        <v>https://doi.org/10.1515/9781474450911</v>
      </c>
      <c r="AH2876" t="str">
        <f>HYPERLINK("http://www.degruyter.com/isbn/9781474450911")</f>
        <v>http://www.degruyter.com/isbn/9781474450911</v>
      </c>
      <c r="AI2876" t="s">
        <v>559</v>
      </c>
      <c r="AL2876" t="s">
        <v>15</v>
      </c>
      <c r="AM2876">
        <v>1</v>
      </c>
      <c r="AN2876" s="2">
        <v>9781474450881</v>
      </c>
    </row>
    <row r="2877" spans="1:40" x14ac:dyDescent="0.3">
      <c r="A2877" t="s">
        <v>13554</v>
      </c>
      <c r="B2877" t="s">
        <v>1</v>
      </c>
      <c r="C2877" t="s">
        <v>13555</v>
      </c>
      <c r="E2877" t="s">
        <v>13556</v>
      </c>
      <c r="F2877" t="s">
        <v>5</v>
      </c>
      <c r="G2877" t="s">
        <v>6</v>
      </c>
      <c r="L2877" t="s">
        <v>7</v>
      </c>
      <c r="M2877">
        <v>2010</v>
      </c>
      <c r="N2877" s="1">
        <v>40288</v>
      </c>
      <c r="O2877" t="s">
        <v>1650</v>
      </c>
      <c r="P2877">
        <v>1</v>
      </c>
      <c r="Q2877" t="s">
        <v>13309</v>
      </c>
      <c r="S2877">
        <v>417.95</v>
      </c>
      <c r="T2877">
        <v>480</v>
      </c>
      <c r="U2877">
        <v>370</v>
      </c>
      <c r="V2877" t="s">
        <v>42</v>
      </c>
      <c r="W2877" t="s">
        <v>107</v>
      </c>
      <c r="X2877" t="s">
        <v>108</v>
      </c>
      <c r="Y2877" t="s">
        <v>109</v>
      </c>
      <c r="AF2877" t="s">
        <v>13</v>
      </c>
      <c r="AG2877" t="str">
        <f>HYPERLINK("https://doi.org/10.1515/9780748635535")</f>
        <v>https://doi.org/10.1515/9780748635535</v>
      </c>
      <c r="AH2877" t="str">
        <f>HYPERLINK("http://www.degruyter.com/isbn/9780748635535")</f>
        <v>http://www.degruyter.com/isbn/9780748635535</v>
      </c>
      <c r="AI2877" t="s">
        <v>68</v>
      </c>
      <c r="AL2877" t="s">
        <v>47</v>
      </c>
      <c r="AM2877">
        <v>1</v>
      </c>
      <c r="AN2877" s="2">
        <v>9780748635528</v>
      </c>
    </row>
    <row r="2878" spans="1:40" x14ac:dyDescent="0.3">
      <c r="A2878" t="s">
        <v>13557</v>
      </c>
      <c r="B2878" t="s">
        <v>1</v>
      </c>
      <c r="C2878" t="s">
        <v>13558</v>
      </c>
      <c r="D2878" t="s">
        <v>13559</v>
      </c>
      <c r="E2878" t="s">
        <v>13560</v>
      </c>
      <c r="F2878" t="s">
        <v>5</v>
      </c>
      <c r="G2878" t="s">
        <v>6</v>
      </c>
      <c r="L2878" t="s">
        <v>7</v>
      </c>
      <c r="M2878">
        <v>2021</v>
      </c>
      <c r="N2878" s="1">
        <v>44644</v>
      </c>
      <c r="O2878" t="s">
        <v>13561</v>
      </c>
      <c r="P2878">
        <v>1</v>
      </c>
      <c r="Q2878" t="s">
        <v>13444</v>
      </c>
      <c r="S2878">
        <v>217.95</v>
      </c>
      <c r="T2878">
        <v>250</v>
      </c>
      <c r="U2878">
        <v>190</v>
      </c>
      <c r="V2878" t="s">
        <v>268</v>
      </c>
      <c r="W2878" t="s">
        <v>269</v>
      </c>
      <c r="X2878" t="s">
        <v>269</v>
      </c>
      <c r="Y2878" t="s">
        <v>2528</v>
      </c>
      <c r="AF2878" t="s">
        <v>13</v>
      </c>
      <c r="AG2878" t="str">
        <f>HYPERLINK("https://doi.org/10.1515/9781474455329")</f>
        <v>https://doi.org/10.1515/9781474455329</v>
      </c>
      <c r="AH2878" t="str">
        <f>HYPERLINK("http://www.degruyter.com/isbn/9781474455329")</f>
        <v>http://www.degruyter.com/isbn/9781474455329</v>
      </c>
      <c r="AI2878" t="s">
        <v>13562</v>
      </c>
      <c r="AL2878" t="s">
        <v>272</v>
      </c>
      <c r="AM2878">
        <v>1</v>
      </c>
      <c r="AN2878" s="2">
        <v>9781474455305</v>
      </c>
    </row>
    <row r="2879" spans="1:40" x14ac:dyDescent="0.3">
      <c r="A2879" t="s">
        <v>13563</v>
      </c>
      <c r="B2879" t="s">
        <v>1</v>
      </c>
      <c r="C2879" t="s">
        <v>13564</v>
      </c>
      <c r="D2879" t="s">
        <v>13565</v>
      </c>
      <c r="E2879" t="s">
        <v>13566</v>
      </c>
      <c r="F2879" t="s">
        <v>5</v>
      </c>
      <c r="G2879" t="s">
        <v>6</v>
      </c>
      <c r="L2879" t="s">
        <v>7</v>
      </c>
      <c r="M2879">
        <v>2020</v>
      </c>
      <c r="N2879" s="1">
        <v>44644</v>
      </c>
      <c r="O2879" t="s">
        <v>13567</v>
      </c>
      <c r="P2879">
        <v>1</v>
      </c>
      <c r="Q2879" t="s">
        <v>13361</v>
      </c>
      <c r="S2879">
        <v>227.95</v>
      </c>
      <c r="T2879">
        <v>260</v>
      </c>
      <c r="U2879">
        <v>200</v>
      </c>
      <c r="V2879" t="s">
        <v>42</v>
      </c>
      <c r="W2879" t="s">
        <v>107</v>
      </c>
      <c r="X2879" t="s">
        <v>108</v>
      </c>
      <c r="Y2879" t="s">
        <v>109</v>
      </c>
      <c r="AF2879" t="s">
        <v>13</v>
      </c>
      <c r="AG2879" t="str">
        <f>HYPERLINK("https://doi.org/10.1515/9781474428545?locatt=mode:legacy")</f>
        <v>https://doi.org/10.1515/9781474428545?locatt=mode:legacy</v>
      </c>
      <c r="AH2879" t="str">
        <f>HYPERLINK("http://www.degruyter.com/isbn/9781474428545")</f>
        <v>http://www.degruyter.com/isbn/9781474428545</v>
      </c>
      <c r="AI2879" t="s">
        <v>14</v>
      </c>
      <c r="AJ2879" t="s">
        <v>35</v>
      </c>
      <c r="AL2879" t="s">
        <v>520</v>
      </c>
      <c r="AM2879">
        <v>1</v>
      </c>
      <c r="AN2879" s="2">
        <v>9781474428521</v>
      </c>
    </row>
    <row r="2880" spans="1:40" x14ac:dyDescent="0.3">
      <c r="A2880" t="s">
        <v>13568</v>
      </c>
      <c r="B2880" t="s">
        <v>1</v>
      </c>
      <c r="C2880" t="s">
        <v>13569</v>
      </c>
      <c r="D2880" t="s">
        <v>13570</v>
      </c>
      <c r="E2880" t="s">
        <v>13571</v>
      </c>
      <c r="F2880" t="s">
        <v>5</v>
      </c>
      <c r="G2880" t="s">
        <v>6</v>
      </c>
      <c r="L2880" t="s">
        <v>7</v>
      </c>
      <c r="M2880">
        <v>2021</v>
      </c>
      <c r="N2880" s="1">
        <v>44656</v>
      </c>
      <c r="O2880" t="s">
        <v>13572</v>
      </c>
      <c r="P2880">
        <v>1</v>
      </c>
      <c r="Q2880" t="s">
        <v>13460</v>
      </c>
      <c r="S2880">
        <v>243.95</v>
      </c>
      <c r="T2880">
        <v>280</v>
      </c>
      <c r="U2880">
        <v>210</v>
      </c>
      <c r="V2880" t="s">
        <v>20</v>
      </c>
      <c r="W2880" t="s">
        <v>21</v>
      </c>
      <c r="X2880" t="s">
        <v>458</v>
      </c>
      <c r="Y2880" t="s">
        <v>1816</v>
      </c>
      <c r="AF2880" t="s">
        <v>13</v>
      </c>
      <c r="AG2880" t="str">
        <f>HYPERLINK("https://doi.org/10.1515/9781474453394")</f>
        <v>https://doi.org/10.1515/9781474453394</v>
      </c>
      <c r="AH2880" t="str">
        <f>HYPERLINK("http://www.degruyter.com/isbn/9781474453394")</f>
        <v>http://www.degruyter.com/isbn/9781474453394</v>
      </c>
      <c r="AI2880" t="s">
        <v>473</v>
      </c>
      <c r="AL2880" t="s">
        <v>15</v>
      </c>
      <c r="AM2880">
        <v>1</v>
      </c>
      <c r="AN2880" s="2">
        <v>9781474453363</v>
      </c>
    </row>
    <row r="2881" spans="1:40" x14ac:dyDescent="0.3">
      <c r="A2881" t="s">
        <v>13573</v>
      </c>
      <c r="B2881" t="s">
        <v>1</v>
      </c>
      <c r="C2881" t="s">
        <v>13574</v>
      </c>
      <c r="D2881" t="s">
        <v>13575</v>
      </c>
      <c r="E2881" t="s">
        <v>13576</v>
      </c>
      <c r="F2881" t="s">
        <v>5</v>
      </c>
      <c r="G2881" t="s">
        <v>6</v>
      </c>
      <c r="L2881" t="s">
        <v>7</v>
      </c>
      <c r="M2881">
        <v>2021</v>
      </c>
      <c r="N2881" s="1">
        <v>44644</v>
      </c>
      <c r="O2881" t="s">
        <v>13577</v>
      </c>
      <c r="P2881">
        <v>1</v>
      </c>
      <c r="Q2881" t="s">
        <v>12961</v>
      </c>
      <c r="S2881">
        <v>217.95</v>
      </c>
      <c r="T2881">
        <v>250</v>
      </c>
      <c r="U2881">
        <v>190</v>
      </c>
      <c r="V2881" t="s">
        <v>79</v>
      </c>
      <c r="W2881" t="s">
        <v>209</v>
      </c>
      <c r="X2881" t="s">
        <v>209</v>
      </c>
      <c r="Y2881" t="s">
        <v>7249</v>
      </c>
      <c r="AF2881" t="s">
        <v>13</v>
      </c>
      <c r="AG2881" t="str">
        <f>HYPERLINK("https://doi.org/10.1515/9781474479301")</f>
        <v>https://doi.org/10.1515/9781474479301</v>
      </c>
      <c r="AH2881" t="str">
        <f>HYPERLINK("http://www.degruyter.com/isbn/9781474479301")</f>
        <v>http://www.degruyter.com/isbn/9781474479301</v>
      </c>
      <c r="AI2881" t="s">
        <v>82</v>
      </c>
      <c r="AL2881" t="s">
        <v>83</v>
      </c>
      <c r="AM2881">
        <v>1</v>
      </c>
      <c r="AN2881" s="2">
        <v>9781474479288</v>
      </c>
    </row>
    <row r="2882" spans="1:40" x14ac:dyDescent="0.3">
      <c r="A2882" t="s">
        <v>13578</v>
      </c>
      <c r="B2882" t="s">
        <v>1</v>
      </c>
      <c r="C2882" t="s">
        <v>13579</v>
      </c>
      <c r="E2882" t="s">
        <v>13580</v>
      </c>
      <c r="F2882" t="s">
        <v>5</v>
      </c>
      <c r="G2882" t="s">
        <v>6</v>
      </c>
      <c r="L2882" t="s">
        <v>7</v>
      </c>
      <c r="M2882">
        <v>2019</v>
      </c>
      <c r="N2882" s="1">
        <v>44656</v>
      </c>
      <c r="O2882" t="s">
        <v>13581</v>
      </c>
      <c r="P2882">
        <v>1</v>
      </c>
      <c r="Q2882" t="s">
        <v>13309</v>
      </c>
      <c r="S2882">
        <v>417.95</v>
      </c>
      <c r="T2882">
        <v>480</v>
      </c>
      <c r="U2882">
        <v>370</v>
      </c>
      <c r="V2882" t="s">
        <v>42</v>
      </c>
      <c r="W2882" t="s">
        <v>107</v>
      </c>
      <c r="X2882" t="s">
        <v>108</v>
      </c>
      <c r="Y2882" t="s">
        <v>221</v>
      </c>
      <c r="AF2882" t="s">
        <v>13</v>
      </c>
      <c r="AG2882" t="str">
        <f>HYPERLINK("https://doi.org/10.1515/9781474429184")</f>
        <v>https://doi.org/10.1515/9781474429184</v>
      </c>
      <c r="AH2882" t="str">
        <f>HYPERLINK("http://www.degruyter.com/isbn/9781474429184")</f>
        <v>http://www.degruyter.com/isbn/9781474429184</v>
      </c>
      <c r="AI2882" t="s">
        <v>280</v>
      </c>
      <c r="AL2882" t="s">
        <v>47</v>
      </c>
      <c r="AM2882">
        <v>1</v>
      </c>
      <c r="AN2882" s="2">
        <v>9781474429177</v>
      </c>
    </row>
    <row r="2883" spans="1:40" x14ac:dyDescent="0.3">
      <c r="A2883" t="s">
        <v>13582</v>
      </c>
      <c r="B2883" t="s">
        <v>1</v>
      </c>
      <c r="C2883" t="s">
        <v>13583</v>
      </c>
      <c r="E2883" t="s">
        <v>13584</v>
      </c>
      <c r="F2883" t="s">
        <v>5</v>
      </c>
      <c r="G2883" t="s">
        <v>6</v>
      </c>
      <c r="L2883" t="s">
        <v>7</v>
      </c>
      <c r="M2883">
        <v>2006</v>
      </c>
      <c r="N2883" s="1">
        <v>38896</v>
      </c>
      <c r="O2883" t="s">
        <v>13585</v>
      </c>
      <c r="P2883">
        <v>1</v>
      </c>
      <c r="Q2883" t="s">
        <v>13309</v>
      </c>
      <c r="S2883">
        <v>113.95</v>
      </c>
      <c r="T2883">
        <v>130</v>
      </c>
      <c r="U2883">
        <v>100</v>
      </c>
      <c r="V2883" t="s">
        <v>42</v>
      </c>
      <c r="W2883" t="s">
        <v>107</v>
      </c>
      <c r="X2883" t="s">
        <v>108</v>
      </c>
      <c r="Y2883" t="s">
        <v>109</v>
      </c>
      <c r="AF2883" t="s">
        <v>13</v>
      </c>
      <c r="AG2883" t="str">
        <f>HYPERLINK("https://doi.org/10.1515/9780748627103?locatt=mode:legacy")</f>
        <v>https://doi.org/10.1515/9780748627103?locatt=mode:legacy</v>
      </c>
      <c r="AH2883" t="str">
        <f>HYPERLINK("http://www.degruyter.com/isbn/9780748627103")</f>
        <v>http://www.degruyter.com/isbn/9780748627103</v>
      </c>
      <c r="AI2883" t="s">
        <v>68</v>
      </c>
      <c r="AL2883" t="s">
        <v>47</v>
      </c>
      <c r="AM2883">
        <v>1</v>
      </c>
      <c r="AN2883" s="2">
        <v>9780748620111</v>
      </c>
    </row>
    <row r="2884" spans="1:40" x14ac:dyDescent="0.3">
      <c r="A2884" t="s">
        <v>13586</v>
      </c>
      <c r="B2884" t="s">
        <v>1</v>
      </c>
      <c r="C2884" t="s">
        <v>13587</v>
      </c>
      <c r="E2884" t="s">
        <v>13588</v>
      </c>
      <c r="F2884" t="s">
        <v>5</v>
      </c>
      <c r="G2884" t="s">
        <v>6</v>
      </c>
      <c r="L2884" t="s">
        <v>7</v>
      </c>
      <c r="M2884">
        <v>2021</v>
      </c>
      <c r="N2884" s="1">
        <v>44656</v>
      </c>
      <c r="O2884" t="s">
        <v>13589</v>
      </c>
      <c r="P2884">
        <v>1</v>
      </c>
      <c r="Q2884" t="s">
        <v>13309</v>
      </c>
      <c r="S2884">
        <v>415.95</v>
      </c>
      <c r="T2884">
        <v>470</v>
      </c>
      <c r="U2884">
        <v>360</v>
      </c>
      <c r="V2884" t="s">
        <v>42</v>
      </c>
      <c r="W2884" t="s">
        <v>107</v>
      </c>
      <c r="X2884" t="s">
        <v>108</v>
      </c>
      <c r="Y2884" t="s">
        <v>109</v>
      </c>
      <c r="AF2884" t="s">
        <v>13</v>
      </c>
      <c r="AG2884" t="str">
        <f>HYPERLINK("https://doi.org/10.1515/9781474462754")</f>
        <v>https://doi.org/10.1515/9781474462754</v>
      </c>
      <c r="AH2884" t="str">
        <f>HYPERLINK("http://www.degruyter.com/isbn/9781474462754")</f>
        <v>http://www.degruyter.com/isbn/9781474462754</v>
      </c>
      <c r="AI2884" t="s">
        <v>110</v>
      </c>
      <c r="AL2884" t="s">
        <v>47</v>
      </c>
      <c r="AM2884">
        <v>1</v>
      </c>
      <c r="AN2884" s="2">
        <v>9781474462747</v>
      </c>
    </row>
    <row r="2885" spans="1:40" x14ac:dyDescent="0.3">
      <c r="A2885" t="s">
        <v>13590</v>
      </c>
      <c r="B2885" t="s">
        <v>1</v>
      </c>
      <c r="C2885" t="s">
        <v>13591</v>
      </c>
      <c r="D2885" t="s">
        <v>13592</v>
      </c>
      <c r="E2885" t="s">
        <v>13593</v>
      </c>
      <c r="F2885" t="s">
        <v>5</v>
      </c>
      <c r="G2885" t="s">
        <v>6</v>
      </c>
      <c r="L2885" t="s">
        <v>7</v>
      </c>
      <c r="M2885">
        <v>2018</v>
      </c>
      <c r="N2885" s="1">
        <v>44656</v>
      </c>
      <c r="O2885" t="s">
        <v>13594</v>
      </c>
      <c r="P2885">
        <v>1</v>
      </c>
      <c r="Q2885" t="s">
        <v>13595</v>
      </c>
      <c r="S2885">
        <v>227.95</v>
      </c>
      <c r="T2885">
        <v>260</v>
      </c>
      <c r="U2885">
        <v>200</v>
      </c>
      <c r="V2885" t="s">
        <v>42</v>
      </c>
      <c r="W2885" t="s">
        <v>107</v>
      </c>
      <c r="X2885" t="s">
        <v>108</v>
      </c>
      <c r="Y2885" t="s">
        <v>952</v>
      </c>
      <c r="AF2885" t="s">
        <v>13</v>
      </c>
      <c r="AG2885" t="str">
        <f>HYPERLINK("https://doi.org/10.1515/9780748643851")</f>
        <v>https://doi.org/10.1515/9780748643851</v>
      </c>
      <c r="AH2885" t="str">
        <f>HYPERLINK("http://www.degruyter.com/isbn/9780748643851")</f>
        <v>http://www.degruyter.com/isbn/9780748643851</v>
      </c>
      <c r="AI2885" t="s">
        <v>46</v>
      </c>
      <c r="AL2885" t="s">
        <v>47</v>
      </c>
      <c r="AM2885">
        <v>1</v>
      </c>
      <c r="AN2885" s="2">
        <v>9780748643844</v>
      </c>
    </row>
    <row r="2886" spans="1:40" x14ac:dyDescent="0.3">
      <c r="A2886" t="s">
        <v>13596</v>
      </c>
      <c r="B2886" t="s">
        <v>1</v>
      </c>
      <c r="C2886" t="s">
        <v>13597</v>
      </c>
      <c r="D2886" t="s">
        <v>13598</v>
      </c>
      <c r="E2886" t="s">
        <v>13599</v>
      </c>
      <c r="F2886" t="s">
        <v>5</v>
      </c>
      <c r="G2886" t="s">
        <v>6</v>
      </c>
      <c r="L2886" t="s">
        <v>7</v>
      </c>
      <c r="M2886">
        <v>2019</v>
      </c>
      <c r="N2886" s="1">
        <v>44644</v>
      </c>
      <c r="O2886" t="s">
        <v>13600</v>
      </c>
      <c r="P2886">
        <v>1</v>
      </c>
      <c r="Q2886" t="s">
        <v>12952</v>
      </c>
      <c r="S2886">
        <v>305.95</v>
      </c>
      <c r="T2886">
        <v>350</v>
      </c>
      <c r="U2886">
        <v>270</v>
      </c>
      <c r="V2886" t="s">
        <v>42</v>
      </c>
      <c r="W2886" t="s">
        <v>43</v>
      </c>
      <c r="X2886" t="s">
        <v>6163</v>
      </c>
      <c r="Y2886" t="s">
        <v>117</v>
      </c>
      <c r="AF2886" t="s">
        <v>13</v>
      </c>
      <c r="AG2886" t="str">
        <f>HYPERLINK("https://doi.org/10.1515/9781474443487")</f>
        <v>https://doi.org/10.1515/9781474443487</v>
      </c>
      <c r="AH2886" t="str">
        <f>HYPERLINK("http://www.degruyter.com/isbn/9781474443487")</f>
        <v>http://www.degruyter.com/isbn/9781474443487</v>
      </c>
      <c r="AI2886" t="s">
        <v>280</v>
      </c>
      <c r="AL2886" t="s">
        <v>47</v>
      </c>
      <c r="AM2886">
        <v>1</v>
      </c>
      <c r="AN2886" s="2">
        <v>9781474443470</v>
      </c>
    </row>
    <row r="2887" spans="1:40" x14ac:dyDescent="0.3">
      <c r="A2887" t="s">
        <v>13601</v>
      </c>
      <c r="B2887" t="s">
        <v>1</v>
      </c>
      <c r="C2887" t="s">
        <v>13602</v>
      </c>
      <c r="D2887" t="s">
        <v>13603</v>
      </c>
      <c r="E2887" t="s">
        <v>13604</v>
      </c>
      <c r="F2887" t="s">
        <v>5</v>
      </c>
      <c r="G2887" t="s">
        <v>6</v>
      </c>
      <c r="L2887" t="s">
        <v>7</v>
      </c>
      <c r="M2887">
        <v>1999</v>
      </c>
      <c r="N2887" s="1">
        <v>44693</v>
      </c>
      <c r="O2887" t="s">
        <v>13605</v>
      </c>
      <c r="P2887">
        <v>1</v>
      </c>
      <c r="S2887">
        <v>217.95</v>
      </c>
      <c r="T2887">
        <v>250</v>
      </c>
      <c r="U2887">
        <v>190</v>
      </c>
      <c r="V2887" t="s">
        <v>58</v>
      </c>
      <c r="W2887" t="s">
        <v>59</v>
      </c>
      <c r="X2887" t="s">
        <v>60</v>
      </c>
      <c r="Y2887" t="s">
        <v>3243</v>
      </c>
      <c r="AF2887" t="s">
        <v>13</v>
      </c>
      <c r="AG2887" t="str">
        <f>HYPERLINK("https://doi.org/10.1515/9781474470971")</f>
        <v>https://doi.org/10.1515/9781474470971</v>
      </c>
      <c r="AH2887" t="str">
        <f>HYPERLINK("http://www.degruyter.com/isbn/9781474470971")</f>
        <v>http://www.degruyter.com/isbn/9781474470971</v>
      </c>
      <c r="AI2887" t="s">
        <v>24</v>
      </c>
      <c r="AL2887" t="s">
        <v>62</v>
      </c>
      <c r="AM2887">
        <v>1</v>
      </c>
      <c r="AN2887" s="2">
        <v>9780748610945</v>
      </c>
    </row>
    <row r="2888" spans="1:40" x14ac:dyDescent="0.3">
      <c r="A2888" t="s">
        <v>13606</v>
      </c>
      <c r="B2888" t="s">
        <v>1</v>
      </c>
      <c r="C2888" t="s">
        <v>13607</v>
      </c>
      <c r="D2888" t="s">
        <v>13608</v>
      </c>
      <c r="E2888" t="s">
        <v>13609</v>
      </c>
      <c r="F2888" t="s">
        <v>5</v>
      </c>
      <c r="G2888" t="s">
        <v>6</v>
      </c>
      <c r="L2888" t="s">
        <v>7</v>
      </c>
      <c r="M2888">
        <v>2012</v>
      </c>
      <c r="N2888" s="1">
        <v>41185</v>
      </c>
      <c r="O2888" t="s">
        <v>13610</v>
      </c>
      <c r="P2888">
        <v>1</v>
      </c>
      <c r="Q2888" t="s">
        <v>13611</v>
      </c>
      <c r="S2888">
        <v>217.95</v>
      </c>
      <c r="T2888">
        <v>250</v>
      </c>
      <c r="U2888">
        <v>190</v>
      </c>
      <c r="V2888" t="s">
        <v>42</v>
      </c>
      <c r="W2888" t="s">
        <v>107</v>
      </c>
      <c r="X2888" t="s">
        <v>108</v>
      </c>
      <c r="Y2888" t="s">
        <v>109</v>
      </c>
      <c r="AF2888" t="s">
        <v>13</v>
      </c>
      <c r="AG2888" t="str">
        <f>HYPERLINK("https://www.degruyter.com/isbn/9780748631438")</f>
        <v>https://www.degruyter.com/isbn/9780748631438</v>
      </c>
      <c r="AH2888" t="str">
        <f>HYPERLINK("http://www.degruyter.com/isbn/9780748631438")</f>
        <v>http://www.degruyter.com/isbn/9780748631438</v>
      </c>
      <c r="AI2888" t="s">
        <v>68</v>
      </c>
      <c r="AL2888" t="s">
        <v>47</v>
      </c>
      <c r="AM2888">
        <v>1</v>
      </c>
      <c r="AN2888" s="2">
        <v>9780748627301</v>
      </c>
    </row>
    <row r="2889" spans="1:40" x14ac:dyDescent="0.3">
      <c r="A2889" t="s">
        <v>13612</v>
      </c>
      <c r="B2889" t="s">
        <v>1</v>
      </c>
      <c r="C2889" t="s">
        <v>13613</v>
      </c>
      <c r="D2889" t="s">
        <v>13614</v>
      </c>
      <c r="E2889" t="s">
        <v>13615</v>
      </c>
      <c r="F2889" t="s">
        <v>5</v>
      </c>
      <c r="G2889" t="s">
        <v>6</v>
      </c>
      <c r="K2889" t="s">
        <v>4259</v>
      </c>
      <c r="L2889" t="s">
        <v>7</v>
      </c>
      <c r="M2889">
        <v>2021</v>
      </c>
      <c r="N2889" s="1">
        <v>44348</v>
      </c>
      <c r="O2889" t="s">
        <v>13616</v>
      </c>
      <c r="P2889">
        <v>1</v>
      </c>
      <c r="V2889" t="s">
        <v>20</v>
      </c>
      <c r="W2889" t="s">
        <v>21</v>
      </c>
      <c r="X2889" t="s">
        <v>839</v>
      </c>
      <c r="Y2889" t="s">
        <v>13617</v>
      </c>
      <c r="AF2889" t="s">
        <v>13</v>
      </c>
      <c r="AG2889" t="str">
        <f>HYPERLINK("https://doi.org/10.1515/9781474462648")</f>
        <v>https://doi.org/10.1515/9781474462648</v>
      </c>
      <c r="AH2889" t="str">
        <f>HYPERLINK("http://www.degruyter.com/isbn/9781474462648")</f>
        <v>http://www.degruyter.com/isbn/9781474462648</v>
      </c>
      <c r="AI2889" t="s">
        <v>559</v>
      </c>
      <c r="AM2889">
        <v>1</v>
      </c>
      <c r="AN2889" s="2"/>
    </row>
    <row r="2890" spans="1:40" x14ac:dyDescent="0.3">
      <c r="A2890" t="s">
        <v>13618</v>
      </c>
      <c r="B2890" t="s">
        <v>1</v>
      </c>
      <c r="C2890" t="s">
        <v>13619</v>
      </c>
      <c r="E2890" t="s">
        <v>13620</v>
      </c>
      <c r="F2890" t="s">
        <v>5</v>
      </c>
      <c r="G2890" t="s">
        <v>6</v>
      </c>
      <c r="L2890" t="s">
        <v>7</v>
      </c>
      <c r="M2890">
        <v>2020</v>
      </c>
      <c r="N2890" s="1">
        <v>44656</v>
      </c>
      <c r="O2890" t="s">
        <v>13621</v>
      </c>
      <c r="P2890">
        <v>1</v>
      </c>
      <c r="Q2890" t="s">
        <v>13622</v>
      </c>
      <c r="S2890">
        <v>227.95</v>
      </c>
      <c r="T2890">
        <v>260</v>
      </c>
      <c r="U2890">
        <v>200</v>
      </c>
      <c r="V2890" t="s">
        <v>42</v>
      </c>
      <c r="W2890" t="s">
        <v>116</v>
      </c>
      <c r="X2890" t="s">
        <v>116</v>
      </c>
      <c r="Y2890" t="s">
        <v>117</v>
      </c>
      <c r="AF2890" t="s">
        <v>13</v>
      </c>
      <c r="AG2890" t="str">
        <f>HYPERLINK("https://doi.org/10.1515/9781474456104")</f>
        <v>https://doi.org/10.1515/9781474456104</v>
      </c>
      <c r="AH2890" t="str">
        <f>HYPERLINK("http://www.degruyter.com/isbn/9781474456104")</f>
        <v>http://www.degruyter.com/isbn/9781474456104</v>
      </c>
      <c r="AI2890" t="s">
        <v>14</v>
      </c>
      <c r="AJ2890" t="s">
        <v>35</v>
      </c>
      <c r="AL2890" t="s">
        <v>520</v>
      </c>
      <c r="AM2890">
        <v>1</v>
      </c>
      <c r="AN2890" s="2">
        <v>9781474456098</v>
      </c>
    </row>
    <row r="2891" spans="1:40" x14ac:dyDescent="0.3">
      <c r="A2891" t="s">
        <v>13623</v>
      </c>
      <c r="B2891" t="s">
        <v>1</v>
      </c>
      <c r="C2891" t="s">
        <v>13624</v>
      </c>
      <c r="D2891" t="s">
        <v>13625</v>
      </c>
      <c r="E2891" t="s">
        <v>13626</v>
      </c>
      <c r="F2891" t="s">
        <v>5</v>
      </c>
      <c r="G2891" t="s">
        <v>6</v>
      </c>
      <c r="L2891" t="s">
        <v>7</v>
      </c>
      <c r="M2891">
        <v>2018</v>
      </c>
      <c r="N2891" s="1">
        <v>44644</v>
      </c>
      <c r="O2891" t="s">
        <v>13627</v>
      </c>
      <c r="P2891">
        <v>1</v>
      </c>
      <c r="Q2891" t="s">
        <v>13628</v>
      </c>
      <c r="S2891">
        <v>217.95</v>
      </c>
      <c r="T2891">
        <v>250</v>
      </c>
      <c r="U2891">
        <v>190</v>
      </c>
      <c r="V2891" t="s">
        <v>42</v>
      </c>
      <c r="W2891" t="s">
        <v>107</v>
      </c>
      <c r="X2891" t="s">
        <v>108</v>
      </c>
      <c r="Y2891" t="s">
        <v>109</v>
      </c>
      <c r="AF2891" t="s">
        <v>13</v>
      </c>
      <c r="AG2891" t="str">
        <f>HYPERLINK("https://doi.org/10.1515/9781474421652?locatt=mode:legacy")</f>
        <v>https://doi.org/10.1515/9781474421652?locatt=mode:legacy</v>
      </c>
      <c r="AH2891" t="str">
        <f>HYPERLINK("http://www.degruyter.com/isbn/9781474421652")</f>
        <v>http://www.degruyter.com/isbn/9781474421652</v>
      </c>
      <c r="AI2891" t="s">
        <v>46</v>
      </c>
      <c r="AL2891" t="s">
        <v>47</v>
      </c>
      <c r="AM2891">
        <v>1</v>
      </c>
      <c r="AN2891" s="2">
        <v>9781474421645</v>
      </c>
    </row>
    <row r="2892" spans="1:40" x14ac:dyDescent="0.3">
      <c r="A2892" t="s">
        <v>13629</v>
      </c>
      <c r="B2892" t="s">
        <v>1</v>
      </c>
      <c r="C2892" t="s">
        <v>13630</v>
      </c>
      <c r="D2892" t="s">
        <v>13631</v>
      </c>
      <c r="E2892" t="s">
        <v>13632</v>
      </c>
      <c r="F2892" t="s">
        <v>5</v>
      </c>
      <c r="G2892" t="s">
        <v>6</v>
      </c>
      <c r="L2892" t="s">
        <v>7</v>
      </c>
      <c r="M2892">
        <v>2019</v>
      </c>
      <c r="N2892" s="1">
        <v>44644</v>
      </c>
      <c r="O2892" t="s">
        <v>13633</v>
      </c>
      <c r="P2892">
        <v>1</v>
      </c>
      <c r="Q2892" t="s">
        <v>12952</v>
      </c>
      <c r="S2892">
        <v>227.95</v>
      </c>
      <c r="T2892">
        <v>260</v>
      </c>
      <c r="U2892">
        <v>200</v>
      </c>
      <c r="V2892" t="s">
        <v>42</v>
      </c>
      <c r="W2892" t="s">
        <v>43</v>
      </c>
      <c r="X2892" t="s">
        <v>6163</v>
      </c>
      <c r="Y2892" t="s">
        <v>117</v>
      </c>
      <c r="AF2892" t="s">
        <v>13</v>
      </c>
      <c r="AG2892" t="str">
        <f>HYPERLINK("https://www.degruyter.com/isbn/9781474448376")</f>
        <v>https://www.degruyter.com/isbn/9781474448376</v>
      </c>
      <c r="AH2892" t="str">
        <f>HYPERLINK("http://www.degruyter.com/isbn/9781474448376")</f>
        <v>http://www.degruyter.com/isbn/9781474448376</v>
      </c>
      <c r="AI2892" t="s">
        <v>280</v>
      </c>
      <c r="AL2892" t="s">
        <v>47</v>
      </c>
      <c r="AM2892">
        <v>1</v>
      </c>
      <c r="AN2892" s="2">
        <v>9781474448369</v>
      </c>
    </row>
    <row r="2893" spans="1:40" x14ac:dyDescent="0.3">
      <c r="A2893" t="s">
        <v>13634</v>
      </c>
      <c r="B2893" t="s">
        <v>1</v>
      </c>
      <c r="C2893" t="s">
        <v>13635</v>
      </c>
      <c r="E2893" t="s">
        <v>13636</v>
      </c>
      <c r="F2893" t="s">
        <v>5</v>
      </c>
      <c r="G2893" t="s">
        <v>6</v>
      </c>
      <c r="L2893" t="s">
        <v>7</v>
      </c>
      <c r="M2893">
        <v>2020</v>
      </c>
      <c r="N2893" s="1">
        <v>44656</v>
      </c>
      <c r="O2893" t="s">
        <v>13637</v>
      </c>
      <c r="P2893">
        <v>1</v>
      </c>
      <c r="Q2893" t="s">
        <v>12961</v>
      </c>
      <c r="S2893">
        <v>217.95</v>
      </c>
      <c r="T2893">
        <v>250</v>
      </c>
      <c r="U2893">
        <v>190</v>
      </c>
      <c r="V2893" t="s">
        <v>20</v>
      </c>
      <c r="W2893" t="s">
        <v>21</v>
      </c>
      <c r="X2893" t="s">
        <v>839</v>
      </c>
      <c r="Y2893" t="s">
        <v>1475</v>
      </c>
      <c r="AF2893" t="s">
        <v>13</v>
      </c>
      <c r="AG2893" t="str">
        <f>HYPERLINK("https://doi.org/10.1515/9781474450867")</f>
        <v>https://doi.org/10.1515/9781474450867</v>
      </c>
      <c r="AH2893" t="str">
        <f>HYPERLINK("http://www.degruyter.com/isbn/9781474450867")</f>
        <v>http://www.degruyter.com/isbn/9781474450867</v>
      </c>
      <c r="AI2893" t="s">
        <v>14</v>
      </c>
      <c r="AL2893" t="s">
        <v>15</v>
      </c>
      <c r="AM2893">
        <v>1</v>
      </c>
      <c r="AN2893" s="2">
        <v>9781474450843</v>
      </c>
    </row>
    <row r="2894" spans="1:40" x14ac:dyDescent="0.3">
      <c r="A2894" t="s">
        <v>13638</v>
      </c>
      <c r="B2894" t="s">
        <v>1</v>
      </c>
      <c r="C2894" t="s">
        <v>13639</v>
      </c>
      <c r="D2894" t="s">
        <v>13640</v>
      </c>
      <c r="E2894" t="s">
        <v>13641</v>
      </c>
      <c r="F2894" t="s">
        <v>5</v>
      </c>
      <c r="G2894" t="s">
        <v>6</v>
      </c>
      <c r="L2894" t="s">
        <v>7</v>
      </c>
      <c r="M2894">
        <v>2021</v>
      </c>
      <c r="N2894" s="1">
        <v>44644</v>
      </c>
      <c r="O2894" t="s">
        <v>2056</v>
      </c>
      <c r="P2894">
        <v>1</v>
      </c>
      <c r="Q2894" t="s">
        <v>13460</v>
      </c>
      <c r="S2894">
        <v>217.95</v>
      </c>
      <c r="T2894">
        <v>250</v>
      </c>
      <c r="U2894">
        <v>190</v>
      </c>
      <c r="V2894" t="s">
        <v>20</v>
      </c>
      <c r="W2894" t="s">
        <v>21</v>
      </c>
      <c r="X2894" t="s">
        <v>458</v>
      </c>
      <c r="Y2894" t="s">
        <v>459</v>
      </c>
      <c r="AF2894" t="s">
        <v>13</v>
      </c>
      <c r="AG2894" t="str">
        <f>HYPERLINK("https://doi.org/10.1515/9780748668502")</f>
        <v>https://doi.org/10.1515/9780748668502</v>
      </c>
      <c r="AH2894" t="str">
        <f>HYPERLINK("http://www.degruyter.com/isbn/9780748668502")</f>
        <v>http://www.degruyter.com/isbn/9780748668502</v>
      </c>
      <c r="AI2894" t="s">
        <v>559</v>
      </c>
      <c r="AL2894" t="s">
        <v>15</v>
      </c>
      <c r="AM2894">
        <v>1</v>
      </c>
      <c r="AN2894" s="2">
        <v>9780748668496</v>
      </c>
    </row>
    <row r="2895" spans="1:40" x14ac:dyDescent="0.3">
      <c r="A2895" t="s">
        <v>13642</v>
      </c>
      <c r="B2895" t="s">
        <v>1</v>
      </c>
      <c r="C2895" t="s">
        <v>13643</v>
      </c>
      <c r="D2895" t="s">
        <v>13644</v>
      </c>
      <c r="E2895" t="s">
        <v>13645</v>
      </c>
      <c r="F2895" t="s">
        <v>5</v>
      </c>
      <c r="G2895" t="s">
        <v>6</v>
      </c>
      <c r="L2895" t="s">
        <v>7</v>
      </c>
      <c r="M2895">
        <v>2015</v>
      </c>
      <c r="N2895" s="1">
        <v>42139</v>
      </c>
      <c r="O2895" t="s">
        <v>13646</v>
      </c>
      <c r="P2895">
        <v>1</v>
      </c>
      <c r="Q2895" t="s">
        <v>6665</v>
      </c>
      <c r="S2895">
        <v>217.95</v>
      </c>
      <c r="T2895">
        <v>250</v>
      </c>
      <c r="U2895">
        <v>190</v>
      </c>
      <c r="V2895" t="s">
        <v>9</v>
      </c>
      <c r="W2895" t="s">
        <v>10</v>
      </c>
      <c r="X2895" t="s">
        <v>11</v>
      </c>
      <c r="Y2895" t="s">
        <v>3896</v>
      </c>
      <c r="AF2895" t="s">
        <v>13</v>
      </c>
      <c r="AG2895" t="str">
        <f>HYPERLINK("https://doi.org/10.1515/9780748693191?locatt=mode:legacy")</f>
        <v>https://doi.org/10.1515/9780748693191?locatt=mode:legacy</v>
      </c>
      <c r="AH2895" t="str">
        <f>HYPERLINK("http://www.degruyter.com/isbn/9780748693191")</f>
        <v>http://www.degruyter.com/isbn/9780748693191</v>
      </c>
      <c r="AI2895" t="s">
        <v>34</v>
      </c>
      <c r="AL2895" t="s">
        <v>15</v>
      </c>
      <c r="AM2895">
        <v>1</v>
      </c>
      <c r="AN2895" s="2">
        <v>9780748693184</v>
      </c>
    </row>
    <row r="2896" spans="1:40" x14ac:dyDescent="0.3">
      <c r="A2896" t="s">
        <v>13647</v>
      </c>
      <c r="B2896" t="s">
        <v>1</v>
      </c>
      <c r="C2896" t="s">
        <v>13648</v>
      </c>
      <c r="E2896" t="s">
        <v>13649</v>
      </c>
      <c r="F2896" t="s">
        <v>5</v>
      </c>
      <c r="G2896" t="s">
        <v>6</v>
      </c>
      <c r="L2896" t="s">
        <v>7</v>
      </c>
      <c r="M2896">
        <v>2022</v>
      </c>
      <c r="N2896" s="1">
        <v>44690</v>
      </c>
      <c r="O2896" t="s">
        <v>13650</v>
      </c>
      <c r="P2896">
        <v>1</v>
      </c>
      <c r="S2896">
        <v>227.95</v>
      </c>
      <c r="T2896">
        <v>260</v>
      </c>
      <c r="U2896">
        <v>200</v>
      </c>
      <c r="V2896" t="s">
        <v>42</v>
      </c>
      <c r="W2896" t="s">
        <v>107</v>
      </c>
      <c r="X2896" t="s">
        <v>108</v>
      </c>
      <c r="Y2896" t="s">
        <v>109</v>
      </c>
      <c r="AF2896" t="s">
        <v>13</v>
      </c>
      <c r="AG2896" t="str">
        <f>HYPERLINK("https://doi.org/10.1515/9781474458252")</f>
        <v>https://doi.org/10.1515/9781474458252</v>
      </c>
      <c r="AH2896" t="str">
        <f>HYPERLINK("http://www.degruyter.com/isbn/9781474458252")</f>
        <v>http://www.degruyter.com/isbn/9781474458252</v>
      </c>
      <c r="AI2896" t="s">
        <v>12962</v>
      </c>
      <c r="AL2896" t="s">
        <v>47</v>
      </c>
      <c r="AM2896">
        <v>1</v>
      </c>
      <c r="AN2896" s="2">
        <v>9781474458238</v>
      </c>
    </row>
    <row r="2897" spans="1:40" x14ac:dyDescent="0.3">
      <c r="A2897" t="s">
        <v>13651</v>
      </c>
      <c r="B2897" t="s">
        <v>1</v>
      </c>
      <c r="C2897" t="s">
        <v>13652</v>
      </c>
      <c r="E2897" t="s">
        <v>13653</v>
      </c>
      <c r="F2897" t="s">
        <v>5</v>
      </c>
      <c r="G2897" t="s">
        <v>6</v>
      </c>
      <c r="L2897" t="s">
        <v>7</v>
      </c>
      <c r="M2897">
        <v>2021</v>
      </c>
      <c r="N2897" s="1">
        <v>44672</v>
      </c>
      <c r="O2897" t="s">
        <v>13654</v>
      </c>
      <c r="P2897">
        <v>1</v>
      </c>
      <c r="S2897">
        <v>217.95</v>
      </c>
      <c r="T2897">
        <v>250</v>
      </c>
      <c r="U2897">
        <v>190</v>
      </c>
      <c r="V2897" t="s">
        <v>9</v>
      </c>
      <c r="W2897" t="s">
        <v>10</v>
      </c>
      <c r="X2897" t="s">
        <v>11</v>
      </c>
      <c r="Y2897" t="s">
        <v>12</v>
      </c>
      <c r="AF2897" t="s">
        <v>13</v>
      </c>
      <c r="AG2897" t="str">
        <f>HYPERLINK("https://doi.org/10.1515/9781474414159")</f>
        <v>https://doi.org/10.1515/9781474414159</v>
      </c>
      <c r="AH2897" t="str">
        <f>HYPERLINK("http://www.degruyter.com/isbn/9781474414159")</f>
        <v>http://www.degruyter.com/isbn/9781474414159</v>
      </c>
      <c r="AI2897" t="s">
        <v>908</v>
      </c>
      <c r="AL2897" t="s">
        <v>15</v>
      </c>
      <c r="AM2897">
        <v>1</v>
      </c>
      <c r="AN2897" s="2">
        <v>9781474414142</v>
      </c>
    </row>
    <row r="2898" spans="1:40" x14ac:dyDescent="0.3">
      <c r="A2898" t="s">
        <v>13655</v>
      </c>
      <c r="B2898" t="s">
        <v>1</v>
      </c>
      <c r="C2898" t="s">
        <v>13656</v>
      </c>
      <c r="E2898" t="s">
        <v>13657</v>
      </c>
      <c r="F2898" t="s">
        <v>5</v>
      </c>
      <c r="G2898" t="s">
        <v>6</v>
      </c>
      <c r="L2898" t="s">
        <v>7</v>
      </c>
      <c r="M2898">
        <v>2013</v>
      </c>
      <c r="N2898" s="1">
        <v>41414</v>
      </c>
      <c r="O2898" t="s">
        <v>13658</v>
      </c>
      <c r="P2898">
        <v>1</v>
      </c>
      <c r="Q2898" t="s">
        <v>6993</v>
      </c>
      <c r="S2898">
        <v>227.95</v>
      </c>
      <c r="T2898">
        <v>260</v>
      </c>
      <c r="U2898">
        <v>200</v>
      </c>
      <c r="V2898" t="s">
        <v>98</v>
      </c>
      <c r="W2898" t="s">
        <v>99</v>
      </c>
      <c r="X2898" t="s">
        <v>100</v>
      </c>
      <c r="Y2898" t="s">
        <v>4420</v>
      </c>
      <c r="AF2898" t="s">
        <v>13</v>
      </c>
      <c r="AG2898" t="str">
        <f>HYPERLINK("https://doi.org/10.1515/9780748677627")</f>
        <v>https://doi.org/10.1515/9780748677627</v>
      </c>
      <c r="AH2898" t="str">
        <f>HYPERLINK("http://www.degruyter.com/isbn/9780748677627")</f>
        <v>http://www.degruyter.com/isbn/9780748677627</v>
      </c>
      <c r="AI2898" t="s">
        <v>68</v>
      </c>
      <c r="AL2898" t="s">
        <v>102</v>
      </c>
      <c r="AM2898">
        <v>1</v>
      </c>
      <c r="AN2898" s="2">
        <v>9780748646203</v>
      </c>
    </row>
    <row r="2899" spans="1:40" x14ac:dyDescent="0.3">
      <c r="A2899" t="s">
        <v>13659</v>
      </c>
      <c r="B2899" t="s">
        <v>1</v>
      </c>
      <c r="C2899" t="s">
        <v>13660</v>
      </c>
      <c r="E2899" t="s">
        <v>13661</v>
      </c>
      <c r="F2899" t="s">
        <v>5</v>
      </c>
      <c r="G2899" t="s">
        <v>6</v>
      </c>
      <c r="L2899" t="s">
        <v>7</v>
      </c>
      <c r="M2899">
        <v>2007</v>
      </c>
      <c r="N2899" s="1">
        <v>39213</v>
      </c>
      <c r="O2899" t="s">
        <v>13662</v>
      </c>
      <c r="P2899">
        <v>1</v>
      </c>
      <c r="Q2899" t="s">
        <v>7225</v>
      </c>
      <c r="S2899">
        <v>191.95</v>
      </c>
      <c r="T2899">
        <v>220</v>
      </c>
      <c r="U2899">
        <v>170</v>
      </c>
      <c r="V2899" t="s">
        <v>98</v>
      </c>
      <c r="W2899" t="s">
        <v>99</v>
      </c>
      <c r="X2899" t="s">
        <v>386</v>
      </c>
      <c r="Y2899" t="s">
        <v>387</v>
      </c>
      <c r="AF2899" t="s">
        <v>13</v>
      </c>
      <c r="AG2899" t="str">
        <f>HYPERLINK("https://doi.org/10.1515/9780748629862")</f>
        <v>https://doi.org/10.1515/9780748629862</v>
      </c>
      <c r="AH2899" t="str">
        <f>HYPERLINK("http://www.degruyter.com/isbn/9780748629862")</f>
        <v>http://www.degruyter.com/isbn/9780748629862</v>
      </c>
      <c r="AI2899" t="s">
        <v>68</v>
      </c>
      <c r="AL2899" t="s">
        <v>102</v>
      </c>
      <c r="AM2899">
        <v>1</v>
      </c>
      <c r="AN2899" s="2">
        <v>9780748622795</v>
      </c>
    </row>
    <row r="2900" spans="1:40" x14ac:dyDescent="0.3">
      <c r="A2900" t="s">
        <v>13663</v>
      </c>
      <c r="B2900" t="s">
        <v>1</v>
      </c>
      <c r="C2900" t="s">
        <v>13664</v>
      </c>
      <c r="D2900" t="s">
        <v>13665</v>
      </c>
      <c r="E2900" t="s">
        <v>13666</v>
      </c>
      <c r="F2900" t="s">
        <v>5</v>
      </c>
      <c r="G2900" t="s">
        <v>6</v>
      </c>
      <c r="L2900" t="s">
        <v>7</v>
      </c>
      <c r="M2900">
        <v>2018</v>
      </c>
      <c r="N2900" s="1">
        <v>44644</v>
      </c>
      <c r="O2900" t="s">
        <v>13667</v>
      </c>
      <c r="P2900">
        <v>1</v>
      </c>
      <c r="Q2900" t="s">
        <v>8883</v>
      </c>
      <c r="S2900">
        <v>217.95</v>
      </c>
      <c r="T2900">
        <v>250</v>
      </c>
      <c r="U2900">
        <v>190</v>
      </c>
      <c r="V2900" t="s">
        <v>79</v>
      </c>
      <c r="W2900" t="s">
        <v>209</v>
      </c>
      <c r="X2900" t="s">
        <v>209</v>
      </c>
      <c r="Y2900" t="s">
        <v>699</v>
      </c>
      <c r="AF2900" t="s">
        <v>13</v>
      </c>
      <c r="AG2900" t="str">
        <f>HYPERLINK("https://doi.org/10.1515/9781474421256")</f>
        <v>https://doi.org/10.1515/9781474421256</v>
      </c>
      <c r="AH2900" t="str">
        <f>HYPERLINK("http://www.degruyter.com/isbn/9781474421256")</f>
        <v>http://www.degruyter.com/isbn/9781474421256</v>
      </c>
      <c r="AI2900" t="s">
        <v>46</v>
      </c>
      <c r="AL2900" t="s">
        <v>83</v>
      </c>
      <c r="AM2900">
        <v>1</v>
      </c>
      <c r="AN2900" s="2">
        <v>9781474421249</v>
      </c>
    </row>
    <row r="2901" spans="1:40" x14ac:dyDescent="0.3">
      <c r="A2901" t="s">
        <v>13668</v>
      </c>
      <c r="B2901" t="s">
        <v>1</v>
      </c>
      <c r="C2901" t="s">
        <v>13669</v>
      </c>
      <c r="E2901" t="s">
        <v>13670</v>
      </c>
      <c r="F2901" t="s">
        <v>5</v>
      </c>
      <c r="G2901" t="s">
        <v>6</v>
      </c>
      <c r="L2901" t="s">
        <v>7</v>
      </c>
      <c r="M2901">
        <v>2020</v>
      </c>
      <c r="N2901" s="1">
        <v>44656</v>
      </c>
      <c r="O2901" t="s">
        <v>13671</v>
      </c>
      <c r="P2901">
        <v>1</v>
      </c>
      <c r="Q2901" t="s">
        <v>13672</v>
      </c>
      <c r="S2901">
        <v>217.95</v>
      </c>
      <c r="T2901">
        <v>250</v>
      </c>
      <c r="U2901">
        <v>190</v>
      </c>
      <c r="V2901" t="s">
        <v>20</v>
      </c>
      <c r="W2901" t="s">
        <v>21</v>
      </c>
      <c r="X2901" t="s">
        <v>22</v>
      </c>
      <c r="Y2901" t="s">
        <v>23</v>
      </c>
      <c r="AF2901" t="s">
        <v>13</v>
      </c>
      <c r="AG2901" t="str">
        <f>HYPERLINK("https://doi.org/10.1515/9781474459051?locatt=mode:legacy")</f>
        <v>https://doi.org/10.1515/9781474459051?locatt=mode:legacy</v>
      </c>
      <c r="AH2901" t="str">
        <f>HYPERLINK("http://www.degruyter.com/isbn/9781474459051")</f>
        <v>http://www.degruyter.com/isbn/9781474459051</v>
      </c>
      <c r="AI2901" t="s">
        <v>14</v>
      </c>
      <c r="AL2901" t="s">
        <v>15</v>
      </c>
      <c r="AM2901">
        <v>1</v>
      </c>
      <c r="AN2901" s="2">
        <v>9781474459037</v>
      </c>
    </row>
    <row r="2902" spans="1:40" x14ac:dyDescent="0.3">
      <c r="A2902" t="s">
        <v>13673</v>
      </c>
      <c r="B2902" t="s">
        <v>1</v>
      </c>
      <c r="C2902" t="s">
        <v>13674</v>
      </c>
      <c r="E2902" t="s">
        <v>13675</v>
      </c>
      <c r="F2902" t="s">
        <v>5</v>
      </c>
      <c r="G2902" t="s">
        <v>6</v>
      </c>
      <c r="L2902" t="s">
        <v>7</v>
      </c>
      <c r="M2902">
        <v>2000</v>
      </c>
      <c r="N2902" s="1">
        <v>44693</v>
      </c>
      <c r="O2902" t="s">
        <v>11803</v>
      </c>
      <c r="P2902">
        <v>1</v>
      </c>
      <c r="Q2902" t="s">
        <v>13676</v>
      </c>
      <c r="S2902">
        <v>217.95</v>
      </c>
      <c r="T2902">
        <v>250</v>
      </c>
      <c r="U2902">
        <v>190</v>
      </c>
      <c r="V2902" t="s">
        <v>42</v>
      </c>
      <c r="W2902" t="s">
        <v>116</v>
      </c>
      <c r="X2902" t="s">
        <v>116</v>
      </c>
      <c r="Y2902" t="s">
        <v>117</v>
      </c>
      <c r="AF2902" t="s">
        <v>13</v>
      </c>
      <c r="AG2902" t="str">
        <f>HYPERLINK("https://doi.org/10.1515/9780748673964")</f>
        <v>https://doi.org/10.1515/9780748673964</v>
      </c>
      <c r="AH2902" t="str">
        <f>HYPERLINK("http://www.degruyter.com/isbn/9780748673964")</f>
        <v>http://www.degruyter.com/isbn/9780748673964</v>
      </c>
      <c r="AI2902" t="s">
        <v>68</v>
      </c>
      <c r="AL2902" t="s">
        <v>47</v>
      </c>
      <c r="AM2902">
        <v>1</v>
      </c>
      <c r="AN2902" s="2">
        <v>9780748611218</v>
      </c>
    </row>
    <row r="2903" spans="1:40" x14ac:dyDescent="0.3">
      <c r="A2903" t="s">
        <v>13677</v>
      </c>
      <c r="B2903" t="s">
        <v>1</v>
      </c>
      <c r="C2903" t="s">
        <v>13678</v>
      </c>
      <c r="D2903" t="s">
        <v>13679</v>
      </c>
      <c r="E2903" t="s">
        <v>13680</v>
      </c>
      <c r="F2903" t="s">
        <v>5</v>
      </c>
      <c r="G2903" t="s">
        <v>6</v>
      </c>
      <c r="L2903" t="s">
        <v>7</v>
      </c>
      <c r="M2903">
        <v>2019</v>
      </c>
      <c r="N2903" s="1">
        <v>44644</v>
      </c>
      <c r="O2903" t="s">
        <v>13681</v>
      </c>
      <c r="P2903">
        <v>1</v>
      </c>
      <c r="Q2903" t="s">
        <v>8702</v>
      </c>
      <c r="S2903">
        <v>253.95</v>
      </c>
      <c r="T2903">
        <v>290</v>
      </c>
      <c r="U2903">
        <v>220</v>
      </c>
      <c r="V2903" t="s">
        <v>79</v>
      </c>
      <c r="W2903" t="s">
        <v>734</v>
      </c>
      <c r="X2903" t="s">
        <v>734</v>
      </c>
      <c r="Y2903" t="s">
        <v>735</v>
      </c>
      <c r="AF2903" t="s">
        <v>13</v>
      </c>
      <c r="AG2903" t="str">
        <f>HYPERLINK("https://doi.org/10.1515/9781474447805")</f>
        <v>https://doi.org/10.1515/9781474447805</v>
      </c>
      <c r="AH2903" t="str">
        <f>HYPERLINK("http://www.degruyter.com/isbn/9781474447805")</f>
        <v>http://www.degruyter.com/isbn/9781474447805</v>
      </c>
      <c r="AI2903" t="s">
        <v>280</v>
      </c>
      <c r="AL2903" t="s">
        <v>83</v>
      </c>
      <c r="AM2903">
        <v>1</v>
      </c>
      <c r="AN2903" s="2">
        <v>9781474447775</v>
      </c>
    </row>
    <row r="2904" spans="1:40" x14ac:dyDescent="0.3">
      <c r="A2904" t="s">
        <v>13682</v>
      </c>
      <c r="B2904" t="s">
        <v>1</v>
      </c>
      <c r="C2904" t="s">
        <v>13683</v>
      </c>
      <c r="D2904" t="s">
        <v>13684</v>
      </c>
      <c r="E2904" t="s">
        <v>13685</v>
      </c>
      <c r="F2904" t="s">
        <v>5</v>
      </c>
      <c r="G2904" t="s">
        <v>6</v>
      </c>
      <c r="L2904" t="s">
        <v>7</v>
      </c>
      <c r="M2904">
        <v>2018</v>
      </c>
      <c r="N2904" s="1">
        <v>44644</v>
      </c>
      <c r="O2904" t="s">
        <v>13686</v>
      </c>
      <c r="P2904">
        <v>1</v>
      </c>
      <c r="Q2904" t="s">
        <v>6539</v>
      </c>
      <c r="S2904">
        <v>227.95</v>
      </c>
      <c r="T2904">
        <v>260</v>
      </c>
      <c r="U2904">
        <v>200</v>
      </c>
      <c r="V2904" t="s">
        <v>42</v>
      </c>
      <c r="W2904" t="s">
        <v>107</v>
      </c>
      <c r="X2904" t="s">
        <v>108</v>
      </c>
      <c r="Y2904" t="s">
        <v>109</v>
      </c>
      <c r="AF2904" t="s">
        <v>13</v>
      </c>
      <c r="AG2904" t="str">
        <f>HYPERLINK("https://doi.org/10.1515/9781474431668?locatt=mode:legacy")</f>
        <v>https://doi.org/10.1515/9781474431668?locatt=mode:legacy</v>
      </c>
      <c r="AH2904" t="str">
        <f>HYPERLINK("http://www.degruyter.com/isbn/9781474431668")</f>
        <v>http://www.degruyter.com/isbn/9781474431668</v>
      </c>
      <c r="AI2904" t="s">
        <v>46</v>
      </c>
      <c r="AL2904" t="s">
        <v>47</v>
      </c>
      <c r="AM2904">
        <v>1</v>
      </c>
      <c r="AN2904" s="2">
        <v>9781474431538</v>
      </c>
    </row>
    <row r="2905" spans="1:40" x14ac:dyDescent="0.3">
      <c r="A2905" t="s">
        <v>13687</v>
      </c>
      <c r="B2905" t="s">
        <v>1</v>
      </c>
      <c r="C2905" t="s">
        <v>13688</v>
      </c>
      <c r="E2905" t="s">
        <v>13689</v>
      </c>
      <c r="F2905" t="s">
        <v>5</v>
      </c>
      <c r="G2905" t="s">
        <v>6</v>
      </c>
      <c r="L2905" t="s">
        <v>7</v>
      </c>
      <c r="M2905">
        <v>1984</v>
      </c>
      <c r="N2905" s="1">
        <v>44607</v>
      </c>
      <c r="O2905" t="s">
        <v>6997</v>
      </c>
      <c r="P2905">
        <v>1</v>
      </c>
      <c r="Q2905" t="s">
        <v>6998</v>
      </c>
      <c r="S2905">
        <v>876.95</v>
      </c>
      <c r="T2905">
        <v>990</v>
      </c>
      <c r="U2905">
        <v>760</v>
      </c>
      <c r="V2905" t="s">
        <v>1325</v>
      </c>
      <c r="W2905" t="s">
        <v>1326</v>
      </c>
      <c r="X2905" t="s">
        <v>1326</v>
      </c>
      <c r="Y2905" t="s">
        <v>6999</v>
      </c>
      <c r="AF2905" t="s">
        <v>13</v>
      </c>
      <c r="AG2905" t="str">
        <f>HYPERLINK("https://www.degruyter.com/isbn/9781474466103")</f>
        <v>https://www.degruyter.com/isbn/9781474466103</v>
      </c>
      <c r="AH2905" t="str">
        <f>HYPERLINK("http://www.degruyter.com/isbn/9781474466103")</f>
        <v>http://www.degruyter.com/isbn/9781474466103</v>
      </c>
      <c r="AI2905" t="s">
        <v>24</v>
      </c>
      <c r="AL2905" t="s">
        <v>1328</v>
      </c>
      <c r="AM2905">
        <v>1</v>
      </c>
      <c r="AN2905" s="2">
        <v>9780852242803</v>
      </c>
    </row>
    <row r="2906" spans="1:40" x14ac:dyDescent="0.3">
      <c r="A2906" t="s">
        <v>13690</v>
      </c>
      <c r="B2906" t="s">
        <v>1</v>
      </c>
      <c r="C2906" t="s">
        <v>13691</v>
      </c>
      <c r="D2906" t="s">
        <v>13692</v>
      </c>
      <c r="E2906" t="s">
        <v>13693</v>
      </c>
      <c r="F2906" t="s">
        <v>5</v>
      </c>
      <c r="G2906" t="s">
        <v>6</v>
      </c>
      <c r="L2906" t="s">
        <v>7</v>
      </c>
      <c r="M2906">
        <v>2010</v>
      </c>
      <c r="N2906" s="1">
        <v>40305</v>
      </c>
      <c r="O2906" t="s">
        <v>13694</v>
      </c>
      <c r="P2906">
        <v>1</v>
      </c>
      <c r="Q2906" t="s">
        <v>6606</v>
      </c>
      <c r="S2906">
        <v>227.95</v>
      </c>
      <c r="T2906">
        <v>260</v>
      </c>
      <c r="U2906">
        <v>200</v>
      </c>
      <c r="V2906" t="s">
        <v>79</v>
      </c>
      <c r="W2906" t="s">
        <v>227</v>
      </c>
      <c r="X2906" t="s">
        <v>228</v>
      </c>
      <c r="Y2906" t="s">
        <v>229</v>
      </c>
      <c r="AF2906" t="s">
        <v>13</v>
      </c>
      <c r="AG2906" t="str">
        <f>HYPERLINK("https://doi.org/10.1515/9780748642441?locatt=mode:legacy")</f>
        <v>https://doi.org/10.1515/9780748642441?locatt=mode:legacy</v>
      </c>
      <c r="AH2906" t="str">
        <f>HYPERLINK("http://www.degruyter.com/isbn/9780748642441")</f>
        <v>http://www.degruyter.com/isbn/9780748642441</v>
      </c>
      <c r="AI2906" t="s">
        <v>68</v>
      </c>
      <c r="AL2906" t="s">
        <v>83</v>
      </c>
      <c r="AM2906">
        <v>1</v>
      </c>
      <c r="AN2906" s="2">
        <v>9780748639434</v>
      </c>
    </row>
    <row r="2907" spans="1:40" x14ac:dyDescent="0.3">
      <c r="A2907" t="s">
        <v>13695</v>
      </c>
      <c r="B2907" t="s">
        <v>1</v>
      </c>
      <c r="C2907" t="s">
        <v>13696</v>
      </c>
      <c r="D2907" t="s">
        <v>13697</v>
      </c>
      <c r="E2907" t="s">
        <v>13698</v>
      </c>
      <c r="F2907" t="s">
        <v>5</v>
      </c>
      <c r="G2907" t="s">
        <v>6</v>
      </c>
      <c r="L2907" t="s">
        <v>7</v>
      </c>
      <c r="M2907">
        <v>2013</v>
      </c>
      <c r="N2907" s="1">
        <v>41467</v>
      </c>
      <c r="O2907" t="s">
        <v>13699</v>
      </c>
      <c r="P2907">
        <v>1</v>
      </c>
      <c r="Q2907" t="s">
        <v>6539</v>
      </c>
      <c r="S2907">
        <v>217.95</v>
      </c>
      <c r="T2907">
        <v>250</v>
      </c>
      <c r="U2907">
        <v>190</v>
      </c>
      <c r="V2907" t="s">
        <v>42</v>
      </c>
      <c r="W2907" t="s">
        <v>116</v>
      </c>
      <c r="X2907" t="s">
        <v>116</v>
      </c>
      <c r="Y2907" t="s">
        <v>117</v>
      </c>
      <c r="AF2907" t="s">
        <v>13</v>
      </c>
      <c r="AG2907" t="str">
        <f>HYPERLINK("https://doi.org/10.1515/9780748676088")</f>
        <v>https://doi.org/10.1515/9780748676088</v>
      </c>
      <c r="AH2907" t="str">
        <f>HYPERLINK("http://www.degruyter.com/isbn/9780748676088")</f>
        <v>http://www.degruyter.com/isbn/9780748676088</v>
      </c>
      <c r="AI2907" t="s">
        <v>68</v>
      </c>
      <c r="AL2907" t="s">
        <v>47</v>
      </c>
      <c r="AM2907">
        <v>1</v>
      </c>
      <c r="AN2907" s="2">
        <v>9780748676071</v>
      </c>
    </row>
    <row r="2908" spans="1:40" x14ac:dyDescent="0.3">
      <c r="A2908" t="s">
        <v>13700</v>
      </c>
      <c r="B2908" t="s">
        <v>1</v>
      </c>
      <c r="C2908" t="s">
        <v>13701</v>
      </c>
      <c r="E2908" t="s">
        <v>13702</v>
      </c>
      <c r="F2908" t="s">
        <v>5</v>
      </c>
      <c r="G2908" t="s">
        <v>6</v>
      </c>
      <c r="L2908" t="s">
        <v>7</v>
      </c>
      <c r="M2908">
        <v>2021</v>
      </c>
      <c r="N2908" s="1">
        <v>44672</v>
      </c>
      <c r="O2908" t="s">
        <v>13703</v>
      </c>
      <c r="P2908">
        <v>1</v>
      </c>
      <c r="S2908">
        <v>217.95</v>
      </c>
      <c r="T2908">
        <v>250</v>
      </c>
      <c r="U2908">
        <v>190</v>
      </c>
      <c r="V2908" t="s">
        <v>58</v>
      </c>
      <c r="W2908" t="s">
        <v>59</v>
      </c>
      <c r="X2908" t="s">
        <v>60</v>
      </c>
      <c r="Y2908" t="s">
        <v>5536</v>
      </c>
      <c r="AF2908" t="s">
        <v>13</v>
      </c>
      <c r="AG2908" t="str">
        <f>HYPERLINK("https://doi.org/10.1515/9781474466868")</f>
        <v>https://doi.org/10.1515/9781474466868</v>
      </c>
      <c r="AH2908" t="str">
        <f>HYPERLINK("http://www.degruyter.com/isbn/9781474466868")</f>
        <v>http://www.degruyter.com/isbn/9781474466868</v>
      </c>
      <c r="AI2908" t="s">
        <v>5150</v>
      </c>
      <c r="AJ2908" t="s">
        <v>35</v>
      </c>
      <c r="AL2908" t="s">
        <v>155</v>
      </c>
      <c r="AM2908">
        <v>1</v>
      </c>
      <c r="AN2908" s="2">
        <v>9781474466837</v>
      </c>
    </row>
    <row r="2909" spans="1:40" x14ac:dyDescent="0.3">
      <c r="A2909" t="s">
        <v>13704</v>
      </c>
      <c r="B2909" t="s">
        <v>1</v>
      </c>
      <c r="C2909" t="s">
        <v>13705</v>
      </c>
      <c r="D2909" t="s">
        <v>13706</v>
      </c>
      <c r="E2909" t="s">
        <v>13707</v>
      </c>
      <c r="F2909" t="s">
        <v>5</v>
      </c>
      <c r="G2909" t="s">
        <v>6</v>
      </c>
      <c r="L2909" t="s">
        <v>7</v>
      </c>
      <c r="M2909">
        <v>2018</v>
      </c>
      <c r="N2909" s="1">
        <v>44644</v>
      </c>
      <c r="O2909" t="s">
        <v>13708</v>
      </c>
      <c r="P2909">
        <v>1</v>
      </c>
      <c r="Q2909" t="s">
        <v>8702</v>
      </c>
      <c r="S2909">
        <v>253.95</v>
      </c>
      <c r="T2909">
        <v>290</v>
      </c>
      <c r="U2909">
        <v>220</v>
      </c>
      <c r="V2909" t="s">
        <v>79</v>
      </c>
      <c r="W2909" t="s">
        <v>783</v>
      </c>
      <c r="X2909" t="s">
        <v>783</v>
      </c>
      <c r="Y2909" t="s">
        <v>784</v>
      </c>
      <c r="AF2909" t="s">
        <v>13</v>
      </c>
      <c r="AG2909" t="str">
        <f>HYPERLINK("https://doi.org/10.1515/9781474437134")</f>
        <v>https://doi.org/10.1515/9781474437134</v>
      </c>
      <c r="AH2909" t="str">
        <f>HYPERLINK("http://www.degruyter.com/isbn/9781474437134")</f>
        <v>http://www.degruyter.com/isbn/9781474437134</v>
      </c>
      <c r="AI2909" t="s">
        <v>46</v>
      </c>
      <c r="AL2909" t="s">
        <v>83</v>
      </c>
      <c r="AM2909">
        <v>1</v>
      </c>
      <c r="AN2909" s="2">
        <v>9781474437110</v>
      </c>
    </row>
    <row r="2910" spans="1:40" x14ac:dyDescent="0.3">
      <c r="A2910" t="s">
        <v>13709</v>
      </c>
      <c r="B2910" t="s">
        <v>1</v>
      </c>
      <c r="C2910" t="s">
        <v>13710</v>
      </c>
      <c r="D2910" t="s">
        <v>13711</v>
      </c>
      <c r="E2910" t="s">
        <v>13712</v>
      </c>
      <c r="F2910" t="s">
        <v>5</v>
      </c>
      <c r="G2910" t="s">
        <v>6</v>
      </c>
      <c r="L2910" t="s">
        <v>7</v>
      </c>
      <c r="M2910">
        <v>2021</v>
      </c>
      <c r="N2910" s="1">
        <v>44672</v>
      </c>
      <c r="O2910" t="s">
        <v>13713</v>
      </c>
      <c r="P2910">
        <v>1</v>
      </c>
      <c r="Q2910" t="s">
        <v>8081</v>
      </c>
      <c r="S2910">
        <v>217.95</v>
      </c>
      <c r="T2910">
        <v>250</v>
      </c>
      <c r="U2910">
        <v>190</v>
      </c>
      <c r="V2910" t="s">
        <v>20</v>
      </c>
      <c r="W2910" t="s">
        <v>21</v>
      </c>
      <c r="X2910" t="s">
        <v>22</v>
      </c>
      <c r="Y2910" t="s">
        <v>23</v>
      </c>
      <c r="AF2910" t="s">
        <v>13</v>
      </c>
      <c r="AG2910" t="str">
        <f>HYPERLINK("https://doi.org/10.1515/9781474447409")</f>
        <v>https://doi.org/10.1515/9781474447409</v>
      </c>
      <c r="AH2910" t="str">
        <f>HYPERLINK("http://www.degruyter.com/isbn/9781474447409")</f>
        <v>http://www.degruyter.com/isbn/9781474447409</v>
      </c>
      <c r="AI2910" t="s">
        <v>473</v>
      </c>
      <c r="AL2910" t="s">
        <v>15</v>
      </c>
      <c r="AM2910">
        <v>1</v>
      </c>
      <c r="AN2910" s="2">
        <v>9781474447386</v>
      </c>
    </row>
    <row r="2911" spans="1:40" x14ac:dyDescent="0.3">
      <c r="A2911" t="s">
        <v>13714</v>
      </c>
      <c r="B2911" t="s">
        <v>1</v>
      </c>
      <c r="C2911" t="s">
        <v>13715</v>
      </c>
      <c r="D2911" t="s">
        <v>13716</v>
      </c>
      <c r="E2911" t="s">
        <v>13717</v>
      </c>
      <c r="F2911" t="s">
        <v>5</v>
      </c>
      <c r="G2911" t="s">
        <v>6</v>
      </c>
      <c r="L2911" t="s">
        <v>7</v>
      </c>
      <c r="M2911">
        <v>2021</v>
      </c>
      <c r="N2911" s="1">
        <v>44672</v>
      </c>
      <c r="O2911" t="s">
        <v>13718</v>
      </c>
      <c r="P2911">
        <v>1</v>
      </c>
      <c r="S2911">
        <v>227.95</v>
      </c>
      <c r="T2911">
        <v>260</v>
      </c>
      <c r="U2911">
        <v>200</v>
      </c>
      <c r="V2911" t="s">
        <v>9</v>
      </c>
      <c r="W2911" t="s">
        <v>10</v>
      </c>
      <c r="X2911" t="s">
        <v>11</v>
      </c>
      <c r="Y2911" t="s">
        <v>12</v>
      </c>
      <c r="AF2911" t="s">
        <v>13</v>
      </c>
      <c r="AG2911" t="str">
        <f>HYPERLINK("https://doi.org/10.1515/9781474494045")</f>
        <v>https://doi.org/10.1515/9781474494045</v>
      </c>
      <c r="AH2911" t="str">
        <f>HYPERLINK("http://www.degruyter.com/isbn/9781474494045")</f>
        <v>http://www.degruyter.com/isbn/9781474494045</v>
      </c>
      <c r="AI2911" t="s">
        <v>908</v>
      </c>
      <c r="AL2911" t="s">
        <v>15</v>
      </c>
      <c r="AM2911">
        <v>1</v>
      </c>
      <c r="AN2911" s="2">
        <v>9781474494021</v>
      </c>
    </row>
    <row r="2912" spans="1:40" x14ac:dyDescent="0.3">
      <c r="A2912" t="s">
        <v>13719</v>
      </c>
      <c r="B2912" t="s">
        <v>1</v>
      </c>
      <c r="C2912" t="s">
        <v>13720</v>
      </c>
      <c r="D2912" t="s">
        <v>13721</v>
      </c>
      <c r="E2912" t="s">
        <v>13722</v>
      </c>
      <c r="F2912" t="s">
        <v>5</v>
      </c>
      <c r="G2912" t="s">
        <v>6</v>
      </c>
      <c r="L2912" t="s">
        <v>7</v>
      </c>
      <c r="M2912">
        <v>2006</v>
      </c>
      <c r="N2912" s="1">
        <v>38827</v>
      </c>
      <c r="O2912" t="s">
        <v>13723</v>
      </c>
      <c r="P2912">
        <v>1</v>
      </c>
      <c r="Q2912" t="s">
        <v>8650</v>
      </c>
      <c r="S2912">
        <v>243.95</v>
      </c>
      <c r="T2912">
        <v>280</v>
      </c>
      <c r="U2912">
        <v>210</v>
      </c>
      <c r="V2912" t="s">
        <v>20</v>
      </c>
      <c r="W2912" t="s">
        <v>21</v>
      </c>
      <c r="X2912" t="s">
        <v>22</v>
      </c>
      <c r="Y2912" t="s">
        <v>23</v>
      </c>
      <c r="AF2912" t="s">
        <v>13</v>
      </c>
      <c r="AG2912" t="str">
        <f>HYPERLINK("https://doi.org/10.1515/9780748626748")</f>
        <v>https://doi.org/10.1515/9780748626748</v>
      </c>
      <c r="AH2912" t="str">
        <f>HYPERLINK("http://www.degruyter.com/isbn/9780748626748")</f>
        <v>http://www.degruyter.com/isbn/9780748626748</v>
      </c>
      <c r="AI2912" t="s">
        <v>68</v>
      </c>
      <c r="AL2912" t="s">
        <v>15</v>
      </c>
      <c r="AM2912">
        <v>1</v>
      </c>
      <c r="AN2912" s="2">
        <v>9780748623822</v>
      </c>
    </row>
    <row r="2913" spans="1:40" x14ac:dyDescent="0.3">
      <c r="A2913" t="s">
        <v>13724</v>
      </c>
      <c r="B2913" t="s">
        <v>1</v>
      </c>
      <c r="C2913" t="s">
        <v>13725</v>
      </c>
      <c r="D2913" t="s">
        <v>13726</v>
      </c>
      <c r="E2913" t="s">
        <v>13727</v>
      </c>
      <c r="F2913" t="s">
        <v>5</v>
      </c>
      <c r="G2913" t="s">
        <v>6</v>
      </c>
      <c r="L2913" t="s">
        <v>7</v>
      </c>
      <c r="M2913">
        <v>2021</v>
      </c>
      <c r="N2913" s="1">
        <v>44672</v>
      </c>
      <c r="O2913" t="s">
        <v>13728</v>
      </c>
      <c r="P2913">
        <v>1</v>
      </c>
      <c r="S2913">
        <v>217.95</v>
      </c>
      <c r="T2913">
        <v>250</v>
      </c>
      <c r="U2913">
        <v>190</v>
      </c>
      <c r="V2913" t="s">
        <v>9</v>
      </c>
      <c r="W2913" t="s">
        <v>10</v>
      </c>
      <c r="X2913" t="s">
        <v>596</v>
      </c>
      <c r="Y2913" t="s">
        <v>13729</v>
      </c>
      <c r="AF2913" t="s">
        <v>13</v>
      </c>
      <c r="AG2913" t="str">
        <f>HYPERLINK("https://doi.org/10.1515/9781474474481")</f>
        <v>https://doi.org/10.1515/9781474474481</v>
      </c>
      <c r="AH2913" t="str">
        <f>HYPERLINK("http://www.degruyter.com/isbn/9781474474481")</f>
        <v>http://www.degruyter.com/isbn/9781474474481</v>
      </c>
      <c r="AI2913" t="s">
        <v>4477</v>
      </c>
      <c r="AL2913" t="s">
        <v>15</v>
      </c>
      <c r="AM2913">
        <v>1</v>
      </c>
      <c r="AN2913" s="2">
        <v>9781474474467</v>
      </c>
    </row>
    <row r="2914" spans="1:40" x14ac:dyDescent="0.3">
      <c r="A2914" t="s">
        <v>13730</v>
      </c>
      <c r="B2914" t="s">
        <v>1</v>
      </c>
      <c r="C2914" t="s">
        <v>13731</v>
      </c>
      <c r="E2914" t="s">
        <v>13732</v>
      </c>
      <c r="F2914" t="s">
        <v>5</v>
      </c>
      <c r="G2914" t="s">
        <v>6</v>
      </c>
      <c r="L2914" t="s">
        <v>7</v>
      </c>
      <c r="M2914">
        <v>2019</v>
      </c>
      <c r="N2914" s="1">
        <v>44644</v>
      </c>
      <c r="O2914" t="s">
        <v>13733</v>
      </c>
      <c r="P2914">
        <v>1</v>
      </c>
      <c r="Q2914" t="s">
        <v>9604</v>
      </c>
      <c r="S2914">
        <v>217.95</v>
      </c>
      <c r="T2914">
        <v>250</v>
      </c>
      <c r="U2914">
        <v>190</v>
      </c>
      <c r="V2914" t="s">
        <v>58</v>
      </c>
      <c r="W2914" t="s">
        <v>59</v>
      </c>
      <c r="X2914" t="s">
        <v>60</v>
      </c>
      <c r="Y2914" t="s">
        <v>1171</v>
      </c>
      <c r="AF2914" t="s">
        <v>13</v>
      </c>
      <c r="AG2914" t="str">
        <f>HYPERLINK("https://doi.org/10.1515/9780748691845?locatt=mode:legacy")</f>
        <v>https://doi.org/10.1515/9780748691845?locatt=mode:legacy</v>
      </c>
      <c r="AH2914" t="str">
        <f>HYPERLINK("http://www.degruyter.com/isbn/9780748691845")</f>
        <v>http://www.degruyter.com/isbn/9780748691845</v>
      </c>
      <c r="AI2914" t="s">
        <v>280</v>
      </c>
      <c r="AL2914" t="s">
        <v>62</v>
      </c>
      <c r="AM2914">
        <v>1</v>
      </c>
      <c r="AN2914" s="2">
        <v>9780748691838</v>
      </c>
    </row>
    <row r="2915" spans="1:40" x14ac:dyDescent="0.3">
      <c r="A2915" t="s">
        <v>13734</v>
      </c>
      <c r="B2915" t="s">
        <v>1</v>
      </c>
      <c r="C2915" t="s">
        <v>13735</v>
      </c>
      <c r="D2915" t="s">
        <v>13736</v>
      </c>
      <c r="E2915" t="s">
        <v>13737</v>
      </c>
      <c r="F2915" t="s">
        <v>5</v>
      </c>
      <c r="G2915" t="s">
        <v>6</v>
      </c>
      <c r="L2915" t="s">
        <v>7</v>
      </c>
      <c r="M2915">
        <v>2021</v>
      </c>
      <c r="N2915" s="1">
        <v>44672</v>
      </c>
      <c r="O2915" t="s">
        <v>13738</v>
      </c>
      <c r="P2915">
        <v>1</v>
      </c>
      <c r="Q2915" t="s">
        <v>5754</v>
      </c>
      <c r="S2915">
        <v>243.95</v>
      </c>
      <c r="T2915">
        <v>280</v>
      </c>
      <c r="U2915">
        <v>210</v>
      </c>
      <c r="V2915" t="s">
        <v>79</v>
      </c>
      <c r="W2915" t="s">
        <v>123</v>
      </c>
      <c r="X2915" t="s">
        <v>123</v>
      </c>
      <c r="Y2915" t="s">
        <v>124</v>
      </c>
      <c r="AF2915" t="s">
        <v>13</v>
      </c>
      <c r="AG2915" t="str">
        <f>HYPERLINK("https://doi.org/10.1515/9781474480284")</f>
        <v>https://doi.org/10.1515/9781474480284</v>
      </c>
      <c r="AH2915" t="str">
        <f>HYPERLINK("http://www.degruyter.com/isbn/9781474480284")</f>
        <v>http://www.degruyter.com/isbn/9781474480284</v>
      </c>
      <c r="AI2915" t="s">
        <v>4630</v>
      </c>
      <c r="AL2915" t="s">
        <v>83</v>
      </c>
      <c r="AM2915">
        <v>1</v>
      </c>
      <c r="AN2915" s="2">
        <v>9781474480253</v>
      </c>
    </row>
    <row r="2916" spans="1:40" x14ac:dyDescent="0.3">
      <c r="A2916" t="s">
        <v>13739</v>
      </c>
      <c r="B2916" t="s">
        <v>1</v>
      </c>
      <c r="C2916" t="s">
        <v>13740</v>
      </c>
      <c r="D2916" t="s">
        <v>13741</v>
      </c>
      <c r="E2916" t="s">
        <v>13742</v>
      </c>
      <c r="F2916" t="s">
        <v>5</v>
      </c>
      <c r="G2916" t="s">
        <v>6</v>
      </c>
      <c r="L2916" t="s">
        <v>7</v>
      </c>
      <c r="M2916">
        <v>2021</v>
      </c>
      <c r="N2916" s="1">
        <v>44644</v>
      </c>
      <c r="O2916" t="s">
        <v>13743</v>
      </c>
      <c r="P2916">
        <v>1</v>
      </c>
      <c r="Q2916" t="s">
        <v>12952</v>
      </c>
      <c r="S2916">
        <v>253.95</v>
      </c>
      <c r="T2916">
        <v>290</v>
      </c>
      <c r="U2916">
        <v>220</v>
      </c>
      <c r="V2916" t="s">
        <v>42</v>
      </c>
      <c r="W2916" t="s">
        <v>116</v>
      </c>
      <c r="X2916" t="s">
        <v>116</v>
      </c>
      <c r="Y2916" t="s">
        <v>117</v>
      </c>
      <c r="AF2916" t="s">
        <v>13</v>
      </c>
      <c r="AG2916" t="str">
        <f>HYPERLINK("https://doi.org/10.1515/9781474467681")</f>
        <v>https://doi.org/10.1515/9781474467681</v>
      </c>
      <c r="AH2916" t="str">
        <f>HYPERLINK("http://www.degruyter.com/isbn/9781474467681")</f>
        <v>http://www.degruyter.com/isbn/9781474467681</v>
      </c>
      <c r="AI2916" t="s">
        <v>1561</v>
      </c>
      <c r="AL2916" t="s">
        <v>47</v>
      </c>
      <c r="AM2916">
        <v>1</v>
      </c>
      <c r="AN2916" s="2">
        <v>9781474467674</v>
      </c>
    </row>
    <row r="2917" spans="1:40" x14ac:dyDescent="0.3">
      <c r="A2917" t="s">
        <v>13744</v>
      </c>
      <c r="B2917" t="s">
        <v>1</v>
      </c>
      <c r="C2917" t="s">
        <v>13745</v>
      </c>
      <c r="D2917" t="s">
        <v>13746</v>
      </c>
      <c r="E2917" t="s">
        <v>13747</v>
      </c>
      <c r="F2917" t="s">
        <v>5</v>
      </c>
      <c r="G2917" t="s">
        <v>6</v>
      </c>
      <c r="K2917" t="s">
        <v>929</v>
      </c>
      <c r="L2917" t="s">
        <v>7</v>
      </c>
      <c r="M2917">
        <v>2016</v>
      </c>
      <c r="N2917" s="1">
        <v>42621</v>
      </c>
      <c r="O2917" t="s">
        <v>13748</v>
      </c>
      <c r="P2917">
        <v>1</v>
      </c>
      <c r="Q2917" t="s">
        <v>13749</v>
      </c>
      <c r="V2917" t="s">
        <v>42</v>
      </c>
      <c r="W2917" t="s">
        <v>107</v>
      </c>
      <c r="X2917" t="s">
        <v>108</v>
      </c>
      <c r="Y2917" t="s">
        <v>221</v>
      </c>
      <c r="AF2917" t="s">
        <v>13</v>
      </c>
      <c r="AG2917" t="str">
        <f>HYPERLINK("https://doi.org/10.1515/9781474411219?locatt=mode:legacy")</f>
        <v>https://doi.org/10.1515/9781474411219?locatt=mode:legacy</v>
      </c>
      <c r="AH2917" t="str">
        <f>HYPERLINK("http://www.degruyter.com/isbn/9781474411219")</f>
        <v>http://www.degruyter.com/isbn/9781474411219</v>
      </c>
      <c r="AI2917" t="s">
        <v>180</v>
      </c>
      <c r="AM2917">
        <v>1</v>
      </c>
      <c r="AN2917" s="2"/>
    </row>
    <row r="2918" spans="1:40" x14ac:dyDescent="0.3">
      <c r="A2918" t="s">
        <v>13750</v>
      </c>
      <c r="B2918" t="s">
        <v>1</v>
      </c>
      <c r="C2918" t="s">
        <v>13751</v>
      </c>
      <c r="D2918" t="s">
        <v>13752</v>
      </c>
      <c r="E2918" t="s">
        <v>13753</v>
      </c>
      <c r="F2918" t="s">
        <v>5</v>
      </c>
      <c r="G2918" t="s">
        <v>6</v>
      </c>
      <c r="L2918" t="s">
        <v>7</v>
      </c>
      <c r="M2918">
        <v>2000</v>
      </c>
      <c r="N2918" s="1">
        <v>44607</v>
      </c>
      <c r="O2918" t="s">
        <v>13754</v>
      </c>
      <c r="P2918">
        <v>1</v>
      </c>
      <c r="Q2918" t="s">
        <v>11183</v>
      </c>
      <c r="S2918">
        <v>217.95</v>
      </c>
      <c r="T2918">
        <v>250</v>
      </c>
      <c r="U2918">
        <v>190</v>
      </c>
      <c r="V2918" t="s">
        <v>42</v>
      </c>
      <c r="W2918" t="s">
        <v>116</v>
      </c>
      <c r="X2918" t="s">
        <v>116</v>
      </c>
      <c r="Y2918" t="s">
        <v>3967</v>
      </c>
      <c r="AF2918" t="s">
        <v>13</v>
      </c>
      <c r="AG2918" t="str">
        <f>HYPERLINK("https://doi.org/10.1515/9781474465427")</f>
        <v>https://doi.org/10.1515/9781474465427</v>
      </c>
      <c r="AH2918" t="str">
        <f>HYPERLINK("http://www.degruyter.com/isbn/9781474465427")</f>
        <v>http://www.degruyter.com/isbn/9781474465427</v>
      </c>
      <c r="AI2918" t="s">
        <v>68</v>
      </c>
      <c r="AL2918" t="s">
        <v>47</v>
      </c>
      <c r="AM2918">
        <v>1</v>
      </c>
      <c r="AN2918" s="2">
        <v>9780748609512</v>
      </c>
    </row>
    <row r="2919" spans="1:40" x14ac:dyDescent="0.3">
      <c r="A2919" t="s">
        <v>13755</v>
      </c>
      <c r="B2919" t="s">
        <v>1</v>
      </c>
      <c r="C2919" t="s">
        <v>13756</v>
      </c>
      <c r="E2919" t="s">
        <v>13757</v>
      </c>
      <c r="F2919" t="s">
        <v>5</v>
      </c>
      <c r="G2919" t="s">
        <v>6</v>
      </c>
      <c r="L2919" t="s">
        <v>7</v>
      </c>
      <c r="M2919">
        <v>2005</v>
      </c>
      <c r="N2919" s="1">
        <v>38377</v>
      </c>
      <c r="O2919" t="s">
        <v>13758</v>
      </c>
      <c r="P2919">
        <v>1</v>
      </c>
      <c r="Q2919" t="s">
        <v>12993</v>
      </c>
      <c r="S2919">
        <v>227.95</v>
      </c>
      <c r="T2919">
        <v>260</v>
      </c>
      <c r="U2919">
        <v>200</v>
      </c>
      <c r="V2919" t="s">
        <v>42</v>
      </c>
      <c r="W2919" t="s">
        <v>116</v>
      </c>
      <c r="X2919" t="s">
        <v>116</v>
      </c>
      <c r="Y2919" t="s">
        <v>117</v>
      </c>
      <c r="AF2919" t="s">
        <v>13</v>
      </c>
      <c r="AG2919" t="str">
        <f>HYPERLINK("https://doi.org/10.1515/9781474433846")</f>
        <v>https://doi.org/10.1515/9781474433846</v>
      </c>
      <c r="AH2919" t="str">
        <f>HYPERLINK("http://www.degruyter.com/isbn/9781474433846")</f>
        <v>http://www.degruyter.com/isbn/9781474433846</v>
      </c>
      <c r="AI2919" t="s">
        <v>68</v>
      </c>
      <c r="AL2919" t="s">
        <v>47</v>
      </c>
      <c r="AM2919">
        <v>1</v>
      </c>
      <c r="AN2919" s="2">
        <v>9780748616718</v>
      </c>
    </row>
    <row r="2920" spans="1:40" x14ac:dyDescent="0.3">
      <c r="A2920" t="s">
        <v>13759</v>
      </c>
      <c r="B2920" t="s">
        <v>1</v>
      </c>
      <c r="C2920" t="s">
        <v>13760</v>
      </c>
      <c r="D2920" t="s">
        <v>13761</v>
      </c>
      <c r="E2920" t="s">
        <v>13762</v>
      </c>
      <c r="F2920" t="s">
        <v>5</v>
      </c>
      <c r="G2920" t="s">
        <v>6</v>
      </c>
      <c r="L2920" t="s">
        <v>7</v>
      </c>
      <c r="M2920">
        <v>2012</v>
      </c>
      <c r="N2920" s="1">
        <v>41009</v>
      </c>
      <c r="O2920" t="s">
        <v>13763</v>
      </c>
      <c r="P2920">
        <v>1</v>
      </c>
      <c r="Q2920" t="s">
        <v>13611</v>
      </c>
      <c r="S2920">
        <v>217.95</v>
      </c>
      <c r="T2920">
        <v>250</v>
      </c>
      <c r="U2920">
        <v>190</v>
      </c>
      <c r="V2920" t="s">
        <v>42</v>
      </c>
      <c r="W2920" t="s">
        <v>107</v>
      </c>
      <c r="X2920" t="s">
        <v>108</v>
      </c>
      <c r="Y2920" t="s">
        <v>109</v>
      </c>
      <c r="AF2920" t="s">
        <v>13</v>
      </c>
      <c r="AG2920" t="str">
        <f>HYPERLINK("https://doi.org/10.1515/9780748631667")</f>
        <v>https://doi.org/10.1515/9780748631667</v>
      </c>
      <c r="AH2920" t="str">
        <f>HYPERLINK("http://www.degruyter.com/isbn/9780748631667")</f>
        <v>http://www.degruyter.com/isbn/9780748631667</v>
      </c>
      <c r="AI2920" t="s">
        <v>68</v>
      </c>
      <c r="AL2920" t="s">
        <v>47</v>
      </c>
      <c r="AM2920">
        <v>1</v>
      </c>
      <c r="AN2920" s="2">
        <v>9780748627714</v>
      </c>
    </row>
    <row r="2921" spans="1:40" x14ac:dyDescent="0.3">
      <c r="A2921" t="s">
        <v>13764</v>
      </c>
      <c r="B2921" t="s">
        <v>1</v>
      </c>
      <c r="C2921" t="s">
        <v>13765</v>
      </c>
      <c r="E2921" t="s">
        <v>13766</v>
      </c>
      <c r="F2921" t="s">
        <v>5</v>
      </c>
      <c r="G2921" t="s">
        <v>6</v>
      </c>
      <c r="L2921" t="s">
        <v>7</v>
      </c>
      <c r="M2921">
        <v>2021</v>
      </c>
      <c r="N2921" s="1">
        <v>44672</v>
      </c>
      <c r="O2921" t="s">
        <v>13767</v>
      </c>
      <c r="P2921">
        <v>1</v>
      </c>
      <c r="Q2921" t="s">
        <v>7655</v>
      </c>
      <c r="S2921">
        <v>217.95</v>
      </c>
      <c r="T2921">
        <v>250</v>
      </c>
      <c r="U2921">
        <v>190</v>
      </c>
      <c r="V2921" t="s">
        <v>9</v>
      </c>
      <c r="W2921" t="s">
        <v>10</v>
      </c>
      <c r="X2921" t="s">
        <v>11</v>
      </c>
      <c r="Y2921" t="s">
        <v>52</v>
      </c>
      <c r="AF2921" t="s">
        <v>13</v>
      </c>
      <c r="AG2921" t="str">
        <f>HYPERLINK("https://doi.org/10.1515/9781474431392")</f>
        <v>https://doi.org/10.1515/9781474431392</v>
      </c>
      <c r="AH2921" t="str">
        <f>HYPERLINK("http://www.degruyter.com/isbn/9781474431392")</f>
        <v>http://www.degruyter.com/isbn/9781474431392</v>
      </c>
      <c r="AI2921" t="s">
        <v>908</v>
      </c>
      <c r="AL2921" t="s">
        <v>15</v>
      </c>
      <c r="AM2921">
        <v>1</v>
      </c>
      <c r="AN2921" s="2">
        <v>9781474431378</v>
      </c>
    </row>
    <row r="2922" spans="1:40" x14ac:dyDescent="0.3">
      <c r="A2922" t="s">
        <v>13768</v>
      </c>
      <c r="B2922" t="s">
        <v>1</v>
      </c>
      <c r="C2922" t="s">
        <v>13769</v>
      </c>
      <c r="E2922" t="s">
        <v>13770</v>
      </c>
      <c r="F2922" t="s">
        <v>5</v>
      </c>
      <c r="G2922" t="s">
        <v>6</v>
      </c>
      <c r="L2922" t="s">
        <v>7</v>
      </c>
      <c r="M2922">
        <v>2020</v>
      </c>
      <c r="N2922" s="1">
        <v>44656</v>
      </c>
      <c r="O2922" t="s">
        <v>13771</v>
      </c>
      <c r="P2922">
        <v>1</v>
      </c>
      <c r="Q2922" t="s">
        <v>13309</v>
      </c>
      <c r="S2922">
        <v>487.95</v>
      </c>
      <c r="T2922">
        <v>560</v>
      </c>
      <c r="U2922">
        <v>430</v>
      </c>
      <c r="V2922" t="s">
        <v>42</v>
      </c>
      <c r="W2922" t="s">
        <v>107</v>
      </c>
      <c r="X2922" t="s">
        <v>108</v>
      </c>
      <c r="Y2922" t="s">
        <v>109</v>
      </c>
      <c r="AF2922" t="s">
        <v>13</v>
      </c>
      <c r="AG2922" t="str">
        <f>HYPERLINK("https://doi.org/10.1515/9780748693139")</f>
        <v>https://doi.org/10.1515/9780748693139</v>
      </c>
      <c r="AH2922" t="str">
        <f>HYPERLINK("http://www.degruyter.com/isbn/9780748693139")</f>
        <v>http://www.degruyter.com/isbn/9780748693139</v>
      </c>
      <c r="AI2922" t="s">
        <v>14</v>
      </c>
      <c r="AL2922" t="s">
        <v>47</v>
      </c>
      <c r="AM2922">
        <v>1</v>
      </c>
      <c r="AN2922" s="2">
        <v>9780748693122</v>
      </c>
    </row>
    <row r="2923" spans="1:40" x14ac:dyDescent="0.3">
      <c r="A2923" t="s">
        <v>13772</v>
      </c>
      <c r="B2923" t="s">
        <v>1</v>
      </c>
      <c r="C2923" t="s">
        <v>13773</v>
      </c>
      <c r="D2923" t="s">
        <v>13774</v>
      </c>
      <c r="E2923" t="s">
        <v>13775</v>
      </c>
      <c r="F2923" t="s">
        <v>5</v>
      </c>
      <c r="G2923" t="s">
        <v>6</v>
      </c>
      <c r="L2923" t="s">
        <v>7</v>
      </c>
      <c r="M2923">
        <v>2016</v>
      </c>
      <c r="N2923" s="1">
        <v>42419</v>
      </c>
      <c r="O2923" t="s">
        <v>5522</v>
      </c>
      <c r="P2923">
        <v>1</v>
      </c>
      <c r="Q2923" t="s">
        <v>13460</v>
      </c>
      <c r="S2923">
        <v>253.95</v>
      </c>
      <c r="T2923">
        <v>290</v>
      </c>
      <c r="U2923">
        <v>220</v>
      </c>
      <c r="V2923" t="s">
        <v>20</v>
      </c>
      <c r="W2923" t="s">
        <v>21</v>
      </c>
      <c r="X2923" t="s">
        <v>458</v>
      </c>
      <c r="Y2923" t="s">
        <v>459</v>
      </c>
      <c r="AF2923" t="s">
        <v>13</v>
      </c>
      <c r="AG2923" t="str">
        <f>HYPERLINK("https://www.degruyter.com/isbn/9781474408783")</f>
        <v>https://www.degruyter.com/isbn/9781474408783</v>
      </c>
      <c r="AH2923" t="str">
        <f>HYPERLINK("http://www.degruyter.com/isbn/9781474408783")</f>
        <v>http://www.degruyter.com/isbn/9781474408783</v>
      </c>
      <c r="AI2923" t="s">
        <v>180</v>
      </c>
      <c r="AL2923" t="s">
        <v>15</v>
      </c>
      <c r="AM2923">
        <v>1</v>
      </c>
      <c r="AN2923" s="2">
        <v>9781474408776</v>
      </c>
    </row>
    <row r="2924" spans="1:40" x14ac:dyDescent="0.3">
      <c r="A2924" t="s">
        <v>13776</v>
      </c>
      <c r="B2924" t="s">
        <v>1</v>
      </c>
      <c r="C2924" t="s">
        <v>13777</v>
      </c>
      <c r="D2924" t="s">
        <v>13778</v>
      </c>
      <c r="E2924" t="s">
        <v>13779</v>
      </c>
      <c r="F2924" t="s">
        <v>5</v>
      </c>
      <c r="G2924" t="s">
        <v>6</v>
      </c>
      <c r="L2924" t="s">
        <v>7</v>
      </c>
      <c r="M2924">
        <v>2021</v>
      </c>
      <c r="N2924" s="1">
        <v>44672</v>
      </c>
      <c r="O2924" t="s">
        <v>13780</v>
      </c>
      <c r="P2924">
        <v>1</v>
      </c>
      <c r="Q2924" t="s">
        <v>13444</v>
      </c>
      <c r="S2924">
        <v>217.95</v>
      </c>
      <c r="T2924">
        <v>250</v>
      </c>
      <c r="U2924">
        <v>190</v>
      </c>
      <c r="V2924" t="s">
        <v>268</v>
      </c>
      <c r="W2924" t="s">
        <v>269</v>
      </c>
      <c r="X2924" t="s">
        <v>269</v>
      </c>
      <c r="Y2924" t="s">
        <v>13781</v>
      </c>
      <c r="AF2924" t="s">
        <v>13</v>
      </c>
      <c r="AG2924" t="str">
        <f>HYPERLINK("https://doi.org/10.1515/9781474424011")</f>
        <v>https://doi.org/10.1515/9781474424011</v>
      </c>
      <c r="AH2924" t="str">
        <f>HYPERLINK("http://www.degruyter.com/isbn/9781474424011")</f>
        <v>http://www.degruyter.com/isbn/9781474424011</v>
      </c>
      <c r="AI2924" t="s">
        <v>13782</v>
      </c>
      <c r="AL2924" t="s">
        <v>272</v>
      </c>
      <c r="AM2924">
        <v>1</v>
      </c>
      <c r="AN2924" s="2">
        <v>9781474424004</v>
      </c>
    </row>
    <row r="2925" spans="1:40" x14ac:dyDescent="0.3">
      <c r="A2925" t="s">
        <v>13783</v>
      </c>
      <c r="B2925" t="s">
        <v>1</v>
      </c>
      <c r="C2925" t="s">
        <v>13784</v>
      </c>
      <c r="E2925" t="s">
        <v>13785</v>
      </c>
      <c r="F2925" t="s">
        <v>5</v>
      </c>
      <c r="G2925" t="s">
        <v>6</v>
      </c>
      <c r="L2925" t="s">
        <v>7</v>
      </c>
      <c r="M2925">
        <v>2021</v>
      </c>
      <c r="N2925" s="1">
        <v>44672</v>
      </c>
      <c r="O2925" t="s">
        <v>13786</v>
      </c>
      <c r="P2925">
        <v>1</v>
      </c>
      <c r="Q2925" t="s">
        <v>7655</v>
      </c>
      <c r="S2925">
        <v>217.95</v>
      </c>
      <c r="T2925">
        <v>250</v>
      </c>
      <c r="U2925">
        <v>190</v>
      </c>
      <c r="V2925" t="s">
        <v>9</v>
      </c>
      <c r="W2925" t="s">
        <v>10</v>
      </c>
      <c r="X2925" t="s">
        <v>11</v>
      </c>
      <c r="Y2925" t="s">
        <v>52</v>
      </c>
      <c r="AF2925" t="s">
        <v>13</v>
      </c>
      <c r="AG2925" t="str">
        <f>HYPERLINK("https://doi.org/10.1515/9781474494434")</f>
        <v>https://doi.org/10.1515/9781474494434</v>
      </c>
      <c r="AH2925" t="str">
        <f>HYPERLINK("http://www.degruyter.com/isbn/9781474494434")</f>
        <v>http://www.degruyter.com/isbn/9781474494434</v>
      </c>
      <c r="AI2925" t="s">
        <v>908</v>
      </c>
      <c r="AL2925" t="s">
        <v>15</v>
      </c>
      <c r="AM2925">
        <v>1</v>
      </c>
      <c r="AN2925" s="2">
        <v>9781474494410</v>
      </c>
    </row>
    <row r="2926" spans="1:40" x14ac:dyDescent="0.3">
      <c r="A2926" t="s">
        <v>13787</v>
      </c>
      <c r="B2926" t="s">
        <v>1</v>
      </c>
      <c r="C2926" t="s">
        <v>13788</v>
      </c>
      <c r="D2926" t="s">
        <v>13789</v>
      </c>
      <c r="E2926" t="s">
        <v>13790</v>
      </c>
      <c r="F2926" t="s">
        <v>5</v>
      </c>
      <c r="G2926" t="s">
        <v>6</v>
      </c>
      <c r="L2926" t="s">
        <v>7</v>
      </c>
      <c r="M2926">
        <v>2021</v>
      </c>
      <c r="N2926" s="1">
        <v>44672</v>
      </c>
      <c r="O2926" t="s">
        <v>13791</v>
      </c>
      <c r="P2926">
        <v>1</v>
      </c>
      <c r="Q2926" t="s">
        <v>8859</v>
      </c>
      <c r="S2926">
        <v>217.95</v>
      </c>
      <c r="T2926">
        <v>250</v>
      </c>
      <c r="U2926">
        <v>190</v>
      </c>
      <c r="V2926" t="s">
        <v>20</v>
      </c>
      <c r="W2926" t="s">
        <v>21</v>
      </c>
      <c r="X2926" t="s">
        <v>22</v>
      </c>
      <c r="Y2926" t="s">
        <v>23</v>
      </c>
      <c r="AF2926" t="s">
        <v>13</v>
      </c>
      <c r="AG2926" t="str">
        <f>HYPERLINK("https://doi.org/10.1515/9780748656394")</f>
        <v>https://doi.org/10.1515/9780748656394</v>
      </c>
      <c r="AH2926" t="str">
        <f>HYPERLINK("http://www.degruyter.com/isbn/9780748656394")</f>
        <v>http://www.degruyter.com/isbn/9780748656394</v>
      </c>
      <c r="AI2926" t="s">
        <v>473</v>
      </c>
      <c r="AL2926" t="s">
        <v>15</v>
      </c>
      <c r="AM2926">
        <v>1</v>
      </c>
      <c r="AN2926" s="2">
        <v>9780748656387</v>
      </c>
    </row>
    <row r="2927" spans="1:40" x14ac:dyDescent="0.3">
      <c r="A2927" t="s">
        <v>13792</v>
      </c>
      <c r="B2927" t="s">
        <v>1</v>
      </c>
      <c r="C2927" t="s">
        <v>13793</v>
      </c>
      <c r="D2927" t="s">
        <v>13794</v>
      </c>
      <c r="E2927" t="s">
        <v>13795</v>
      </c>
      <c r="F2927" t="s">
        <v>5</v>
      </c>
      <c r="G2927" t="s">
        <v>6</v>
      </c>
      <c r="L2927" t="s">
        <v>7</v>
      </c>
      <c r="M2927">
        <v>2021</v>
      </c>
      <c r="N2927" s="1">
        <v>44644</v>
      </c>
      <c r="O2927" t="s">
        <v>13796</v>
      </c>
      <c r="P2927">
        <v>1</v>
      </c>
      <c r="Q2927" t="s">
        <v>13749</v>
      </c>
      <c r="S2927">
        <v>227.95</v>
      </c>
      <c r="T2927">
        <v>260</v>
      </c>
      <c r="U2927">
        <v>200</v>
      </c>
      <c r="V2927" t="s">
        <v>42</v>
      </c>
      <c r="W2927" t="s">
        <v>107</v>
      </c>
      <c r="X2927" t="s">
        <v>108</v>
      </c>
      <c r="Y2927" t="s">
        <v>221</v>
      </c>
      <c r="AF2927" t="s">
        <v>13</v>
      </c>
      <c r="AG2927" t="str">
        <f>HYPERLINK("https://doi.org/10.1515/9781474477468")</f>
        <v>https://doi.org/10.1515/9781474477468</v>
      </c>
      <c r="AH2927" t="str">
        <f>HYPERLINK("http://www.degruyter.com/isbn/9781474477468")</f>
        <v>http://www.degruyter.com/isbn/9781474477468</v>
      </c>
      <c r="AI2927" t="s">
        <v>1561</v>
      </c>
      <c r="AL2927" t="s">
        <v>47</v>
      </c>
      <c r="AM2927">
        <v>1</v>
      </c>
      <c r="AN2927" s="2">
        <v>9781474477444</v>
      </c>
    </row>
    <row r="2928" spans="1:40" x14ac:dyDescent="0.3">
      <c r="A2928" t="s">
        <v>13797</v>
      </c>
      <c r="B2928" t="s">
        <v>1</v>
      </c>
      <c r="C2928" t="s">
        <v>13798</v>
      </c>
      <c r="E2928" t="s">
        <v>13799</v>
      </c>
      <c r="F2928" t="s">
        <v>5</v>
      </c>
      <c r="G2928" t="s">
        <v>6</v>
      </c>
      <c r="L2928" t="s">
        <v>7</v>
      </c>
      <c r="M2928">
        <v>2011</v>
      </c>
      <c r="N2928" s="1">
        <v>40700</v>
      </c>
      <c r="O2928" t="s">
        <v>13800</v>
      </c>
      <c r="P2928">
        <v>1</v>
      </c>
      <c r="Q2928" t="s">
        <v>13304</v>
      </c>
      <c r="S2928">
        <v>453.95</v>
      </c>
      <c r="T2928">
        <v>520</v>
      </c>
      <c r="U2928">
        <v>400</v>
      </c>
      <c r="V2928" t="s">
        <v>20</v>
      </c>
      <c r="W2928" t="s">
        <v>470</v>
      </c>
      <c r="X2928" t="s">
        <v>1269</v>
      </c>
      <c r="Y2928" t="s">
        <v>1270</v>
      </c>
      <c r="AF2928" t="s">
        <v>13</v>
      </c>
      <c r="AG2928" t="str">
        <f>HYPERLINK("https://doi.org/10.1515/9780748647019")</f>
        <v>https://doi.org/10.1515/9780748647019</v>
      </c>
      <c r="AH2928" t="str">
        <f>HYPERLINK("http://www.degruyter.com/isbn/9780748647019")</f>
        <v>http://www.degruyter.com/isbn/9780748647019</v>
      </c>
      <c r="AI2928" t="s">
        <v>68</v>
      </c>
      <c r="AL2928" t="s">
        <v>15</v>
      </c>
      <c r="AM2928">
        <v>1</v>
      </c>
      <c r="AN2928" s="2">
        <v>9780748635665</v>
      </c>
    </row>
    <row r="2929" spans="1:40" x14ac:dyDescent="0.3">
      <c r="A2929" t="s">
        <v>13801</v>
      </c>
      <c r="B2929" t="s">
        <v>1</v>
      </c>
      <c r="C2929" t="s">
        <v>13802</v>
      </c>
      <c r="D2929" t="s">
        <v>13803</v>
      </c>
      <c r="E2929" t="s">
        <v>13804</v>
      </c>
      <c r="F2929" t="s">
        <v>5</v>
      </c>
      <c r="G2929" t="s">
        <v>6</v>
      </c>
      <c r="L2929" t="s">
        <v>7</v>
      </c>
      <c r="M2929">
        <v>2017</v>
      </c>
      <c r="N2929" s="1">
        <v>42759</v>
      </c>
      <c r="O2929" t="s">
        <v>13805</v>
      </c>
      <c r="P2929">
        <v>1</v>
      </c>
      <c r="Q2929" t="s">
        <v>13611</v>
      </c>
      <c r="S2929">
        <v>217.95</v>
      </c>
      <c r="T2929">
        <v>250</v>
      </c>
      <c r="U2929">
        <v>190</v>
      </c>
      <c r="V2929" t="s">
        <v>42</v>
      </c>
      <c r="W2929" t="s">
        <v>107</v>
      </c>
      <c r="X2929" t="s">
        <v>108</v>
      </c>
      <c r="Y2929" t="s">
        <v>952</v>
      </c>
      <c r="AF2929" t="s">
        <v>13</v>
      </c>
      <c r="AG2929" t="str">
        <f>HYPERLINK("https://doi.org/10.1515/9780748635085")</f>
        <v>https://doi.org/10.1515/9780748635085</v>
      </c>
      <c r="AH2929" t="str">
        <f>HYPERLINK("http://www.degruyter.com/isbn/9780748635085")</f>
        <v>http://www.degruyter.com/isbn/9780748635085</v>
      </c>
      <c r="AI2929" t="s">
        <v>222</v>
      </c>
      <c r="AL2929" t="s">
        <v>47</v>
      </c>
      <c r="AM2929">
        <v>1</v>
      </c>
      <c r="AN2929" s="2">
        <v>9780748635061</v>
      </c>
    </row>
    <row r="2930" spans="1:40" x14ac:dyDescent="0.3">
      <c r="A2930" t="s">
        <v>13806</v>
      </c>
      <c r="B2930" t="s">
        <v>1</v>
      </c>
      <c r="C2930" t="s">
        <v>13807</v>
      </c>
      <c r="D2930" t="s">
        <v>13808</v>
      </c>
      <c r="E2930" t="s">
        <v>13809</v>
      </c>
      <c r="F2930" t="s">
        <v>5</v>
      </c>
      <c r="G2930" t="s">
        <v>6</v>
      </c>
      <c r="L2930" t="s">
        <v>7</v>
      </c>
      <c r="M2930">
        <v>2021</v>
      </c>
      <c r="N2930" s="1">
        <v>44972</v>
      </c>
      <c r="O2930" t="s">
        <v>13810</v>
      </c>
      <c r="P2930">
        <v>1</v>
      </c>
      <c r="Q2930" t="s">
        <v>13811</v>
      </c>
      <c r="S2930">
        <v>47.95</v>
      </c>
      <c r="T2930">
        <v>55</v>
      </c>
      <c r="U2930">
        <v>40</v>
      </c>
      <c r="V2930" t="s">
        <v>305</v>
      </c>
      <c r="W2930" t="s">
        <v>306</v>
      </c>
      <c r="X2930" t="s">
        <v>306</v>
      </c>
      <c r="Y2930" t="s">
        <v>13812</v>
      </c>
      <c r="AF2930" t="s">
        <v>13</v>
      </c>
      <c r="AH2930" t="str">
        <f>HYPERLINK("http://www.degruyter.com/isbn/9781838382216")</f>
        <v>http://www.degruyter.com/isbn/9781838382216</v>
      </c>
      <c r="AI2930" t="s">
        <v>13813</v>
      </c>
      <c r="AM2930">
        <v>1</v>
      </c>
      <c r="AN2930" s="2">
        <v>9781838382209</v>
      </c>
    </row>
    <row r="2931" spans="1:40" x14ac:dyDescent="0.3">
      <c r="A2931" t="s">
        <v>13814</v>
      </c>
      <c r="B2931" t="s">
        <v>1</v>
      </c>
      <c r="C2931" t="s">
        <v>13815</v>
      </c>
      <c r="E2931" t="s">
        <v>13816</v>
      </c>
      <c r="F2931" t="s">
        <v>5</v>
      </c>
      <c r="G2931" t="s">
        <v>6</v>
      </c>
      <c r="L2931" t="s">
        <v>7</v>
      </c>
      <c r="M2931">
        <v>2012</v>
      </c>
      <c r="N2931" s="1">
        <v>41088</v>
      </c>
      <c r="O2931" t="s">
        <v>13817</v>
      </c>
      <c r="P2931">
        <v>1</v>
      </c>
      <c r="Q2931" t="s">
        <v>12993</v>
      </c>
      <c r="S2931">
        <v>253.95</v>
      </c>
      <c r="T2931">
        <v>290</v>
      </c>
      <c r="U2931">
        <v>220</v>
      </c>
      <c r="V2931" t="s">
        <v>42</v>
      </c>
      <c r="W2931" t="s">
        <v>107</v>
      </c>
      <c r="X2931" t="s">
        <v>108</v>
      </c>
      <c r="Y2931" t="s">
        <v>952</v>
      </c>
      <c r="AF2931" t="s">
        <v>13</v>
      </c>
      <c r="AG2931" t="str">
        <f>HYPERLINK("https://doi.org/10.1515/9781474469258")</f>
        <v>https://doi.org/10.1515/9781474469258</v>
      </c>
      <c r="AH2931" t="str">
        <f>HYPERLINK("http://www.degruyter.com/isbn/9781474469258")</f>
        <v>http://www.degruyter.com/isbn/9781474469258</v>
      </c>
      <c r="AI2931" t="s">
        <v>68</v>
      </c>
      <c r="AL2931" t="s">
        <v>47</v>
      </c>
      <c r="AM2931">
        <v>1</v>
      </c>
      <c r="AN2931" s="2">
        <v>9780748638116</v>
      </c>
    </row>
    <row r="2932" spans="1:40" x14ac:dyDescent="0.3">
      <c r="A2932" t="s">
        <v>13818</v>
      </c>
      <c r="B2932" t="s">
        <v>1</v>
      </c>
      <c r="C2932" t="s">
        <v>13819</v>
      </c>
      <c r="E2932" t="s">
        <v>13820</v>
      </c>
      <c r="F2932" t="s">
        <v>5</v>
      </c>
      <c r="G2932" t="s">
        <v>6</v>
      </c>
      <c r="L2932" t="s">
        <v>7</v>
      </c>
      <c r="M2932">
        <v>2021</v>
      </c>
      <c r="N2932" s="1">
        <v>44644</v>
      </c>
      <c r="O2932" t="s">
        <v>13821</v>
      </c>
      <c r="P2932">
        <v>1</v>
      </c>
      <c r="Q2932" t="s">
        <v>13309</v>
      </c>
      <c r="S2932">
        <v>415.95</v>
      </c>
      <c r="T2932">
        <v>470</v>
      </c>
      <c r="U2932">
        <v>360</v>
      </c>
      <c r="V2932" t="s">
        <v>42</v>
      </c>
      <c r="W2932" t="s">
        <v>290</v>
      </c>
      <c r="X2932" t="s">
        <v>290</v>
      </c>
      <c r="Y2932" t="s">
        <v>515</v>
      </c>
      <c r="AF2932" t="s">
        <v>13</v>
      </c>
      <c r="AG2932" t="str">
        <f>HYPERLINK("https://doi.org/10.1515/9781474448482")</f>
        <v>https://doi.org/10.1515/9781474448482</v>
      </c>
      <c r="AH2932" t="str">
        <f>HYPERLINK("http://www.degruyter.com/isbn/9781474448482")</f>
        <v>http://www.degruyter.com/isbn/9781474448482</v>
      </c>
      <c r="AI2932" t="s">
        <v>1561</v>
      </c>
      <c r="AL2932" t="s">
        <v>47</v>
      </c>
      <c r="AM2932">
        <v>1</v>
      </c>
      <c r="AN2932" s="2">
        <v>9781474448475</v>
      </c>
    </row>
    <row r="2933" spans="1:40" x14ac:dyDescent="0.3">
      <c r="A2933" t="s">
        <v>13822</v>
      </c>
      <c r="B2933" t="s">
        <v>1</v>
      </c>
      <c r="C2933" t="s">
        <v>13823</v>
      </c>
      <c r="D2933" t="s">
        <v>13824</v>
      </c>
      <c r="E2933" t="s">
        <v>13825</v>
      </c>
      <c r="F2933" t="s">
        <v>5</v>
      </c>
      <c r="G2933" t="s">
        <v>6</v>
      </c>
      <c r="L2933" t="s">
        <v>7</v>
      </c>
      <c r="M2933">
        <v>2021</v>
      </c>
      <c r="N2933" s="1">
        <v>44672</v>
      </c>
      <c r="O2933" t="s">
        <v>13826</v>
      </c>
      <c r="P2933">
        <v>1</v>
      </c>
      <c r="Q2933" t="s">
        <v>6622</v>
      </c>
      <c r="S2933">
        <v>217.95</v>
      </c>
      <c r="T2933">
        <v>250</v>
      </c>
      <c r="U2933">
        <v>190</v>
      </c>
      <c r="V2933" t="s">
        <v>1325</v>
      </c>
      <c r="W2933" t="s">
        <v>5954</v>
      </c>
      <c r="X2933" t="s">
        <v>5954</v>
      </c>
      <c r="Y2933" t="s">
        <v>7075</v>
      </c>
      <c r="AF2933" t="s">
        <v>13</v>
      </c>
      <c r="AG2933" t="str">
        <f>HYPERLINK("https://doi.org/10.1515/9781474493963")</f>
        <v>https://doi.org/10.1515/9781474493963</v>
      </c>
      <c r="AH2933" t="str">
        <f>HYPERLINK("http://www.degruyter.com/isbn/9781474493963")</f>
        <v>http://www.degruyter.com/isbn/9781474493963</v>
      </c>
      <c r="AI2933" t="s">
        <v>13827</v>
      </c>
      <c r="AL2933" t="s">
        <v>1328</v>
      </c>
      <c r="AM2933">
        <v>1</v>
      </c>
      <c r="AN2933" s="2">
        <v>9781474493949</v>
      </c>
    </row>
    <row r="2934" spans="1:40" x14ac:dyDescent="0.3">
      <c r="A2934" t="s">
        <v>13828</v>
      </c>
      <c r="B2934" t="s">
        <v>1</v>
      </c>
      <c r="C2934" t="s">
        <v>13829</v>
      </c>
      <c r="D2934" t="s">
        <v>13830</v>
      </c>
      <c r="E2934" t="s">
        <v>13831</v>
      </c>
      <c r="F2934" t="s">
        <v>5</v>
      </c>
      <c r="G2934" t="s">
        <v>6</v>
      </c>
      <c r="L2934" t="s">
        <v>7</v>
      </c>
      <c r="M2934">
        <v>2019</v>
      </c>
      <c r="N2934" s="1">
        <v>44644</v>
      </c>
      <c r="O2934" t="s">
        <v>13832</v>
      </c>
      <c r="P2934">
        <v>1</v>
      </c>
      <c r="Q2934" t="s">
        <v>13444</v>
      </c>
      <c r="S2934">
        <v>253.95</v>
      </c>
      <c r="T2934">
        <v>290</v>
      </c>
      <c r="U2934">
        <v>220</v>
      </c>
      <c r="V2934" t="s">
        <v>268</v>
      </c>
      <c r="W2934" t="s">
        <v>269</v>
      </c>
      <c r="X2934" t="s">
        <v>269</v>
      </c>
      <c r="Y2934" t="s">
        <v>270</v>
      </c>
      <c r="AF2934" t="s">
        <v>13</v>
      </c>
      <c r="AG2934" t="str">
        <f>HYPERLINK("https://doi.org/10.1515/9781474420846?locatt=mode:legacy")</f>
        <v>https://doi.org/10.1515/9781474420846?locatt=mode:legacy</v>
      </c>
      <c r="AH2934" t="str">
        <f>HYPERLINK("http://www.degruyter.com/isbn/9781474420846")</f>
        <v>http://www.degruyter.com/isbn/9781474420846</v>
      </c>
      <c r="AI2934" t="s">
        <v>13833</v>
      </c>
      <c r="AL2934" t="s">
        <v>272</v>
      </c>
      <c r="AM2934">
        <v>1</v>
      </c>
      <c r="AN2934" s="2">
        <v>9781474420839</v>
      </c>
    </row>
    <row r="2935" spans="1:40" x14ac:dyDescent="0.3">
      <c r="A2935" t="s">
        <v>13834</v>
      </c>
      <c r="B2935" t="s">
        <v>1</v>
      </c>
      <c r="C2935" t="s">
        <v>13835</v>
      </c>
      <c r="E2935" t="s">
        <v>13836</v>
      </c>
      <c r="F2935" t="s">
        <v>5</v>
      </c>
      <c r="G2935" t="s">
        <v>6</v>
      </c>
      <c r="L2935" t="s">
        <v>7</v>
      </c>
      <c r="M2935">
        <v>2021</v>
      </c>
      <c r="N2935" s="1">
        <v>44656</v>
      </c>
      <c r="O2935" t="s">
        <v>13837</v>
      </c>
      <c r="P2935">
        <v>1</v>
      </c>
      <c r="Q2935" t="s">
        <v>13309</v>
      </c>
      <c r="S2935">
        <v>415.95</v>
      </c>
      <c r="T2935">
        <v>470</v>
      </c>
      <c r="U2935">
        <v>360</v>
      </c>
      <c r="V2935" t="s">
        <v>20</v>
      </c>
      <c r="W2935" t="s">
        <v>21</v>
      </c>
      <c r="X2935" t="s">
        <v>22</v>
      </c>
      <c r="Y2935" t="s">
        <v>1143</v>
      </c>
      <c r="AF2935" t="s">
        <v>13</v>
      </c>
      <c r="AG2935" t="str">
        <f>HYPERLINK("https://doi.org/10.1515/9781474456708")</f>
        <v>https://doi.org/10.1515/9781474456708</v>
      </c>
      <c r="AH2935" t="str">
        <f>HYPERLINK("http://www.degruyter.com/isbn/9781474456708")</f>
        <v>http://www.degruyter.com/isbn/9781474456708</v>
      </c>
      <c r="AI2935" t="s">
        <v>473</v>
      </c>
      <c r="AL2935" t="s">
        <v>15</v>
      </c>
      <c r="AM2935">
        <v>1</v>
      </c>
      <c r="AN2935" s="2">
        <v>9781474456692</v>
      </c>
    </row>
    <row r="2936" spans="1:40" x14ac:dyDescent="0.3">
      <c r="A2936" t="s">
        <v>13838</v>
      </c>
      <c r="B2936" t="s">
        <v>1</v>
      </c>
      <c r="C2936" t="s">
        <v>13839</v>
      </c>
      <c r="D2936" t="s">
        <v>13840</v>
      </c>
      <c r="E2936" t="s">
        <v>13841</v>
      </c>
      <c r="F2936" t="s">
        <v>5</v>
      </c>
      <c r="G2936" t="s">
        <v>6</v>
      </c>
      <c r="K2936" t="s">
        <v>12972</v>
      </c>
      <c r="L2936" t="s">
        <v>7</v>
      </c>
      <c r="M2936">
        <v>2021</v>
      </c>
      <c r="N2936" s="1">
        <v>44484</v>
      </c>
      <c r="O2936" t="s">
        <v>13842</v>
      </c>
      <c r="P2936">
        <v>1</v>
      </c>
      <c r="Q2936" t="s">
        <v>13843</v>
      </c>
      <c r="V2936" t="s">
        <v>58</v>
      </c>
      <c r="W2936" t="s">
        <v>59</v>
      </c>
      <c r="X2936" t="s">
        <v>3060</v>
      </c>
      <c r="Y2936" t="s">
        <v>3061</v>
      </c>
      <c r="AF2936" t="s">
        <v>13</v>
      </c>
      <c r="AG2936" t="str">
        <f>HYPERLINK("https://doi.org/10.1515/9781474487078")</f>
        <v>https://doi.org/10.1515/9781474487078</v>
      </c>
      <c r="AH2936" t="str">
        <f>HYPERLINK("http://www.degruyter.com/isbn/9781474487078")</f>
        <v>http://www.degruyter.com/isbn/9781474487078</v>
      </c>
      <c r="AI2936" t="s">
        <v>5150</v>
      </c>
      <c r="AM2936">
        <v>1</v>
      </c>
      <c r="AN2936" s="2"/>
    </row>
    <row r="2937" spans="1:40" x14ac:dyDescent="0.3">
      <c r="A2937" t="s">
        <v>13844</v>
      </c>
      <c r="B2937" t="s">
        <v>1</v>
      </c>
      <c r="C2937" t="s">
        <v>13845</v>
      </c>
      <c r="D2937" t="s">
        <v>13846</v>
      </c>
      <c r="E2937" t="s">
        <v>13847</v>
      </c>
      <c r="F2937" t="s">
        <v>5</v>
      </c>
      <c r="G2937" t="s">
        <v>6</v>
      </c>
      <c r="L2937" t="s">
        <v>7</v>
      </c>
      <c r="M2937">
        <v>2017</v>
      </c>
      <c r="N2937" s="1">
        <v>42926</v>
      </c>
      <c r="O2937" t="s">
        <v>13848</v>
      </c>
      <c r="P2937">
        <v>1</v>
      </c>
      <c r="Q2937" t="s">
        <v>13361</v>
      </c>
      <c r="S2937">
        <v>227.95</v>
      </c>
      <c r="T2937">
        <v>260</v>
      </c>
      <c r="U2937">
        <v>200</v>
      </c>
      <c r="V2937" t="s">
        <v>42</v>
      </c>
      <c r="W2937" t="s">
        <v>116</v>
      </c>
      <c r="X2937" t="s">
        <v>116</v>
      </c>
      <c r="Y2937" t="s">
        <v>117</v>
      </c>
      <c r="AF2937" t="s">
        <v>13</v>
      </c>
      <c r="AG2937" t="str">
        <f>HYPERLINK("https://doi.org/10.1515/9781474417723?locatt=mode:legacy")</f>
        <v>https://doi.org/10.1515/9781474417723?locatt=mode:legacy</v>
      </c>
      <c r="AH2937" t="str">
        <f>HYPERLINK("http://www.degruyter.com/isbn/9781474417723")</f>
        <v>http://www.degruyter.com/isbn/9781474417723</v>
      </c>
      <c r="AI2937" t="s">
        <v>222</v>
      </c>
      <c r="AL2937" t="s">
        <v>47</v>
      </c>
      <c r="AM2937">
        <v>1</v>
      </c>
      <c r="AN2937" s="2">
        <v>9781474417716</v>
      </c>
    </row>
    <row r="2938" spans="1:40" x14ac:dyDescent="0.3">
      <c r="A2938" t="s">
        <v>13849</v>
      </c>
      <c r="B2938" t="s">
        <v>1</v>
      </c>
      <c r="C2938" t="s">
        <v>13850</v>
      </c>
      <c r="D2938" t="s">
        <v>1316</v>
      </c>
      <c r="E2938" t="s">
        <v>13851</v>
      </c>
      <c r="F2938" t="s">
        <v>5</v>
      </c>
      <c r="G2938" t="s">
        <v>6</v>
      </c>
      <c r="L2938" t="s">
        <v>7</v>
      </c>
      <c r="M2938">
        <v>2018</v>
      </c>
      <c r="N2938" s="1">
        <v>44656</v>
      </c>
      <c r="O2938" t="s">
        <v>13852</v>
      </c>
      <c r="P2938">
        <v>1</v>
      </c>
      <c r="Q2938" t="s">
        <v>13628</v>
      </c>
      <c r="S2938">
        <v>227.95</v>
      </c>
      <c r="T2938">
        <v>260</v>
      </c>
      <c r="U2938">
        <v>200</v>
      </c>
      <c r="V2938" t="s">
        <v>42</v>
      </c>
      <c r="W2938" t="s">
        <v>161</v>
      </c>
      <c r="X2938" t="s">
        <v>162</v>
      </c>
      <c r="Y2938" t="s">
        <v>1876</v>
      </c>
      <c r="AF2938" t="s">
        <v>13</v>
      </c>
      <c r="AG2938" t="str">
        <f>HYPERLINK("https://doi.org/10.1515/9781474402453")</f>
        <v>https://doi.org/10.1515/9781474402453</v>
      </c>
      <c r="AH2938" t="str">
        <f>HYPERLINK("http://www.degruyter.com/isbn/9781474402453")</f>
        <v>http://www.degruyter.com/isbn/9781474402453</v>
      </c>
      <c r="AI2938" t="s">
        <v>46</v>
      </c>
      <c r="AL2938" t="s">
        <v>47</v>
      </c>
      <c r="AM2938">
        <v>1</v>
      </c>
      <c r="AN2938" s="2">
        <v>9781474402446</v>
      </c>
    </row>
    <row r="2939" spans="1:40" x14ac:dyDescent="0.3">
      <c r="A2939" t="s">
        <v>13853</v>
      </c>
      <c r="B2939" t="s">
        <v>1</v>
      </c>
      <c r="C2939" t="s">
        <v>13854</v>
      </c>
      <c r="E2939" t="s">
        <v>13855</v>
      </c>
      <c r="F2939" t="s">
        <v>5</v>
      </c>
      <c r="G2939" t="s">
        <v>6</v>
      </c>
      <c r="L2939" t="s">
        <v>7</v>
      </c>
      <c r="M2939">
        <v>2021</v>
      </c>
      <c r="N2939" s="1">
        <v>44672</v>
      </c>
      <c r="O2939" t="s">
        <v>13856</v>
      </c>
      <c r="P2939">
        <v>1</v>
      </c>
      <c r="S2939">
        <v>217.95</v>
      </c>
      <c r="T2939">
        <v>250</v>
      </c>
      <c r="U2939">
        <v>190</v>
      </c>
      <c r="V2939" t="s">
        <v>58</v>
      </c>
      <c r="W2939" t="s">
        <v>59</v>
      </c>
      <c r="X2939" t="s">
        <v>60</v>
      </c>
      <c r="Y2939" t="s">
        <v>13857</v>
      </c>
      <c r="AF2939" t="s">
        <v>13</v>
      </c>
      <c r="AG2939" t="str">
        <f>HYPERLINK("https://doi.org/10.1515/9781474479264")</f>
        <v>https://doi.org/10.1515/9781474479264</v>
      </c>
      <c r="AH2939" t="str">
        <f>HYPERLINK("http://www.degruyter.com/isbn/9781474479264")</f>
        <v>http://www.degruyter.com/isbn/9781474479264</v>
      </c>
      <c r="AI2939" t="s">
        <v>5150</v>
      </c>
      <c r="AL2939" t="s">
        <v>62</v>
      </c>
      <c r="AM2939">
        <v>1</v>
      </c>
      <c r="AN2939" s="2">
        <v>9781474479240</v>
      </c>
    </row>
    <row r="2940" spans="1:40" x14ac:dyDescent="0.3">
      <c r="A2940" t="s">
        <v>13858</v>
      </c>
      <c r="B2940" t="s">
        <v>1</v>
      </c>
      <c r="C2940" t="s">
        <v>13859</v>
      </c>
      <c r="D2940" t="s">
        <v>13860</v>
      </c>
      <c r="E2940" t="s">
        <v>13861</v>
      </c>
      <c r="F2940" t="s">
        <v>5</v>
      </c>
      <c r="G2940" t="s">
        <v>6</v>
      </c>
      <c r="L2940" t="s">
        <v>7</v>
      </c>
      <c r="M2940">
        <v>2018</v>
      </c>
      <c r="N2940" s="1">
        <v>44656</v>
      </c>
      <c r="O2940" t="s">
        <v>13862</v>
      </c>
      <c r="P2940">
        <v>1</v>
      </c>
      <c r="Q2940" t="s">
        <v>13444</v>
      </c>
      <c r="S2940">
        <v>217.95</v>
      </c>
      <c r="T2940">
        <v>250</v>
      </c>
      <c r="U2940">
        <v>190</v>
      </c>
      <c r="V2940" t="s">
        <v>268</v>
      </c>
      <c r="W2940" t="s">
        <v>1408</v>
      </c>
      <c r="X2940" t="s">
        <v>13863</v>
      </c>
      <c r="Y2940" t="s">
        <v>13864</v>
      </c>
      <c r="AF2940" t="s">
        <v>13</v>
      </c>
      <c r="AG2940" t="str">
        <f>HYPERLINK("https://doi.org/10.1515/9781474426589?locatt=mode:legacy")</f>
        <v>https://doi.org/10.1515/9781474426589?locatt=mode:legacy</v>
      </c>
      <c r="AH2940" t="str">
        <f>HYPERLINK("http://www.degruyter.com/isbn/9781474426589")</f>
        <v>http://www.degruyter.com/isbn/9781474426589</v>
      </c>
      <c r="AI2940" t="s">
        <v>13865</v>
      </c>
      <c r="AL2940" t="s">
        <v>272</v>
      </c>
      <c r="AM2940">
        <v>1</v>
      </c>
      <c r="AN2940" s="2">
        <v>9781474426565</v>
      </c>
    </row>
    <row r="2941" spans="1:40" x14ac:dyDescent="0.3">
      <c r="A2941" t="s">
        <v>13866</v>
      </c>
      <c r="B2941" t="s">
        <v>1</v>
      </c>
      <c r="C2941" t="s">
        <v>13867</v>
      </c>
      <c r="E2941" t="s">
        <v>13868</v>
      </c>
      <c r="F2941" t="s">
        <v>5</v>
      </c>
      <c r="G2941" t="s">
        <v>6</v>
      </c>
      <c r="L2941" t="s">
        <v>7</v>
      </c>
      <c r="M2941">
        <v>2019</v>
      </c>
      <c r="N2941" s="1">
        <v>44656</v>
      </c>
      <c r="O2941" t="s">
        <v>13869</v>
      </c>
      <c r="P2941">
        <v>1</v>
      </c>
      <c r="Q2941" t="s">
        <v>13460</v>
      </c>
      <c r="S2941">
        <v>243.95</v>
      </c>
      <c r="T2941">
        <v>280</v>
      </c>
      <c r="U2941">
        <v>210</v>
      </c>
      <c r="V2941" t="s">
        <v>20</v>
      </c>
      <c r="W2941" t="s">
        <v>21</v>
      </c>
      <c r="X2941" t="s">
        <v>458</v>
      </c>
      <c r="Y2941" t="s">
        <v>459</v>
      </c>
      <c r="AF2941" t="s">
        <v>13</v>
      </c>
      <c r="AG2941" t="str">
        <f>HYPERLINK("https://doi.org/10.1515/9781474423199?locatt=mode:legacy")</f>
        <v>https://doi.org/10.1515/9781474423199?locatt=mode:legacy</v>
      </c>
      <c r="AH2941" t="str">
        <f>HYPERLINK("http://www.degruyter.com/isbn/9781474423199")</f>
        <v>http://www.degruyter.com/isbn/9781474423199</v>
      </c>
      <c r="AI2941" t="s">
        <v>280</v>
      </c>
      <c r="AL2941" t="s">
        <v>15</v>
      </c>
      <c r="AM2941">
        <v>1</v>
      </c>
      <c r="AN2941" s="2">
        <v>9781474423182</v>
      </c>
    </row>
    <row r="2942" spans="1:40" x14ac:dyDescent="0.3">
      <c r="A2942" t="s">
        <v>13870</v>
      </c>
      <c r="B2942" t="s">
        <v>1</v>
      </c>
      <c r="C2942" t="s">
        <v>13871</v>
      </c>
      <c r="E2942" t="s">
        <v>13872</v>
      </c>
      <c r="F2942" t="s">
        <v>5</v>
      </c>
      <c r="G2942" t="s">
        <v>6</v>
      </c>
      <c r="L2942" t="s">
        <v>7</v>
      </c>
      <c r="M2942">
        <v>2016</v>
      </c>
      <c r="N2942" s="1">
        <v>42662</v>
      </c>
      <c r="O2942" t="s">
        <v>13873</v>
      </c>
      <c r="P2942">
        <v>1</v>
      </c>
      <c r="Q2942" t="s">
        <v>13309</v>
      </c>
      <c r="S2942">
        <v>417.95</v>
      </c>
      <c r="T2942">
        <v>480</v>
      </c>
      <c r="U2942">
        <v>370</v>
      </c>
      <c r="V2942" t="s">
        <v>20</v>
      </c>
      <c r="W2942" t="s">
        <v>21</v>
      </c>
      <c r="X2942" t="s">
        <v>3445</v>
      </c>
      <c r="Y2942" t="s">
        <v>10221</v>
      </c>
      <c r="AF2942" t="s">
        <v>13</v>
      </c>
      <c r="AG2942" t="str">
        <f>HYPERLINK("https://doi.org/10.1515/9781474402958")</f>
        <v>https://doi.org/10.1515/9781474402958</v>
      </c>
      <c r="AH2942" t="str">
        <f>HYPERLINK("http://www.degruyter.com/isbn/9781474402958")</f>
        <v>http://www.degruyter.com/isbn/9781474402958</v>
      </c>
      <c r="AI2942" t="s">
        <v>13874</v>
      </c>
      <c r="AL2942" t="s">
        <v>15</v>
      </c>
      <c r="AM2942">
        <v>1</v>
      </c>
      <c r="AN2942" s="2">
        <v>9781474402941</v>
      </c>
    </row>
    <row r="2943" spans="1:40" x14ac:dyDescent="0.3">
      <c r="A2943" t="s">
        <v>13875</v>
      </c>
      <c r="B2943" t="s">
        <v>1</v>
      </c>
      <c r="C2943" t="s">
        <v>13876</v>
      </c>
      <c r="D2943" t="s">
        <v>13877</v>
      </c>
      <c r="E2943" t="s">
        <v>13878</v>
      </c>
      <c r="F2943" t="s">
        <v>5</v>
      </c>
      <c r="G2943" t="s">
        <v>6</v>
      </c>
      <c r="L2943" t="s">
        <v>7</v>
      </c>
      <c r="M2943">
        <v>2020</v>
      </c>
      <c r="N2943" s="1">
        <v>44644</v>
      </c>
      <c r="O2943" t="s">
        <v>13879</v>
      </c>
      <c r="P2943">
        <v>1</v>
      </c>
      <c r="Q2943" t="s">
        <v>13880</v>
      </c>
      <c r="S2943">
        <v>253.95</v>
      </c>
      <c r="T2943">
        <v>290</v>
      </c>
      <c r="U2943">
        <v>220</v>
      </c>
      <c r="V2943" t="s">
        <v>79</v>
      </c>
      <c r="W2943" t="s">
        <v>734</v>
      </c>
      <c r="X2943" t="s">
        <v>734</v>
      </c>
      <c r="Y2943" t="s">
        <v>735</v>
      </c>
      <c r="AF2943" t="s">
        <v>13</v>
      </c>
      <c r="AG2943" t="str">
        <f>HYPERLINK("https://doi.org/10.1515/9781474449120")</f>
        <v>https://doi.org/10.1515/9781474449120</v>
      </c>
      <c r="AH2943" t="str">
        <f>HYPERLINK("http://www.degruyter.com/isbn/9781474449120")</f>
        <v>http://www.degruyter.com/isbn/9781474449120</v>
      </c>
      <c r="AI2943" t="s">
        <v>14</v>
      </c>
      <c r="AL2943" t="s">
        <v>83</v>
      </c>
      <c r="AM2943">
        <v>1</v>
      </c>
      <c r="AN2943" s="2">
        <v>9781474449106</v>
      </c>
    </row>
    <row r="2944" spans="1:40" x14ac:dyDescent="0.3">
      <c r="A2944" t="s">
        <v>13881</v>
      </c>
      <c r="B2944" t="s">
        <v>1</v>
      </c>
      <c r="C2944" t="s">
        <v>13882</v>
      </c>
      <c r="D2944" t="s">
        <v>13883</v>
      </c>
      <c r="E2944" t="s">
        <v>13884</v>
      </c>
      <c r="F2944" t="s">
        <v>5</v>
      </c>
      <c r="G2944" t="s">
        <v>6</v>
      </c>
      <c r="L2944" t="s">
        <v>7</v>
      </c>
      <c r="M2944">
        <v>2021</v>
      </c>
      <c r="N2944" s="1">
        <v>44672</v>
      </c>
      <c r="O2944" t="s">
        <v>13885</v>
      </c>
      <c r="P2944">
        <v>1</v>
      </c>
      <c r="S2944">
        <v>217.95</v>
      </c>
      <c r="T2944">
        <v>250</v>
      </c>
      <c r="U2944">
        <v>190</v>
      </c>
      <c r="V2944" t="s">
        <v>9</v>
      </c>
      <c r="W2944" t="s">
        <v>10</v>
      </c>
      <c r="X2944" t="s">
        <v>11</v>
      </c>
      <c r="Y2944" t="s">
        <v>52</v>
      </c>
      <c r="AF2944" t="s">
        <v>13</v>
      </c>
      <c r="AG2944" t="str">
        <f>HYPERLINK("https://doi.org/10.1515/9781474481861")</f>
        <v>https://doi.org/10.1515/9781474481861</v>
      </c>
      <c r="AH2944" t="str">
        <f>HYPERLINK("http://www.degruyter.com/isbn/9781474481861")</f>
        <v>http://www.degruyter.com/isbn/9781474481861</v>
      </c>
      <c r="AI2944" t="s">
        <v>908</v>
      </c>
      <c r="AL2944" t="s">
        <v>15</v>
      </c>
      <c r="AM2944">
        <v>1</v>
      </c>
      <c r="AN2944" s="2">
        <v>9781474481847</v>
      </c>
    </row>
    <row r="2945" spans="1:40" x14ac:dyDescent="0.3">
      <c r="A2945" t="s">
        <v>13886</v>
      </c>
      <c r="B2945" t="s">
        <v>1</v>
      </c>
      <c r="C2945" t="s">
        <v>13887</v>
      </c>
      <c r="D2945" t="s">
        <v>13888</v>
      </c>
      <c r="E2945" t="s">
        <v>13889</v>
      </c>
      <c r="F2945" t="s">
        <v>5</v>
      </c>
      <c r="G2945" t="s">
        <v>6</v>
      </c>
      <c r="L2945" t="s">
        <v>7</v>
      </c>
      <c r="M2945">
        <v>2020</v>
      </c>
      <c r="N2945" s="1">
        <v>44656</v>
      </c>
      <c r="O2945" t="s">
        <v>13890</v>
      </c>
      <c r="P2945">
        <v>1</v>
      </c>
      <c r="Q2945" t="s">
        <v>13444</v>
      </c>
      <c r="S2945">
        <v>217.95</v>
      </c>
      <c r="T2945">
        <v>250</v>
      </c>
      <c r="U2945">
        <v>190</v>
      </c>
      <c r="V2945" t="s">
        <v>305</v>
      </c>
      <c r="W2945" t="s">
        <v>2566</v>
      </c>
      <c r="X2945" t="s">
        <v>2567</v>
      </c>
      <c r="Y2945" t="s">
        <v>2568</v>
      </c>
      <c r="AF2945" t="s">
        <v>13</v>
      </c>
      <c r="AG2945" t="str">
        <f>HYPERLINK("https://doi.org/10.1515/9781474442060")</f>
        <v>https://doi.org/10.1515/9781474442060</v>
      </c>
      <c r="AH2945" t="str">
        <f>HYPERLINK("http://www.degruyter.com/isbn/9781474442060")</f>
        <v>http://www.degruyter.com/isbn/9781474442060</v>
      </c>
      <c r="AI2945" t="s">
        <v>14</v>
      </c>
      <c r="AL2945" t="s">
        <v>308</v>
      </c>
      <c r="AM2945">
        <v>1</v>
      </c>
      <c r="AN2945" s="2">
        <v>9781474442046</v>
      </c>
    </row>
    <row r="2946" spans="1:40" x14ac:dyDescent="0.3">
      <c r="A2946" t="s">
        <v>13891</v>
      </c>
      <c r="B2946" t="s">
        <v>1</v>
      </c>
      <c r="C2946" t="s">
        <v>13892</v>
      </c>
      <c r="E2946" t="s">
        <v>13893</v>
      </c>
      <c r="F2946" t="s">
        <v>5</v>
      </c>
      <c r="G2946" t="s">
        <v>6</v>
      </c>
      <c r="L2946" t="s">
        <v>7</v>
      </c>
      <c r="M2946">
        <v>2012</v>
      </c>
      <c r="N2946" s="1">
        <v>40975</v>
      </c>
      <c r="O2946" t="s">
        <v>13894</v>
      </c>
      <c r="P2946">
        <v>1</v>
      </c>
      <c r="Q2946" t="s">
        <v>13309</v>
      </c>
      <c r="S2946">
        <v>453.95</v>
      </c>
      <c r="T2946">
        <v>520</v>
      </c>
      <c r="U2946">
        <v>400</v>
      </c>
      <c r="V2946" t="s">
        <v>42</v>
      </c>
      <c r="W2946" t="s">
        <v>116</v>
      </c>
      <c r="X2946" t="s">
        <v>116</v>
      </c>
      <c r="Y2946" t="s">
        <v>3967</v>
      </c>
      <c r="AF2946" t="s">
        <v>13</v>
      </c>
      <c r="AG2946" t="str">
        <f>HYPERLINK("https://doi.org/10.1515/9780748653911")</f>
        <v>https://doi.org/10.1515/9780748653911</v>
      </c>
      <c r="AH2946" t="str">
        <f>HYPERLINK("http://www.degruyter.com/isbn/9780748653911")</f>
        <v>http://www.degruyter.com/isbn/9780748653911</v>
      </c>
      <c r="AI2946" t="s">
        <v>68</v>
      </c>
      <c r="AL2946" t="s">
        <v>47</v>
      </c>
      <c r="AM2946">
        <v>1</v>
      </c>
      <c r="AN2946" s="2">
        <v>9780748638741</v>
      </c>
    </row>
    <row r="2947" spans="1:40" x14ac:dyDescent="0.3">
      <c r="A2947" t="s">
        <v>13895</v>
      </c>
      <c r="B2947" t="s">
        <v>1</v>
      </c>
      <c r="C2947" t="s">
        <v>13896</v>
      </c>
      <c r="E2947" t="s">
        <v>13897</v>
      </c>
      <c r="F2947" t="s">
        <v>5</v>
      </c>
      <c r="G2947" t="s">
        <v>6</v>
      </c>
      <c r="L2947" t="s">
        <v>7</v>
      </c>
      <c r="M2947">
        <v>2007</v>
      </c>
      <c r="N2947" s="1">
        <v>39431</v>
      </c>
      <c r="O2947" t="s">
        <v>13898</v>
      </c>
      <c r="P2947">
        <v>1</v>
      </c>
      <c r="Q2947" t="s">
        <v>12993</v>
      </c>
      <c r="S2947">
        <v>227.95</v>
      </c>
      <c r="T2947">
        <v>260</v>
      </c>
      <c r="U2947">
        <v>200</v>
      </c>
      <c r="V2947" t="s">
        <v>42</v>
      </c>
      <c r="W2947" t="s">
        <v>107</v>
      </c>
      <c r="X2947" t="s">
        <v>108</v>
      </c>
      <c r="Y2947" t="s">
        <v>952</v>
      </c>
      <c r="AF2947" t="s">
        <v>13</v>
      </c>
      <c r="AG2947" t="str">
        <f>HYPERLINK("https://doi.org/10.1515/9780748629152")</f>
        <v>https://doi.org/10.1515/9780748629152</v>
      </c>
      <c r="AH2947" t="str">
        <f>HYPERLINK("http://www.degruyter.com/isbn/9780748629152")</f>
        <v>http://www.degruyter.com/isbn/9780748629152</v>
      </c>
      <c r="AI2947" t="s">
        <v>68</v>
      </c>
      <c r="AL2947" t="s">
        <v>47</v>
      </c>
      <c r="AM2947">
        <v>1</v>
      </c>
      <c r="AN2947" s="2">
        <v>9780748620067</v>
      </c>
    </row>
    <row r="2948" spans="1:40" x14ac:dyDescent="0.3">
      <c r="A2948" t="s">
        <v>13899</v>
      </c>
      <c r="B2948" t="s">
        <v>1</v>
      </c>
      <c r="C2948" t="s">
        <v>13900</v>
      </c>
      <c r="E2948" t="s">
        <v>13901</v>
      </c>
      <c r="F2948" t="s">
        <v>5</v>
      </c>
      <c r="G2948" t="s">
        <v>6</v>
      </c>
      <c r="K2948" t="s">
        <v>929</v>
      </c>
      <c r="L2948" t="s">
        <v>7</v>
      </c>
      <c r="M2948">
        <v>2021</v>
      </c>
      <c r="N2948" s="1">
        <v>44484</v>
      </c>
      <c r="O2948" t="s">
        <v>13902</v>
      </c>
      <c r="P2948">
        <v>1</v>
      </c>
      <c r="V2948" t="s">
        <v>9</v>
      </c>
      <c r="W2948" t="s">
        <v>10</v>
      </c>
      <c r="X2948" t="s">
        <v>596</v>
      </c>
      <c r="Y2948" t="s">
        <v>2473</v>
      </c>
      <c r="AF2948" t="s">
        <v>13</v>
      </c>
      <c r="AG2948" t="str">
        <f>HYPERLINK("https://doi.org/10.1515/9781474462006")</f>
        <v>https://doi.org/10.1515/9781474462006</v>
      </c>
      <c r="AH2948" t="str">
        <f>HYPERLINK("http://www.degruyter.com/isbn/9781474462006")</f>
        <v>http://www.degruyter.com/isbn/9781474462006</v>
      </c>
      <c r="AI2948" t="s">
        <v>908</v>
      </c>
      <c r="AM2948">
        <v>1</v>
      </c>
      <c r="AN2948" s="2"/>
    </row>
    <row r="2949" spans="1:40" x14ac:dyDescent="0.3">
      <c r="A2949" t="s">
        <v>13903</v>
      </c>
      <c r="B2949" t="s">
        <v>1</v>
      </c>
      <c r="C2949" t="s">
        <v>13904</v>
      </c>
      <c r="D2949" t="s">
        <v>13905</v>
      </c>
      <c r="E2949" t="s">
        <v>13906</v>
      </c>
      <c r="F2949" t="s">
        <v>5</v>
      </c>
      <c r="G2949" t="s">
        <v>6</v>
      </c>
      <c r="L2949" t="s">
        <v>7</v>
      </c>
      <c r="M2949">
        <v>2022</v>
      </c>
      <c r="N2949" s="1">
        <v>44672</v>
      </c>
      <c r="O2949" t="s">
        <v>13907</v>
      </c>
      <c r="P2949">
        <v>1</v>
      </c>
      <c r="S2949">
        <v>227.95</v>
      </c>
      <c r="T2949">
        <v>260</v>
      </c>
      <c r="U2949">
        <v>200</v>
      </c>
      <c r="V2949" t="s">
        <v>20</v>
      </c>
      <c r="W2949" t="s">
        <v>470</v>
      </c>
      <c r="X2949" t="s">
        <v>3249</v>
      </c>
      <c r="Y2949" t="s">
        <v>3250</v>
      </c>
      <c r="AF2949" t="s">
        <v>13</v>
      </c>
      <c r="AG2949" t="str">
        <f>HYPERLINK("https://doi.org/10.1515/9781474457446")</f>
        <v>https://doi.org/10.1515/9781474457446</v>
      </c>
      <c r="AH2949" t="str">
        <f>HYPERLINK("http://www.degruyter.com/isbn/9781474457446")</f>
        <v>http://www.degruyter.com/isbn/9781474457446</v>
      </c>
      <c r="AI2949" t="s">
        <v>13908</v>
      </c>
      <c r="AL2949" t="s">
        <v>15</v>
      </c>
      <c r="AM2949">
        <v>1</v>
      </c>
      <c r="AN2949" s="2">
        <v>9781474457415</v>
      </c>
    </row>
    <row r="2950" spans="1:40" x14ac:dyDescent="0.3">
      <c r="A2950" t="s">
        <v>13909</v>
      </c>
      <c r="B2950" t="s">
        <v>1</v>
      </c>
      <c r="C2950" t="s">
        <v>13910</v>
      </c>
      <c r="D2950" t="s">
        <v>13911</v>
      </c>
      <c r="E2950" t="s">
        <v>13912</v>
      </c>
      <c r="F2950" t="s">
        <v>5</v>
      </c>
      <c r="G2950" t="s">
        <v>6</v>
      </c>
      <c r="L2950" t="s">
        <v>7</v>
      </c>
      <c r="M2950">
        <v>2022</v>
      </c>
      <c r="N2950" s="1">
        <v>44672</v>
      </c>
      <c r="O2950" t="s">
        <v>4560</v>
      </c>
      <c r="P2950">
        <v>1</v>
      </c>
      <c r="S2950">
        <v>217.95</v>
      </c>
      <c r="T2950">
        <v>250</v>
      </c>
      <c r="U2950">
        <v>190</v>
      </c>
      <c r="V2950" t="s">
        <v>305</v>
      </c>
      <c r="W2950" t="s">
        <v>2566</v>
      </c>
      <c r="X2950" t="s">
        <v>2567</v>
      </c>
      <c r="Y2950" t="s">
        <v>4151</v>
      </c>
      <c r="AF2950" t="s">
        <v>13</v>
      </c>
      <c r="AG2950" t="str">
        <f>HYPERLINK("https://doi.org/10.1515/9781474479813")</f>
        <v>https://doi.org/10.1515/9781474479813</v>
      </c>
      <c r="AH2950" t="str">
        <f>HYPERLINK("http://www.degruyter.com/isbn/9781474479813")</f>
        <v>http://www.degruyter.com/isbn/9781474479813</v>
      </c>
      <c r="AI2950" t="s">
        <v>13913</v>
      </c>
      <c r="AL2950" t="s">
        <v>308</v>
      </c>
      <c r="AM2950">
        <v>1</v>
      </c>
      <c r="AN2950" s="2">
        <v>9781474479790</v>
      </c>
    </row>
    <row r="2951" spans="1:40" x14ac:dyDescent="0.3">
      <c r="A2951" t="s">
        <v>13914</v>
      </c>
      <c r="B2951" t="s">
        <v>1</v>
      </c>
      <c r="C2951" t="s">
        <v>13915</v>
      </c>
      <c r="D2951" t="s">
        <v>13598</v>
      </c>
      <c r="E2951" t="s">
        <v>13916</v>
      </c>
      <c r="F2951" t="s">
        <v>5</v>
      </c>
      <c r="G2951" t="s">
        <v>6</v>
      </c>
      <c r="L2951" t="s">
        <v>7</v>
      </c>
      <c r="M2951">
        <v>2019</v>
      </c>
      <c r="N2951" s="1">
        <v>44644</v>
      </c>
      <c r="O2951" t="s">
        <v>13917</v>
      </c>
      <c r="P2951">
        <v>1</v>
      </c>
      <c r="Q2951" t="s">
        <v>12952</v>
      </c>
      <c r="S2951">
        <v>227.95</v>
      </c>
      <c r="T2951">
        <v>260</v>
      </c>
      <c r="U2951">
        <v>200</v>
      </c>
      <c r="V2951" t="s">
        <v>42</v>
      </c>
      <c r="W2951" t="s">
        <v>116</v>
      </c>
      <c r="X2951" t="s">
        <v>116</v>
      </c>
      <c r="Y2951" t="s">
        <v>117</v>
      </c>
      <c r="AF2951" t="s">
        <v>13</v>
      </c>
      <c r="AG2951" t="str">
        <f>HYPERLINK("https://doi.org/10.1515/9781474441926")</f>
        <v>https://doi.org/10.1515/9781474441926</v>
      </c>
      <c r="AH2951" t="str">
        <f>HYPERLINK("http://www.degruyter.com/isbn/9781474441926")</f>
        <v>http://www.degruyter.com/isbn/9781474441926</v>
      </c>
      <c r="AI2951" t="s">
        <v>280</v>
      </c>
      <c r="AL2951" t="s">
        <v>47</v>
      </c>
      <c r="AM2951">
        <v>1</v>
      </c>
      <c r="AN2951" s="2">
        <v>9781474441919</v>
      </c>
    </row>
    <row r="2952" spans="1:40" x14ac:dyDescent="0.3">
      <c r="A2952" t="s">
        <v>13918</v>
      </c>
      <c r="B2952" t="s">
        <v>1</v>
      </c>
      <c r="C2952" t="s">
        <v>13919</v>
      </c>
      <c r="D2952" t="s">
        <v>13920</v>
      </c>
      <c r="E2952" t="s">
        <v>13921</v>
      </c>
      <c r="F2952" t="s">
        <v>5</v>
      </c>
      <c r="G2952" t="s">
        <v>6</v>
      </c>
      <c r="L2952" t="s">
        <v>7</v>
      </c>
      <c r="M2952">
        <v>2018</v>
      </c>
      <c r="N2952" s="1">
        <v>44644</v>
      </c>
      <c r="O2952" t="s">
        <v>13922</v>
      </c>
      <c r="P2952">
        <v>1</v>
      </c>
      <c r="Q2952" t="s">
        <v>13444</v>
      </c>
      <c r="S2952">
        <v>253.95</v>
      </c>
      <c r="T2952">
        <v>290</v>
      </c>
      <c r="U2952">
        <v>220</v>
      </c>
      <c r="V2952" t="s">
        <v>268</v>
      </c>
      <c r="W2952" t="s">
        <v>269</v>
      </c>
      <c r="X2952" t="s">
        <v>269</v>
      </c>
      <c r="Y2952" t="s">
        <v>360</v>
      </c>
      <c r="AF2952" t="s">
        <v>13</v>
      </c>
      <c r="AG2952" t="str">
        <f>HYPERLINK("https://doi.org/10.1515/9781474420907?locatt=mode:legacy")</f>
        <v>https://doi.org/10.1515/9781474420907?locatt=mode:legacy</v>
      </c>
      <c r="AH2952" t="str">
        <f>HYPERLINK("http://www.degruyter.com/isbn/9781474420907")</f>
        <v>http://www.degruyter.com/isbn/9781474420907</v>
      </c>
      <c r="AI2952" t="s">
        <v>13865</v>
      </c>
      <c r="AL2952" t="s">
        <v>272</v>
      </c>
      <c r="AM2952">
        <v>1</v>
      </c>
      <c r="AN2952" s="2">
        <v>9781474420891</v>
      </c>
    </row>
    <row r="2953" spans="1:40" x14ac:dyDescent="0.3">
      <c r="A2953" t="s">
        <v>13923</v>
      </c>
      <c r="B2953" t="s">
        <v>1</v>
      </c>
      <c r="C2953" t="s">
        <v>13924</v>
      </c>
      <c r="D2953" t="s">
        <v>13925</v>
      </c>
      <c r="E2953" t="s">
        <v>13926</v>
      </c>
      <c r="F2953" t="s">
        <v>5</v>
      </c>
      <c r="G2953" t="s">
        <v>6</v>
      </c>
      <c r="L2953" t="s">
        <v>7</v>
      </c>
      <c r="M2953">
        <v>2019</v>
      </c>
      <c r="N2953" s="1">
        <v>44656</v>
      </c>
      <c r="O2953" t="s">
        <v>13927</v>
      </c>
      <c r="P2953">
        <v>1</v>
      </c>
      <c r="Q2953" t="s">
        <v>13444</v>
      </c>
      <c r="S2953">
        <v>253.95</v>
      </c>
      <c r="T2953">
        <v>290</v>
      </c>
      <c r="U2953">
        <v>220</v>
      </c>
      <c r="V2953" t="s">
        <v>268</v>
      </c>
      <c r="W2953" t="s">
        <v>269</v>
      </c>
      <c r="X2953" t="s">
        <v>269</v>
      </c>
      <c r="Y2953" t="s">
        <v>10184</v>
      </c>
      <c r="AF2953" t="s">
        <v>13</v>
      </c>
      <c r="AG2953" t="str">
        <f>HYPERLINK("https://doi.org/10.1515/9781474442503")</f>
        <v>https://doi.org/10.1515/9781474442503</v>
      </c>
      <c r="AH2953" t="str">
        <f>HYPERLINK("http://www.degruyter.com/isbn/9781474442503")</f>
        <v>http://www.degruyter.com/isbn/9781474442503</v>
      </c>
      <c r="AI2953" t="s">
        <v>13833</v>
      </c>
      <c r="AL2953" t="s">
        <v>272</v>
      </c>
      <c r="AM2953">
        <v>1</v>
      </c>
      <c r="AN2953" s="2">
        <v>9781474442480</v>
      </c>
    </row>
    <row r="2954" spans="1:40" x14ac:dyDescent="0.3">
      <c r="A2954" t="s">
        <v>13928</v>
      </c>
      <c r="B2954" t="s">
        <v>1</v>
      </c>
      <c r="C2954" t="s">
        <v>13929</v>
      </c>
      <c r="E2954" t="s">
        <v>13930</v>
      </c>
      <c r="F2954" t="s">
        <v>5</v>
      </c>
      <c r="G2954" t="s">
        <v>6</v>
      </c>
      <c r="L2954" t="s">
        <v>7</v>
      </c>
      <c r="M2954">
        <v>2021</v>
      </c>
      <c r="N2954" s="1">
        <v>44672</v>
      </c>
      <c r="O2954" t="s">
        <v>10719</v>
      </c>
      <c r="P2954">
        <v>1</v>
      </c>
      <c r="S2954">
        <v>217.95</v>
      </c>
      <c r="T2954">
        <v>250</v>
      </c>
      <c r="U2954">
        <v>190</v>
      </c>
      <c r="V2954" t="s">
        <v>42</v>
      </c>
      <c r="W2954" t="s">
        <v>290</v>
      </c>
      <c r="X2954" t="s">
        <v>290</v>
      </c>
      <c r="Y2954" t="s">
        <v>515</v>
      </c>
      <c r="AF2954" t="s">
        <v>13</v>
      </c>
      <c r="AG2954" t="str">
        <f>HYPERLINK("https://doi.org/10.1515/9781474489867")</f>
        <v>https://doi.org/10.1515/9781474489867</v>
      </c>
      <c r="AH2954" t="str">
        <f>HYPERLINK("http://www.degruyter.com/isbn/9781474489867")</f>
        <v>http://www.degruyter.com/isbn/9781474489867</v>
      </c>
      <c r="AI2954" t="s">
        <v>110</v>
      </c>
      <c r="AL2954" t="s">
        <v>47</v>
      </c>
      <c r="AM2954">
        <v>1</v>
      </c>
      <c r="AN2954" s="2">
        <v>9781474489843</v>
      </c>
    </row>
    <row r="2955" spans="1:40" x14ac:dyDescent="0.3">
      <c r="A2955" t="s">
        <v>13931</v>
      </c>
      <c r="B2955" t="s">
        <v>1</v>
      </c>
      <c r="C2955" t="s">
        <v>13932</v>
      </c>
      <c r="E2955" t="s">
        <v>13933</v>
      </c>
      <c r="F2955" t="s">
        <v>5</v>
      </c>
      <c r="G2955" t="s">
        <v>6</v>
      </c>
      <c r="L2955" t="s">
        <v>7</v>
      </c>
      <c r="M2955">
        <v>2020</v>
      </c>
      <c r="N2955" s="1">
        <v>44644</v>
      </c>
      <c r="O2955" t="s">
        <v>13934</v>
      </c>
      <c r="P2955">
        <v>1</v>
      </c>
      <c r="Q2955" t="s">
        <v>13361</v>
      </c>
      <c r="S2955">
        <v>227.95</v>
      </c>
      <c r="T2955">
        <v>260</v>
      </c>
      <c r="U2955">
        <v>200</v>
      </c>
      <c r="V2955" t="s">
        <v>42</v>
      </c>
      <c r="W2955" t="s">
        <v>116</v>
      </c>
      <c r="X2955" t="s">
        <v>116</v>
      </c>
      <c r="Y2955" t="s">
        <v>117</v>
      </c>
      <c r="AF2955" t="s">
        <v>13</v>
      </c>
      <c r="AG2955" t="str">
        <f>HYPERLINK("https://doi.org/10.1515/9781474409889")</f>
        <v>https://doi.org/10.1515/9781474409889</v>
      </c>
      <c r="AH2955" t="str">
        <f>HYPERLINK("http://www.degruyter.com/isbn/9781474409889")</f>
        <v>http://www.degruyter.com/isbn/9781474409889</v>
      </c>
      <c r="AI2955" t="s">
        <v>14</v>
      </c>
      <c r="AL2955" t="s">
        <v>47</v>
      </c>
      <c r="AM2955">
        <v>1</v>
      </c>
      <c r="AN2955" s="2">
        <v>9781474409872</v>
      </c>
    </row>
    <row r="2956" spans="1:40" x14ac:dyDescent="0.3">
      <c r="A2956" t="s">
        <v>13935</v>
      </c>
      <c r="B2956" t="s">
        <v>1</v>
      </c>
      <c r="C2956" t="s">
        <v>13936</v>
      </c>
      <c r="E2956" t="s">
        <v>13937</v>
      </c>
      <c r="F2956" t="s">
        <v>5</v>
      </c>
      <c r="G2956" t="s">
        <v>6</v>
      </c>
      <c r="L2956" t="s">
        <v>7</v>
      </c>
      <c r="M2956">
        <v>2009</v>
      </c>
      <c r="N2956" s="1">
        <v>39917</v>
      </c>
      <c r="O2956" t="s">
        <v>13938</v>
      </c>
      <c r="P2956">
        <v>1</v>
      </c>
      <c r="S2956">
        <v>59.95</v>
      </c>
      <c r="T2956">
        <v>67.95</v>
      </c>
      <c r="U2956">
        <v>51.98</v>
      </c>
      <c r="V2956" t="s">
        <v>58</v>
      </c>
      <c r="W2956" t="s">
        <v>59</v>
      </c>
      <c r="X2956" t="s">
        <v>60</v>
      </c>
      <c r="Y2956" t="s">
        <v>3243</v>
      </c>
      <c r="AF2956" t="s">
        <v>13</v>
      </c>
      <c r="AG2956" t="str">
        <f>HYPERLINK("https://doi.org/10.1515/9780748640201?locatt=mode:legacy")</f>
        <v>https://doi.org/10.1515/9780748640201?locatt=mode:legacy</v>
      </c>
      <c r="AH2956" t="str">
        <f>HYPERLINK("http://www.degruyter.com/isbn/9780748640201")</f>
        <v>http://www.degruyter.com/isbn/9780748640201</v>
      </c>
      <c r="AI2956" t="s">
        <v>68</v>
      </c>
      <c r="AL2956" t="s">
        <v>62</v>
      </c>
      <c r="AM2956">
        <v>1</v>
      </c>
      <c r="AN2956" s="2">
        <v>9780748638949</v>
      </c>
    </row>
    <row r="2957" spans="1:40" x14ac:dyDescent="0.3">
      <c r="A2957" t="s">
        <v>13939</v>
      </c>
      <c r="B2957" t="s">
        <v>1</v>
      </c>
      <c r="C2957" t="s">
        <v>13940</v>
      </c>
      <c r="D2957" t="s">
        <v>13941</v>
      </c>
      <c r="E2957" t="s">
        <v>13942</v>
      </c>
      <c r="F2957" t="s">
        <v>5</v>
      </c>
      <c r="G2957" t="s">
        <v>6</v>
      </c>
      <c r="L2957" t="s">
        <v>7</v>
      </c>
      <c r="M2957">
        <v>2021</v>
      </c>
      <c r="N2957" s="1">
        <v>44672</v>
      </c>
      <c r="O2957" t="s">
        <v>13943</v>
      </c>
      <c r="P2957">
        <v>1</v>
      </c>
      <c r="S2957">
        <v>217.95</v>
      </c>
      <c r="T2957">
        <v>250</v>
      </c>
      <c r="U2957">
        <v>190</v>
      </c>
      <c r="V2957" t="s">
        <v>42</v>
      </c>
      <c r="W2957" t="s">
        <v>107</v>
      </c>
      <c r="X2957" t="s">
        <v>108</v>
      </c>
      <c r="Y2957" t="s">
        <v>109</v>
      </c>
      <c r="AF2957" t="s">
        <v>13</v>
      </c>
      <c r="AG2957" t="str">
        <f>HYPERLINK("https://doi.org/10.1515/9781474458023")</f>
        <v>https://doi.org/10.1515/9781474458023</v>
      </c>
      <c r="AH2957" t="str">
        <f>HYPERLINK("http://www.degruyter.com/isbn/9781474458023")</f>
        <v>http://www.degruyter.com/isbn/9781474458023</v>
      </c>
      <c r="AI2957" t="s">
        <v>110</v>
      </c>
      <c r="AL2957" t="s">
        <v>47</v>
      </c>
      <c r="AM2957">
        <v>1</v>
      </c>
      <c r="AN2957" s="2">
        <v>9781474458009</v>
      </c>
    </row>
    <row r="2958" spans="1:40" x14ac:dyDescent="0.3">
      <c r="A2958" t="s">
        <v>13944</v>
      </c>
      <c r="B2958" t="s">
        <v>1</v>
      </c>
      <c r="C2958" t="s">
        <v>13945</v>
      </c>
      <c r="D2958" t="s">
        <v>13946</v>
      </c>
      <c r="E2958" t="s">
        <v>13947</v>
      </c>
      <c r="F2958" t="s">
        <v>5</v>
      </c>
      <c r="G2958" t="s">
        <v>6</v>
      </c>
      <c r="L2958" t="s">
        <v>7</v>
      </c>
      <c r="M2958">
        <v>2021</v>
      </c>
      <c r="N2958" s="1">
        <v>44644</v>
      </c>
      <c r="O2958" t="s">
        <v>11083</v>
      </c>
      <c r="P2958">
        <v>1</v>
      </c>
      <c r="Q2958" t="s">
        <v>6665</v>
      </c>
      <c r="S2958">
        <v>217.95</v>
      </c>
      <c r="T2958">
        <v>250</v>
      </c>
      <c r="U2958">
        <v>190</v>
      </c>
      <c r="V2958" t="s">
        <v>9</v>
      </c>
      <c r="W2958" t="s">
        <v>10</v>
      </c>
      <c r="X2958" t="s">
        <v>11</v>
      </c>
      <c r="Y2958" t="s">
        <v>52</v>
      </c>
      <c r="AF2958" t="s">
        <v>13</v>
      </c>
      <c r="AG2958" t="str">
        <f>HYPERLINK("https://doi.org/10.1515/9781474450041")</f>
        <v>https://doi.org/10.1515/9781474450041</v>
      </c>
      <c r="AH2958" t="str">
        <f>HYPERLINK("http://www.degruyter.com/isbn/9781474450041")</f>
        <v>http://www.degruyter.com/isbn/9781474450041</v>
      </c>
      <c r="AI2958" t="s">
        <v>216</v>
      </c>
      <c r="AL2958" t="s">
        <v>15</v>
      </c>
      <c r="AM2958">
        <v>1</v>
      </c>
      <c r="AN2958" s="2">
        <v>9781474450027</v>
      </c>
    </row>
    <row r="2959" spans="1:40" x14ac:dyDescent="0.3">
      <c r="A2959" t="s">
        <v>13948</v>
      </c>
      <c r="B2959" t="s">
        <v>1</v>
      </c>
      <c r="C2959" t="s">
        <v>13949</v>
      </c>
      <c r="E2959" t="s">
        <v>13950</v>
      </c>
      <c r="F2959" t="s">
        <v>5</v>
      </c>
      <c r="G2959" t="s">
        <v>6</v>
      </c>
      <c r="L2959" t="s">
        <v>7</v>
      </c>
      <c r="M2959">
        <v>2009</v>
      </c>
      <c r="N2959" s="1">
        <v>40028</v>
      </c>
      <c r="O2959" t="s">
        <v>13951</v>
      </c>
      <c r="P2959">
        <v>1</v>
      </c>
      <c r="Q2959" t="s">
        <v>7266</v>
      </c>
      <c r="S2959">
        <v>279.95</v>
      </c>
      <c r="T2959">
        <v>320</v>
      </c>
      <c r="U2959">
        <v>240</v>
      </c>
      <c r="V2959" t="s">
        <v>42</v>
      </c>
      <c r="W2959" t="s">
        <v>116</v>
      </c>
      <c r="X2959" t="s">
        <v>116</v>
      </c>
      <c r="Y2959" t="s">
        <v>117</v>
      </c>
      <c r="AF2959" t="s">
        <v>13</v>
      </c>
      <c r="AG2959" t="str">
        <f>HYPERLINK("https://doi.org/10.1515/9780748628308")</f>
        <v>https://doi.org/10.1515/9780748628308</v>
      </c>
      <c r="AH2959" t="str">
        <f>HYPERLINK("http://www.degruyter.com/isbn/9780748628308")</f>
        <v>http://www.degruyter.com/isbn/9780748628308</v>
      </c>
      <c r="AI2959" t="s">
        <v>68</v>
      </c>
      <c r="AL2959" t="s">
        <v>47</v>
      </c>
      <c r="AM2959">
        <v>1</v>
      </c>
      <c r="AN2959" s="2">
        <v>9780748605835</v>
      </c>
    </row>
    <row r="2960" spans="1:40" x14ac:dyDescent="0.3">
      <c r="A2960" t="s">
        <v>13952</v>
      </c>
      <c r="B2960" t="s">
        <v>1</v>
      </c>
      <c r="C2960" t="s">
        <v>13953</v>
      </c>
      <c r="E2960" t="s">
        <v>13954</v>
      </c>
      <c r="F2960" t="s">
        <v>5</v>
      </c>
      <c r="G2960" t="s">
        <v>6</v>
      </c>
      <c r="L2960" t="s">
        <v>7</v>
      </c>
      <c r="M2960">
        <v>2018</v>
      </c>
      <c r="N2960" s="1">
        <v>44644</v>
      </c>
      <c r="O2960" t="s">
        <v>13955</v>
      </c>
      <c r="P2960">
        <v>1</v>
      </c>
      <c r="Q2960" t="s">
        <v>6539</v>
      </c>
      <c r="S2960">
        <v>217.95</v>
      </c>
      <c r="T2960">
        <v>250</v>
      </c>
      <c r="U2960">
        <v>190</v>
      </c>
      <c r="V2960" t="s">
        <v>42</v>
      </c>
      <c r="W2960" t="s">
        <v>43</v>
      </c>
      <c r="X2960" t="s">
        <v>178</v>
      </c>
      <c r="Y2960" t="s">
        <v>9008</v>
      </c>
      <c r="AF2960" t="s">
        <v>13</v>
      </c>
      <c r="AG2960" t="str">
        <f>HYPERLINK("https://doi.org/10.1515/9781474439510")</f>
        <v>https://doi.org/10.1515/9781474439510</v>
      </c>
      <c r="AH2960" t="str">
        <f>HYPERLINK("http://www.degruyter.com/isbn/9781474439510")</f>
        <v>http://www.degruyter.com/isbn/9781474439510</v>
      </c>
      <c r="AI2960" t="s">
        <v>46</v>
      </c>
      <c r="AL2960" t="s">
        <v>47</v>
      </c>
      <c r="AM2960">
        <v>1</v>
      </c>
      <c r="AN2960" s="2">
        <v>9781474439497</v>
      </c>
    </row>
    <row r="2961" spans="1:40" x14ac:dyDescent="0.3">
      <c r="A2961" t="s">
        <v>13956</v>
      </c>
      <c r="B2961" t="s">
        <v>1</v>
      </c>
      <c r="C2961" t="s">
        <v>13957</v>
      </c>
      <c r="E2961" t="s">
        <v>13958</v>
      </c>
      <c r="F2961" t="s">
        <v>5</v>
      </c>
      <c r="G2961" t="s">
        <v>6</v>
      </c>
      <c r="L2961" t="s">
        <v>7</v>
      </c>
      <c r="M2961">
        <v>2004</v>
      </c>
      <c r="N2961" s="1">
        <v>38251</v>
      </c>
      <c r="O2961" t="s">
        <v>13959</v>
      </c>
      <c r="P2961">
        <v>1</v>
      </c>
      <c r="Q2961" t="s">
        <v>7266</v>
      </c>
      <c r="S2961">
        <v>227.95</v>
      </c>
      <c r="T2961">
        <v>260</v>
      </c>
      <c r="U2961">
        <v>200</v>
      </c>
      <c r="V2961" t="s">
        <v>42</v>
      </c>
      <c r="W2961" t="s">
        <v>116</v>
      </c>
      <c r="X2961" t="s">
        <v>116</v>
      </c>
      <c r="Y2961" t="s">
        <v>117</v>
      </c>
      <c r="AF2961" t="s">
        <v>13</v>
      </c>
      <c r="AG2961" t="str">
        <f>HYPERLINK("https://doi.org/10.1515/9781474433525")</f>
        <v>https://doi.org/10.1515/9781474433525</v>
      </c>
      <c r="AH2961" t="str">
        <f>HYPERLINK("http://www.degruyter.com/isbn/9781474433525")</f>
        <v>http://www.degruyter.com/isbn/9781474433525</v>
      </c>
      <c r="AI2961" t="s">
        <v>68</v>
      </c>
      <c r="AJ2961" t="s">
        <v>35</v>
      </c>
      <c r="AL2961" t="s">
        <v>520</v>
      </c>
      <c r="AM2961">
        <v>1</v>
      </c>
      <c r="AN2961" s="2">
        <v>9780748605774</v>
      </c>
    </row>
    <row r="2962" spans="1:40" x14ac:dyDescent="0.3">
      <c r="A2962" t="s">
        <v>13960</v>
      </c>
      <c r="B2962" t="s">
        <v>1</v>
      </c>
      <c r="C2962" t="s">
        <v>13961</v>
      </c>
      <c r="D2962" t="s">
        <v>13962</v>
      </c>
      <c r="E2962" t="s">
        <v>13963</v>
      </c>
      <c r="F2962" t="s">
        <v>5</v>
      </c>
      <c r="G2962" t="s">
        <v>6</v>
      </c>
      <c r="L2962" t="s">
        <v>7</v>
      </c>
      <c r="M2962">
        <v>2014</v>
      </c>
      <c r="N2962" s="1">
        <v>41647</v>
      </c>
      <c r="O2962" t="s">
        <v>6068</v>
      </c>
      <c r="P2962">
        <v>1</v>
      </c>
      <c r="Q2962" t="s">
        <v>7194</v>
      </c>
      <c r="S2962">
        <v>227.95</v>
      </c>
      <c r="T2962">
        <v>260</v>
      </c>
      <c r="U2962">
        <v>200</v>
      </c>
      <c r="V2962" t="s">
        <v>79</v>
      </c>
      <c r="W2962" t="s">
        <v>209</v>
      </c>
      <c r="X2962" t="s">
        <v>209</v>
      </c>
      <c r="Y2962" t="s">
        <v>510</v>
      </c>
      <c r="AF2962" t="s">
        <v>13</v>
      </c>
      <c r="AG2962" t="str">
        <f>HYPERLINK("https://doi.org/10.1515/9780748684106")</f>
        <v>https://doi.org/10.1515/9780748684106</v>
      </c>
      <c r="AH2962" t="str">
        <f>HYPERLINK("http://www.degruyter.com/isbn/9780748684106")</f>
        <v>http://www.degruyter.com/isbn/9780748684106</v>
      </c>
      <c r="AI2962" t="s">
        <v>34</v>
      </c>
      <c r="AL2962" t="s">
        <v>83</v>
      </c>
      <c r="AM2962">
        <v>1</v>
      </c>
      <c r="AN2962" s="2">
        <v>9780748684090</v>
      </c>
    </row>
    <row r="2963" spans="1:40" x14ac:dyDescent="0.3">
      <c r="A2963" t="s">
        <v>13964</v>
      </c>
      <c r="B2963" t="s">
        <v>1</v>
      </c>
      <c r="C2963" t="s">
        <v>13965</v>
      </c>
      <c r="E2963" t="s">
        <v>13966</v>
      </c>
      <c r="F2963" t="s">
        <v>5</v>
      </c>
      <c r="G2963" t="s">
        <v>6</v>
      </c>
      <c r="L2963" t="s">
        <v>7</v>
      </c>
      <c r="M2963">
        <v>2021</v>
      </c>
      <c r="N2963" s="1">
        <v>44770</v>
      </c>
      <c r="O2963" t="s">
        <v>13967</v>
      </c>
      <c r="P2963">
        <v>1</v>
      </c>
      <c r="Q2963" t="s">
        <v>7655</v>
      </c>
      <c r="S2963">
        <v>217.95</v>
      </c>
      <c r="T2963">
        <v>250</v>
      </c>
      <c r="U2963">
        <v>190</v>
      </c>
      <c r="V2963" t="s">
        <v>9</v>
      </c>
      <c r="W2963" t="s">
        <v>10</v>
      </c>
      <c r="X2963" t="s">
        <v>11</v>
      </c>
      <c r="Y2963" t="s">
        <v>52</v>
      </c>
      <c r="AF2963" t="s">
        <v>13</v>
      </c>
      <c r="AG2963" t="str">
        <f>HYPERLINK("https://doi.org/10.1515/9781474478878")</f>
        <v>https://doi.org/10.1515/9781474478878</v>
      </c>
      <c r="AH2963" t="str">
        <f>HYPERLINK("http://www.degruyter.com/isbn/9781474478878")</f>
        <v>http://www.degruyter.com/isbn/9781474478878</v>
      </c>
      <c r="AI2963" t="s">
        <v>908</v>
      </c>
      <c r="AL2963" t="s">
        <v>15</v>
      </c>
      <c r="AM2963">
        <v>1</v>
      </c>
      <c r="AN2963" s="2">
        <v>9781474478854</v>
      </c>
    </row>
    <row r="2964" spans="1:40" x14ac:dyDescent="0.3">
      <c r="A2964" t="s">
        <v>13968</v>
      </c>
      <c r="B2964" t="s">
        <v>1</v>
      </c>
      <c r="C2964" t="s">
        <v>13969</v>
      </c>
      <c r="E2964" t="s">
        <v>13970</v>
      </c>
      <c r="F2964" t="s">
        <v>5</v>
      </c>
      <c r="G2964" t="s">
        <v>6</v>
      </c>
      <c r="L2964" t="s">
        <v>7</v>
      </c>
      <c r="M2964">
        <v>2009</v>
      </c>
      <c r="N2964" s="1">
        <v>39869</v>
      </c>
      <c r="O2964" t="s">
        <v>13971</v>
      </c>
      <c r="P2964">
        <v>1</v>
      </c>
      <c r="Q2964" t="s">
        <v>5794</v>
      </c>
      <c r="S2964">
        <v>191.95</v>
      </c>
      <c r="T2964">
        <v>220</v>
      </c>
      <c r="U2964">
        <v>170</v>
      </c>
      <c r="V2964" t="s">
        <v>42</v>
      </c>
      <c r="W2964" t="s">
        <v>107</v>
      </c>
      <c r="X2964" t="s">
        <v>108</v>
      </c>
      <c r="Y2964" t="s">
        <v>109</v>
      </c>
      <c r="AF2964" t="s">
        <v>13</v>
      </c>
      <c r="AG2964" t="str">
        <f>HYPERLINK("https://doi.org/10.1515/9780748634569")</f>
        <v>https://doi.org/10.1515/9780748634569</v>
      </c>
      <c r="AH2964" t="str">
        <f>HYPERLINK("http://www.degruyter.com/isbn/9780748634569")</f>
        <v>http://www.degruyter.com/isbn/9780748634569</v>
      </c>
      <c r="AI2964" t="s">
        <v>68</v>
      </c>
      <c r="AL2964" t="s">
        <v>47</v>
      </c>
      <c r="AM2964">
        <v>1</v>
      </c>
      <c r="AN2964" s="2">
        <v>9780748634545</v>
      </c>
    </row>
    <row r="2965" spans="1:40" x14ac:dyDescent="0.3">
      <c r="A2965" t="s">
        <v>13972</v>
      </c>
      <c r="B2965" t="s">
        <v>1</v>
      </c>
      <c r="C2965" t="s">
        <v>13973</v>
      </c>
      <c r="D2965" t="s">
        <v>13974</v>
      </c>
      <c r="E2965" t="s">
        <v>13975</v>
      </c>
      <c r="F2965" t="s">
        <v>5</v>
      </c>
      <c r="G2965" t="s">
        <v>6</v>
      </c>
      <c r="L2965" t="s">
        <v>7</v>
      </c>
      <c r="M2965">
        <v>2018</v>
      </c>
      <c r="N2965" s="1">
        <v>44656</v>
      </c>
      <c r="O2965" t="s">
        <v>13976</v>
      </c>
      <c r="P2965">
        <v>1</v>
      </c>
      <c r="Q2965" t="s">
        <v>5754</v>
      </c>
      <c r="S2965">
        <v>253.95</v>
      </c>
      <c r="T2965">
        <v>290</v>
      </c>
      <c r="U2965">
        <v>220</v>
      </c>
      <c r="V2965" t="s">
        <v>42</v>
      </c>
      <c r="W2965" t="s">
        <v>116</v>
      </c>
      <c r="X2965" t="s">
        <v>116</v>
      </c>
      <c r="Y2965" t="s">
        <v>117</v>
      </c>
      <c r="AF2965" t="s">
        <v>13</v>
      </c>
      <c r="AG2965" t="str">
        <f>HYPERLINK("https://doi.org/10.1515/9781474433129")</f>
        <v>https://doi.org/10.1515/9781474433129</v>
      </c>
      <c r="AH2965" t="str">
        <f>HYPERLINK("http://www.degruyter.com/isbn/9781474433129")</f>
        <v>http://www.degruyter.com/isbn/9781474433129</v>
      </c>
      <c r="AI2965" t="s">
        <v>46</v>
      </c>
      <c r="AL2965" t="s">
        <v>47</v>
      </c>
      <c r="AM2965">
        <v>1</v>
      </c>
      <c r="AN2965" s="2">
        <v>9781474433105</v>
      </c>
    </row>
    <row r="2966" spans="1:40" x14ac:dyDescent="0.3">
      <c r="A2966" t="s">
        <v>13977</v>
      </c>
      <c r="B2966" t="s">
        <v>1</v>
      </c>
      <c r="C2966" t="s">
        <v>13978</v>
      </c>
      <c r="D2966" t="s">
        <v>13979</v>
      </c>
      <c r="E2966" t="s">
        <v>13980</v>
      </c>
      <c r="F2966" t="s">
        <v>5</v>
      </c>
      <c r="G2966" t="s">
        <v>6</v>
      </c>
      <c r="L2966" t="s">
        <v>7</v>
      </c>
      <c r="M2966">
        <v>2021</v>
      </c>
      <c r="N2966" s="1">
        <v>44672</v>
      </c>
      <c r="O2966" t="s">
        <v>13981</v>
      </c>
      <c r="P2966">
        <v>1</v>
      </c>
      <c r="Q2966" t="s">
        <v>8081</v>
      </c>
      <c r="S2966">
        <v>217.95</v>
      </c>
      <c r="T2966">
        <v>250</v>
      </c>
      <c r="U2966">
        <v>190</v>
      </c>
      <c r="V2966" t="s">
        <v>20</v>
      </c>
      <c r="W2966" t="s">
        <v>21</v>
      </c>
      <c r="X2966" t="s">
        <v>3919</v>
      </c>
      <c r="Y2966" t="s">
        <v>13982</v>
      </c>
      <c r="AF2966" t="s">
        <v>13</v>
      </c>
      <c r="AG2966" t="str">
        <f>HYPERLINK("https://doi.org/10.1515/9781474462976")</f>
        <v>https://doi.org/10.1515/9781474462976</v>
      </c>
      <c r="AH2966" t="str">
        <f>HYPERLINK("http://www.degruyter.com/isbn/9781474462976")</f>
        <v>http://www.degruyter.com/isbn/9781474462976</v>
      </c>
      <c r="AI2966" t="s">
        <v>473</v>
      </c>
      <c r="AL2966" t="s">
        <v>15</v>
      </c>
      <c r="AM2966">
        <v>1</v>
      </c>
      <c r="AN2966" s="2">
        <v>9781474462952</v>
      </c>
    </row>
    <row r="2967" spans="1:40" x14ac:dyDescent="0.3">
      <c r="A2967" t="s">
        <v>13983</v>
      </c>
      <c r="B2967" t="s">
        <v>1</v>
      </c>
      <c r="C2967" t="s">
        <v>13984</v>
      </c>
      <c r="D2967" t="s">
        <v>13985</v>
      </c>
      <c r="E2967" t="s">
        <v>13986</v>
      </c>
      <c r="F2967" t="s">
        <v>5</v>
      </c>
      <c r="G2967" t="s">
        <v>6</v>
      </c>
      <c r="L2967" t="s">
        <v>7</v>
      </c>
      <c r="M2967">
        <v>2011</v>
      </c>
      <c r="N2967" s="1">
        <v>40877</v>
      </c>
      <c r="O2967" t="s">
        <v>13987</v>
      </c>
      <c r="P2967">
        <v>1</v>
      </c>
      <c r="Q2967" t="s">
        <v>7728</v>
      </c>
      <c r="S2967">
        <v>217.95</v>
      </c>
      <c r="T2967">
        <v>250</v>
      </c>
      <c r="U2967">
        <v>190</v>
      </c>
      <c r="V2967" t="s">
        <v>42</v>
      </c>
      <c r="W2967" t="s">
        <v>1379</v>
      </c>
      <c r="X2967" t="s">
        <v>1380</v>
      </c>
      <c r="Y2967" t="s">
        <v>1381</v>
      </c>
      <c r="AF2967" t="s">
        <v>13</v>
      </c>
      <c r="AG2967" t="str">
        <f>HYPERLINK("https://doi.org/10.1515/9780748645169")</f>
        <v>https://doi.org/10.1515/9780748645169</v>
      </c>
      <c r="AH2967" t="str">
        <f>HYPERLINK("http://www.degruyter.com/isbn/9780748645169")</f>
        <v>http://www.degruyter.com/isbn/9780748645169</v>
      </c>
      <c r="AI2967" t="s">
        <v>68</v>
      </c>
      <c r="AL2967" t="s">
        <v>47</v>
      </c>
      <c r="AM2967">
        <v>1</v>
      </c>
      <c r="AN2967" s="2">
        <v>9780748645152</v>
      </c>
    </row>
    <row r="2968" spans="1:40" x14ac:dyDescent="0.3">
      <c r="A2968" t="s">
        <v>13988</v>
      </c>
      <c r="B2968" t="s">
        <v>1</v>
      </c>
      <c r="C2968" t="s">
        <v>13989</v>
      </c>
      <c r="E2968" t="s">
        <v>13990</v>
      </c>
      <c r="F2968" t="s">
        <v>5</v>
      </c>
      <c r="G2968" t="s">
        <v>6</v>
      </c>
      <c r="L2968" t="s">
        <v>7</v>
      </c>
      <c r="M2968">
        <v>2012</v>
      </c>
      <c r="N2968" s="1">
        <v>41045</v>
      </c>
      <c r="O2968" t="s">
        <v>13991</v>
      </c>
      <c r="P2968">
        <v>1</v>
      </c>
      <c r="Q2968" t="s">
        <v>8317</v>
      </c>
      <c r="S2968">
        <v>217.95</v>
      </c>
      <c r="T2968">
        <v>250</v>
      </c>
      <c r="U2968">
        <v>190</v>
      </c>
      <c r="V2968" t="s">
        <v>42</v>
      </c>
      <c r="W2968" t="s">
        <v>43</v>
      </c>
      <c r="X2968" t="s">
        <v>44</v>
      </c>
      <c r="Y2968" t="s">
        <v>45</v>
      </c>
      <c r="AF2968" t="s">
        <v>13</v>
      </c>
      <c r="AG2968" t="str">
        <f>HYPERLINK("https://doi.org/10.1515/9780748631568")</f>
        <v>https://doi.org/10.1515/9780748631568</v>
      </c>
      <c r="AH2968" t="str">
        <f>HYPERLINK("http://www.degruyter.com/isbn/9780748631568")</f>
        <v>http://www.degruyter.com/isbn/9780748631568</v>
      </c>
      <c r="AI2968" t="s">
        <v>68</v>
      </c>
      <c r="AL2968" t="s">
        <v>47</v>
      </c>
      <c r="AM2968">
        <v>1</v>
      </c>
      <c r="AN2968" s="2">
        <v>9780748627493</v>
      </c>
    </row>
    <row r="2969" spans="1:40" x14ac:dyDescent="0.3">
      <c r="A2969" t="s">
        <v>13992</v>
      </c>
      <c r="B2969" t="s">
        <v>1</v>
      </c>
      <c r="C2969" t="s">
        <v>13993</v>
      </c>
      <c r="E2969" t="s">
        <v>13994</v>
      </c>
      <c r="F2969" t="s">
        <v>5</v>
      </c>
      <c r="G2969" t="s">
        <v>6</v>
      </c>
      <c r="L2969" t="s">
        <v>7</v>
      </c>
      <c r="M2969">
        <v>2021</v>
      </c>
      <c r="N2969" s="1">
        <v>44672</v>
      </c>
      <c r="O2969" t="s">
        <v>13995</v>
      </c>
      <c r="P2969">
        <v>1</v>
      </c>
      <c r="Q2969" t="s">
        <v>5911</v>
      </c>
      <c r="S2969">
        <v>227.95</v>
      </c>
      <c r="T2969">
        <v>260</v>
      </c>
      <c r="U2969">
        <v>200</v>
      </c>
      <c r="V2969" t="s">
        <v>305</v>
      </c>
      <c r="W2969" t="s">
        <v>2566</v>
      </c>
      <c r="X2969" t="s">
        <v>2567</v>
      </c>
      <c r="Y2969" t="s">
        <v>2568</v>
      </c>
      <c r="AF2969" t="s">
        <v>13</v>
      </c>
      <c r="AG2969" t="str">
        <f>HYPERLINK("https://doi.org/10.1515/9781474473767")</f>
        <v>https://doi.org/10.1515/9781474473767</v>
      </c>
      <c r="AH2969" t="str">
        <f>HYPERLINK("http://www.degruyter.com/isbn/9781474473767")</f>
        <v>http://www.degruyter.com/isbn/9781474473767</v>
      </c>
      <c r="AI2969" t="s">
        <v>908</v>
      </c>
      <c r="AL2969" t="s">
        <v>308</v>
      </c>
      <c r="AM2969">
        <v>1</v>
      </c>
      <c r="AN2969" s="2">
        <v>9781474473743</v>
      </c>
    </row>
    <row r="2970" spans="1:40" x14ac:dyDescent="0.3">
      <c r="A2970" t="s">
        <v>13996</v>
      </c>
      <c r="B2970" t="s">
        <v>1</v>
      </c>
      <c r="C2970" t="s">
        <v>13997</v>
      </c>
      <c r="E2970" t="s">
        <v>13998</v>
      </c>
      <c r="F2970" t="s">
        <v>5</v>
      </c>
      <c r="G2970" t="s">
        <v>6</v>
      </c>
      <c r="L2970" t="s">
        <v>7</v>
      </c>
      <c r="M2970">
        <v>2021</v>
      </c>
      <c r="N2970" s="1">
        <v>44672</v>
      </c>
      <c r="O2970" t="s">
        <v>13999</v>
      </c>
      <c r="P2970">
        <v>1</v>
      </c>
      <c r="Q2970" t="s">
        <v>14000</v>
      </c>
      <c r="S2970">
        <v>380.95</v>
      </c>
      <c r="T2970">
        <v>430</v>
      </c>
      <c r="U2970">
        <v>330</v>
      </c>
      <c r="V2970" t="s">
        <v>42</v>
      </c>
      <c r="W2970" t="s">
        <v>107</v>
      </c>
      <c r="X2970" t="s">
        <v>108</v>
      </c>
      <c r="Y2970" t="s">
        <v>109</v>
      </c>
      <c r="AF2970" t="s">
        <v>13</v>
      </c>
      <c r="AG2970" t="str">
        <f>HYPERLINK("https://doi.org/10.1515/9781474433402")</f>
        <v>https://doi.org/10.1515/9781474433402</v>
      </c>
      <c r="AH2970" t="str">
        <f>HYPERLINK("http://www.degruyter.com/isbn/9781474433402")</f>
        <v>http://www.degruyter.com/isbn/9781474433402</v>
      </c>
      <c r="AI2970" t="s">
        <v>110</v>
      </c>
      <c r="AL2970" t="s">
        <v>47</v>
      </c>
      <c r="AM2970">
        <v>1</v>
      </c>
      <c r="AN2970" s="2">
        <v>9781474433389</v>
      </c>
    </row>
    <row r="2971" spans="1:40" x14ac:dyDescent="0.3">
      <c r="A2971" t="s">
        <v>14001</v>
      </c>
      <c r="B2971" t="s">
        <v>1</v>
      </c>
      <c r="C2971" t="s">
        <v>14002</v>
      </c>
      <c r="E2971" t="s">
        <v>14003</v>
      </c>
      <c r="F2971" t="s">
        <v>5</v>
      </c>
      <c r="G2971" t="s">
        <v>6</v>
      </c>
      <c r="L2971" t="s">
        <v>7</v>
      </c>
      <c r="M2971">
        <v>1996</v>
      </c>
      <c r="N2971" s="1">
        <v>44607</v>
      </c>
      <c r="O2971" t="s">
        <v>14004</v>
      </c>
      <c r="P2971">
        <v>1</v>
      </c>
      <c r="Q2971" t="s">
        <v>6923</v>
      </c>
      <c r="S2971">
        <v>227.95</v>
      </c>
      <c r="T2971">
        <v>260</v>
      </c>
      <c r="U2971">
        <v>200</v>
      </c>
      <c r="V2971" t="s">
        <v>89</v>
      </c>
      <c r="W2971" t="s">
        <v>90</v>
      </c>
      <c r="X2971" t="s">
        <v>91</v>
      </c>
      <c r="Y2971" t="s">
        <v>717</v>
      </c>
      <c r="AF2971" t="s">
        <v>13</v>
      </c>
      <c r="AG2971" t="str">
        <f>HYPERLINK("https://doi.org/10.1515/9781474473446")</f>
        <v>https://doi.org/10.1515/9781474473446</v>
      </c>
      <c r="AH2971" t="str">
        <f>HYPERLINK("http://www.degruyter.com/isbn/9781474473446")</f>
        <v>http://www.degruyter.com/isbn/9781474473446</v>
      </c>
      <c r="AI2971" t="s">
        <v>24</v>
      </c>
      <c r="AL2971" t="s">
        <v>83</v>
      </c>
      <c r="AM2971">
        <v>1</v>
      </c>
      <c r="AN2971" s="2">
        <v>9780748608478</v>
      </c>
    </row>
    <row r="2972" spans="1:40" x14ac:dyDescent="0.3">
      <c r="A2972" t="s">
        <v>14005</v>
      </c>
      <c r="B2972" t="s">
        <v>1</v>
      </c>
      <c r="C2972" t="s">
        <v>14006</v>
      </c>
      <c r="E2972" t="s">
        <v>13799</v>
      </c>
      <c r="F2972" t="s">
        <v>5</v>
      </c>
      <c r="G2972" t="s">
        <v>6</v>
      </c>
      <c r="L2972" t="s">
        <v>7</v>
      </c>
      <c r="M2972">
        <v>2017</v>
      </c>
      <c r="N2972" s="1">
        <v>43047</v>
      </c>
      <c r="O2972" t="s">
        <v>14007</v>
      </c>
      <c r="P2972">
        <v>1</v>
      </c>
      <c r="Q2972" t="s">
        <v>14008</v>
      </c>
      <c r="S2972">
        <v>417.95</v>
      </c>
      <c r="T2972">
        <v>480</v>
      </c>
      <c r="U2972">
        <v>370</v>
      </c>
      <c r="V2972" t="s">
        <v>20</v>
      </c>
      <c r="W2972" t="s">
        <v>470</v>
      </c>
      <c r="X2972" t="s">
        <v>1269</v>
      </c>
      <c r="Y2972" t="s">
        <v>1270</v>
      </c>
      <c r="AF2972" t="s">
        <v>13</v>
      </c>
      <c r="AG2972" t="str">
        <f>HYPERLINK("https://doi.org/10.1515/9781474405874")</f>
        <v>https://doi.org/10.1515/9781474405874</v>
      </c>
      <c r="AH2972" t="str">
        <f>HYPERLINK("http://www.degruyter.com/isbn/9781474405874")</f>
        <v>http://www.degruyter.com/isbn/9781474405874</v>
      </c>
      <c r="AI2972" t="s">
        <v>222</v>
      </c>
      <c r="AL2972" t="s">
        <v>15</v>
      </c>
      <c r="AM2972">
        <v>1</v>
      </c>
      <c r="AN2972" s="2">
        <v>9781474405867</v>
      </c>
    </row>
    <row r="2973" spans="1:40" x14ac:dyDescent="0.3">
      <c r="A2973" t="s">
        <v>14009</v>
      </c>
      <c r="B2973" t="s">
        <v>1</v>
      </c>
      <c r="C2973" t="s">
        <v>14010</v>
      </c>
      <c r="E2973" t="s">
        <v>14011</v>
      </c>
      <c r="F2973" t="s">
        <v>5</v>
      </c>
      <c r="G2973" t="s">
        <v>6</v>
      </c>
      <c r="L2973" t="s">
        <v>7</v>
      </c>
      <c r="M2973">
        <v>2008</v>
      </c>
      <c r="N2973" s="1">
        <v>39687</v>
      </c>
      <c r="O2973" t="s">
        <v>14012</v>
      </c>
      <c r="P2973">
        <v>1</v>
      </c>
      <c r="Q2973" t="s">
        <v>6630</v>
      </c>
      <c r="S2973">
        <v>227.95</v>
      </c>
      <c r="T2973">
        <v>260</v>
      </c>
      <c r="U2973">
        <v>200</v>
      </c>
      <c r="V2973" t="s">
        <v>42</v>
      </c>
      <c r="W2973" t="s">
        <v>107</v>
      </c>
      <c r="X2973" t="s">
        <v>108</v>
      </c>
      <c r="Y2973" t="s">
        <v>109</v>
      </c>
      <c r="AF2973" t="s">
        <v>13</v>
      </c>
      <c r="AG2973" t="str">
        <f>HYPERLINK("https://doi.org/10.1515/9780748630370")</f>
        <v>https://doi.org/10.1515/9780748630370</v>
      </c>
      <c r="AH2973" t="str">
        <f>HYPERLINK("http://www.degruyter.com/isbn/9780748630370")</f>
        <v>http://www.degruyter.com/isbn/9780748630370</v>
      </c>
      <c r="AI2973" t="s">
        <v>68</v>
      </c>
      <c r="AL2973" t="s">
        <v>47</v>
      </c>
      <c r="AM2973">
        <v>1</v>
      </c>
      <c r="AN2973" s="2">
        <v>9780748624195</v>
      </c>
    </row>
    <row r="2974" spans="1:40" x14ac:dyDescent="0.3">
      <c r="A2974" t="s">
        <v>14013</v>
      </c>
      <c r="B2974" t="s">
        <v>1</v>
      </c>
      <c r="C2974" t="s">
        <v>14014</v>
      </c>
      <c r="E2974" t="s">
        <v>14015</v>
      </c>
      <c r="F2974" t="s">
        <v>5</v>
      </c>
      <c r="G2974" t="s">
        <v>6</v>
      </c>
      <c r="L2974" t="s">
        <v>7</v>
      </c>
      <c r="M2974">
        <v>2013</v>
      </c>
      <c r="N2974" s="1">
        <v>41521</v>
      </c>
      <c r="O2974" t="s">
        <v>14016</v>
      </c>
      <c r="P2974">
        <v>1</v>
      </c>
      <c r="Q2974" t="s">
        <v>6630</v>
      </c>
      <c r="S2974">
        <v>191.95</v>
      </c>
      <c r="T2974">
        <v>220</v>
      </c>
      <c r="U2974">
        <v>170</v>
      </c>
      <c r="V2974" t="s">
        <v>42</v>
      </c>
      <c r="W2974" t="s">
        <v>116</v>
      </c>
      <c r="X2974" t="s">
        <v>116</v>
      </c>
      <c r="Y2974" t="s">
        <v>117</v>
      </c>
      <c r="AF2974" t="s">
        <v>13</v>
      </c>
      <c r="AG2974" t="str">
        <f>HYPERLINK("https://doi.org/10.1515/9780748689804")</f>
        <v>https://doi.org/10.1515/9780748689804</v>
      </c>
      <c r="AH2974" t="str">
        <f>HYPERLINK("http://www.degruyter.com/isbn/9780748689804")</f>
        <v>http://www.degruyter.com/isbn/9780748689804</v>
      </c>
      <c r="AI2974" t="s">
        <v>68</v>
      </c>
      <c r="AL2974" t="s">
        <v>47</v>
      </c>
      <c r="AM2974">
        <v>1</v>
      </c>
      <c r="AN2974" s="2">
        <v>9780748639380</v>
      </c>
    </row>
    <row r="2975" spans="1:40" x14ac:dyDescent="0.3">
      <c r="A2975" t="s">
        <v>14017</v>
      </c>
      <c r="B2975" t="s">
        <v>1</v>
      </c>
      <c r="C2975" t="s">
        <v>14018</v>
      </c>
      <c r="D2975" t="s">
        <v>14019</v>
      </c>
      <c r="E2975" t="s">
        <v>14020</v>
      </c>
      <c r="F2975" t="s">
        <v>5</v>
      </c>
      <c r="G2975" t="s">
        <v>6</v>
      </c>
      <c r="L2975" t="s">
        <v>7</v>
      </c>
      <c r="M2975">
        <v>2021</v>
      </c>
      <c r="N2975" s="1">
        <v>44672</v>
      </c>
      <c r="O2975" t="s">
        <v>14021</v>
      </c>
      <c r="P2975">
        <v>1</v>
      </c>
      <c r="Q2975" t="s">
        <v>9122</v>
      </c>
      <c r="S2975">
        <v>243.95</v>
      </c>
      <c r="T2975">
        <v>280</v>
      </c>
      <c r="U2975">
        <v>210</v>
      </c>
      <c r="V2975" t="s">
        <v>305</v>
      </c>
      <c r="W2975" t="s">
        <v>306</v>
      </c>
      <c r="X2975" t="s">
        <v>306</v>
      </c>
      <c r="Y2975" t="s">
        <v>14022</v>
      </c>
      <c r="AF2975" t="s">
        <v>13</v>
      </c>
      <c r="AG2975" t="str">
        <f>HYPERLINK("https://doi.org/10.1515/9781474475037")</f>
        <v>https://doi.org/10.1515/9781474475037</v>
      </c>
      <c r="AH2975" t="str">
        <f>HYPERLINK("http://www.degruyter.com/isbn/9781474475037")</f>
        <v>http://www.degruyter.com/isbn/9781474475037</v>
      </c>
      <c r="AI2975" t="s">
        <v>1936</v>
      </c>
      <c r="AL2975" t="s">
        <v>308</v>
      </c>
      <c r="AM2975">
        <v>1</v>
      </c>
      <c r="AN2975" s="2">
        <v>9781474475006</v>
      </c>
    </row>
    <row r="2976" spans="1:40" x14ac:dyDescent="0.3">
      <c r="A2976" t="s">
        <v>14023</v>
      </c>
      <c r="B2976" t="s">
        <v>1</v>
      </c>
      <c r="C2976" t="s">
        <v>14024</v>
      </c>
      <c r="E2976" t="s">
        <v>14025</v>
      </c>
      <c r="F2976" t="s">
        <v>5</v>
      </c>
      <c r="G2976" t="s">
        <v>6</v>
      </c>
      <c r="L2976" t="s">
        <v>7</v>
      </c>
      <c r="M2976">
        <v>2022</v>
      </c>
      <c r="N2976" s="1">
        <v>44690</v>
      </c>
      <c r="O2976" t="s">
        <v>14026</v>
      </c>
      <c r="P2976">
        <v>1</v>
      </c>
      <c r="Q2976" t="s">
        <v>6606</v>
      </c>
      <c r="S2976">
        <v>191.95</v>
      </c>
      <c r="T2976">
        <v>220</v>
      </c>
      <c r="U2976">
        <v>170</v>
      </c>
      <c r="V2976" t="s">
        <v>268</v>
      </c>
      <c r="W2976" t="s">
        <v>269</v>
      </c>
      <c r="X2976" t="s">
        <v>269</v>
      </c>
      <c r="Y2976" t="s">
        <v>360</v>
      </c>
      <c r="AF2976" t="s">
        <v>13</v>
      </c>
      <c r="AG2976" t="str">
        <f>HYPERLINK("https://doi.org/10.1515/9781474408332")</f>
        <v>https://doi.org/10.1515/9781474408332</v>
      </c>
      <c r="AH2976" t="str">
        <f>HYPERLINK("http://www.degruyter.com/isbn/9781474408332")</f>
        <v>http://www.degruyter.com/isbn/9781474408332</v>
      </c>
      <c r="AI2976" t="s">
        <v>14027</v>
      </c>
      <c r="AL2976" t="s">
        <v>272</v>
      </c>
      <c r="AM2976">
        <v>1</v>
      </c>
      <c r="AN2976" s="2">
        <v>9781474408325</v>
      </c>
    </row>
    <row r="2977" spans="1:40" x14ac:dyDescent="0.3">
      <c r="A2977" t="s">
        <v>14028</v>
      </c>
      <c r="B2977" t="s">
        <v>1</v>
      </c>
      <c r="C2977" t="s">
        <v>14029</v>
      </c>
      <c r="D2977" t="s">
        <v>14030</v>
      </c>
      <c r="E2977" t="s">
        <v>14031</v>
      </c>
      <c r="F2977" t="s">
        <v>5</v>
      </c>
      <c r="G2977" t="s">
        <v>6</v>
      </c>
      <c r="L2977" t="s">
        <v>7</v>
      </c>
      <c r="M2977">
        <v>2009</v>
      </c>
      <c r="N2977" s="1">
        <v>39965</v>
      </c>
      <c r="O2977" t="s">
        <v>14032</v>
      </c>
      <c r="P2977">
        <v>1</v>
      </c>
      <c r="Q2977" t="s">
        <v>6665</v>
      </c>
      <c r="S2977">
        <v>227.95</v>
      </c>
      <c r="T2977">
        <v>260</v>
      </c>
      <c r="U2977">
        <v>200</v>
      </c>
      <c r="V2977" t="s">
        <v>9</v>
      </c>
      <c r="W2977" t="s">
        <v>10</v>
      </c>
      <c r="X2977" t="s">
        <v>11</v>
      </c>
      <c r="Y2977" t="s">
        <v>12</v>
      </c>
      <c r="AF2977" t="s">
        <v>13</v>
      </c>
      <c r="AG2977" t="str">
        <f>HYPERLINK("https://doi.org/10.1515/9780748629268")</f>
        <v>https://doi.org/10.1515/9780748629268</v>
      </c>
      <c r="AH2977" t="str">
        <f>HYPERLINK("http://www.degruyter.com/isbn/9780748629268")</f>
        <v>http://www.degruyter.com/isbn/9780748629268</v>
      </c>
      <c r="AI2977" t="s">
        <v>68</v>
      </c>
      <c r="AL2977" t="s">
        <v>15</v>
      </c>
      <c r="AM2977">
        <v>1</v>
      </c>
      <c r="AN2977" s="2">
        <v>9780748620814</v>
      </c>
    </row>
    <row r="2978" spans="1:40" x14ac:dyDescent="0.3">
      <c r="A2978" t="s">
        <v>14033</v>
      </c>
      <c r="B2978" t="s">
        <v>1</v>
      </c>
      <c r="C2978" t="s">
        <v>14034</v>
      </c>
      <c r="E2978" t="s">
        <v>14035</v>
      </c>
      <c r="F2978" t="s">
        <v>5</v>
      </c>
      <c r="G2978" t="s">
        <v>6</v>
      </c>
      <c r="L2978" t="s">
        <v>7</v>
      </c>
      <c r="M2978">
        <v>2006</v>
      </c>
      <c r="N2978" s="1">
        <v>38889</v>
      </c>
      <c r="O2978" t="s">
        <v>918</v>
      </c>
      <c r="P2978">
        <v>1</v>
      </c>
      <c r="Q2978" t="s">
        <v>7187</v>
      </c>
      <c r="S2978">
        <v>253.95</v>
      </c>
      <c r="T2978">
        <v>290</v>
      </c>
      <c r="U2978">
        <v>220</v>
      </c>
      <c r="V2978" t="s">
        <v>98</v>
      </c>
      <c r="W2978" t="s">
        <v>99</v>
      </c>
      <c r="X2978" t="s">
        <v>386</v>
      </c>
      <c r="Y2978" t="s">
        <v>387</v>
      </c>
      <c r="AF2978" t="s">
        <v>13</v>
      </c>
      <c r="AG2978" t="str">
        <f>HYPERLINK("https://doi.org/10.1515/9780748626977?locatt=mode:legacy")</f>
        <v>https://doi.org/10.1515/9780748626977?locatt=mode:legacy</v>
      </c>
      <c r="AH2978" t="str">
        <f>HYPERLINK("http://www.degruyter.com/isbn/9780748626977")</f>
        <v>http://www.degruyter.com/isbn/9780748626977</v>
      </c>
      <c r="AI2978" t="s">
        <v>68</v>
      </c>
      <c r="AL2978" t="s">
        <v>102</v>
      </c>
      <c r="AM2978">
        <v>1</v>
      </c>
      <c r="AN2978" s="2">
        <v>9780748624522</v>
      </c>
    </row>
    <row r="2979" spans="1:40" x14ac:dyDescent="0.3">
      <c r="A2979" t="s">
        <v>14036</v>
      </c>
      <c r="B2979" t="s">
        <v>1</v>
      </c>
      <c r="C2979" t="s">
        <v>14037</v>
      </c>
      <c r="D2979" t="s">
        <v>14038</v>
      </c>
      <c r="E2979" t="s">
        <v>14039</v>
      </c>
      <c r="F2979" t="s">
        <v>5</v>
      </c>
      <c r="G2979" t="s">
        <v>6</v>
      </c>
      <c r="L2979" t="s">
        <v>7</v>
      </c>
      <c r="M2979">
        <v>2010</v>
      </c>
      <c r="N2979" s="1">
        <v>40443</v>
      </c>
      <c r="O2979" t="s">
        <v>14040</v>
      </c>
      <c r="P2979">
        <v>1</v>
      </c>
      <c r="Q2979" t="s">
        <v>14041</v>
      </c>
      <c r="S2979">
        <v>243.95</v>
      </c>
      <c r="T2979">
        <v>280</v>
      </c>
      <c r="U2979">
        <v>210</v>
      </c>
      <c r="V2979" t="s">
        <v>20</v>
      </c>
      <c r="W2979" t="s">
        <v>21</v>
      </c>
      <c r="X2979" t="s">
        <v>575</v>
      </c>
      <c r="Y2979" t="s">
        <v>576</v>
      </c>
      <c r="AF2979" t="s">
        <v>13</v>
      </c>
      <c r="AG2979" t="str">
        <f>HYPERLINK("https://doi.org/10.1515/9780748628469")</f>
        <v>https://doi.org/10.1515/9780748628469</v>
      </c>
      <c r="AH2979" t="str">
        <f>HYPERLINK("http://www.degruyter.com/isbn/9780748628469")</f>
        <v>http://www.degruyter.com/isbn/9780748628469</v>
      </c>
      <c r="AI2979" t="s">
        <v>68</v>
      </c>
      <c r="AL2979" t="s">
        <v>15</v>
      </c>
      <c r="AM2979">
        <v>1</v>
      </c>
      <c r="AN2979" s="2">
        <v>9780748614868</v>
      </c>
    </row>
    <row r="2980" spans="1:40" x14ac:dyDescent="0.3">
      <c r="A2980" t="s">
        <v>14042</v>
      </c>
      <c r="B2980" t="s">
        <v>1</v>
      </c>
      <c r="C2980" t="s">
        <v>14043</v>
      </c>
      <c r="E2980" t="s">
        <v>14044</v>
      </c>
      <c r="F2980" t="s">
        <v>5</v>
      </c>
      <c r="G2980" t="s">
        <v>6</v>
      </c>
      <c r="L2980" t="s">
        <v>7</v>
      </c>
      <c r="M2980">
        <v>2004</v>
      </c>
      <c r="N2980" s="1">
        <v>44693</v>
      </c>
      <c r="O2980" t="s">
        <v>14045</v>
      </c>
      <c r="P2980">
        <v>1</v>
      </c>
      <c r="Q2980" t="s">
        <v>14046</v>
      </c>
      <c r="S2980">
        <v>217.95</v>
      </c>
      <c r="T2980">
        <v>250</v>
      </c>
      <c r="U2980">
        <v>190</v>
      </c>
      <c r="V2980" t="s">
        <v>42</v>
      </c>
      <c r="W2980" t="s">
        <v>43</v>
      </c>
      <c r="X2980" t="s">
        <v>1061</v>
      </c>
      <c r="Y2980" t="s">
        <v>1339</v>
      </c>
      <c r="AF2980" t="s">
        <v>13</v>
      </c>
      <c r="AG2980" t="str">
        <f>HYPERLINK("https://doi.org/10.1515/9781474464581")</f>
        <v>https://doi.org/10.1515/9781474464581</v>
      </c>
      <c r="AH2980" t="str">
        <f>HYPERLINK("http://www.degruyter.com/isbn/9781474464581")</f>
        <v>http://www.degruyter.com/isbn/9781474464581</v>
      </c>
      <c r="AI2980" t="s">
        <v>68</v>
      </c>
      <c r="AL2980" t="s">
        <v>47</v>
      </c>
      <c r="AM2980">
        <v>1</v>
      </c>
      <c r="AN2980" s="2">
        <v>9780748621460</v>
      </c>
    </row>
    <row r="2981" spans="1:40" x14ac:dyDescent="0.3">
      <c r="A2981" t="s">
        <v>14047</v>
      </c>
      <c r="B2981" t="s">
        <v>1</v>
      </c>
      <c r="C2981" t="s">
        <v>14048</v>
      </c>
      <c r="E2981" t="s">
        <v>14049</v>
      </c>
      <c r="F2981" t="s">
        <v>5</v>
      </c>
      <c r="G2981" t="s">
        <v>6</v>
      </c>
      <c r="L2981" t="s">
        <v>7</v>
      </c>
      <c r="M2981">
        <v>2018</v>
      </c>
      <c r="N2981" s="1">
        <v>44656</v>
      </c>
      <c r="O2981" t="s">
        <v>14050</v>
      </c>
      <c r="P2981">
        <v>1</v>
      </c>
      <c r="Q2981" t="s">
        <v>13595</v>
      </c>
      <c r="S2981">
        <v>227.95</v>
      </c>
      <c r="T2981">
        <v>260</v>
      </c>
      <c r="U2981">
        <v>200</v>
      </c>
      <c r="V2981" t="s">
        <v>42</v>
      </c>
      <c r="W2981" t="s">
        <v>107</v>
      </c>
      <c r="X2981" t="s">
        <v>108</v>
      </c>
      <c r="Y2981" t="s">
        <v>952</v>
      </c>
      <c r="AF2981" t="s">
        <v>13</v>
      </c>
      <c r="AG2981" t="str">
        <f>HYPERLINK("https://www.degruyter.com/isbn/9781474471954")</f>
        <v>https://www.degruyter.com/isbn/9781474471954</v>
      </c>
      <c r="AH2981" t="str">
        <f>HYPERLINK("http://www.degruyter.com/isbn/9781474471954")</f>
        <v>http://www.degruyter.com/isbn/9781474471954</v>
      </c>
      <c r="AI2981" t="s">
        <v>46</v>
      </c>
      <c r="AL2981" t="s">
        <v>47</v>
      </c>
      <c r="AM2981">
        <v>1</v>
      </c>
      <c r="AN2981" s="2">
        <v>9780748669745</v>
      </c>
    </row>
    <row r="2982" spans="1:40" x14ac:dyDescent="0.3">
      <c r="A2982" t="s">
        <v>14051</v>
      </c>
      <c r="B2982" t="s">
        <v>1</v>
      </c>
      <c r="C2982" t="s">
        <v>14052</v>
      </c>
      <c r="D2982" t="s">
        <v>14053</v>
      </c>
      <c r="E2982" t="s">
        <v>14054</v>
      </c>
      <c r="F2982" t="s">
        <v>5</v>
      </c>
      <c r="G2982" t="s">
        <v>6</v>
      </c>
      <c r="L2982" t="s">
        <v>7</v>
      </c>
      <c r="M2982">
        <v>2020</v>
      </c>
      <c r="N2982" s="1">
        <v>44656</v>
      </c>
      <c r="O2982" t="s">
        <v>2052</v>
      </c>
      <c r="P2982">
        <v>1</v>
      </c>
      <c r="S2982">
        <v>217.95</v>
      </c>
      <c r="T2982">
        <v>250</v>
      </c>
      <c r="U2982">
        <v>190</v>
      </c>
      <c r="V2982" t="s">
        <v>79</v>
      </c>
      <c r="W2982" t="s">
        <v>123</v>
      </c>
      <c r="X2982" t="s">
        <v>123</v>
      </c>
      <c r="Y2982" t="s">
        <v>124</v>
      </c>
      <c r="AF2982" t="s">
        <v>13</v>
      </c>
      <c r="AG2982" t="str">
        <f>HYPERLINK("https://doi.org/10.1515/9781474400718")</f>
        <v>https://doi.org/10.1515/9781474400718</v>
      </c>
      <c r="AH2982" t="str">
        <f>HYPERLINK("http://www.degruyter.com/isbn/9781474400718")</f>
        <v>http://www.degruyter.com/isbn/9781474400718</v>
      </c>
      <c r="AI2982" t="s">
        <v>14</v>
      </c>
      <c r="AL2982" t="s">
        <v>83</v>
      </c>
      <c r="AM2982">
        <v>1</v>
      </c>
      <c r="AN2982" s="2">
        <v>9780748612192</v>
      </c>
    </row>
    <row r="2983" spans="1:40" x14ac:dyDescent="0.3">
      <c r="A2983" t="s">
        <v>14055</v>
      </c>
      <c r="B2983" t="s">
        <v>1</v>
      </c>
      <c r="C2983" t="s">
        <v>14056</v>
      </c>
      <c r="D2983" t="s">
        <v>14057</v>
      </c>
      <c r="E2983" t="s">
        <v>14058</v>
      </c>
      <c r="F2983" t="s">
        <v>5</v>
      </c>
      <c r="G2983" t="s">
        <v>6</v>
      </c>
      <c r="L2983" t="s">
        <v>7</v>
      </c>
      <c r="M2983">
        <v>2021</v>
      </c>
      <c r="N2983" s="1">
        <v>44644</v>
      </c>
      <c r="O2983" t="s">
        <v>14059</v>
      </c>
      <c r="P2983">
        <v>1</v>
      </c>
      <c r="Q2983" t="s">
        <v>14060</v>
      </c>
      <c r="S2983">
        <v>253.95</v>
      </c>
      <c r="T2983">
        <v>290</v>
      </c>
      <c r="U2983">
        <v>220</v>
      </c>
      <c r="V2983" t="s">
        <v>98</v>
      </c>
      <c r="W2983" t="s">
        <v>99</v>
      </c>
      <c r="X2983" t="s">
        <v>386</v>
      </c>
      <c r="Y2983" t="s">
        <v>387</v>
      </c>
      <c r="AF2983" t="s">
        <v>13</v>
      </c>
      <c r="AG2983" t="str">
        <f>HYPERLINK("https://doi.org/10.1515/9781474447959")</f>
        <v>https://doi.org/10.1515/9781474447959</v>
      </c>
      <c r="AH2983" t="str">
        <f>HYPERLINK("http://www.degruyter.com/isbn/9781474447959")</f>
        <v>http://www.degruyter.com/isbn/9781474447959</v>
      </c>
      <c r="AI2983" t="s">
        <v>565</v>
      </c>
      <c r="AL2983" t="s">
        <v>102</v>
      </c>
      <c r="AM2983">
        <v>1</v>
      </c>
      <c r="AN2983" s="2">
        <v>9781474447935</v>
      </c>
    </row>
    <row r="2984" spans="1:40" x14ac:dyDescent="0.3">
      <c r="A2984" t="s">
        <v>14061</v>
      </c>
      <c r="B2984" t="s">
        <v>1</v>
      </c>
      <c r="C2984" t="s">
        <v>14062</v>
      </c>
      <c r="E2984" t="s">
        <v>14063</v>
      </c>
      <c r="F2984" t="s">
        <v>5</v>
      </c>
      <c r="G2984" t="s">
        <v>6</v>
      </c>
      <c r="L2984" t="s">
        <v>7</v>
      </c>
      <c r="M2984">
        <v>2018</v>
      </c>
      <c r="N2984" s="1">
        <v>44644</v>
      </c>
      <c r="O2984" t="s">
        <v>14064</v>
      </c>
      <c r="P2984">
        <v>1</v>
      </c>
      <c r="Q2984" t="s">
        <v>14065</v>
      </c>
      <c r="S2984">
        <v>217.95</v>
      </c>
      <c r="T2984">
        <v>250</v>
      </c>
      <c r="U2984">
        <v>190</v>
      </c>
      <c r="V2984" t="s">
        <v>42</v>
      </c>
      <c r="W2984" t="s">
        <v>107</v>
      </c>
      <c r="X2984" t="s">
        <v>108</v>
      </c>
      <c r="Y2984" t="s">
        <v>221</v>
      </c>
      <c r="AF2984" t="s">
        <v>13</v>
      </c>
      <c r="AG2984" t="str">
        <f>HYPERLINK("https://doi.org/10.1515/9781474430043?locatt=mode:legacy")</f>
        <v>https://doi.org/10.1515/9781474430043?locatt=mode:legacy</v>
      </c>
      <c r="AH2984" t="str">
        <f>HYPERLINK("http://www.degruyter.com/isbn/9781474430043")</f>
        <v>http://www.degruyter.com/isbn/9781474430043</v>
      </c>
      <c r="AI2984" t="s">
        <v>46</v>
      </c>
      <c r="AL2984" t="s">
        <v>47</v>
      </c>
      <c r="AM2984">
        <v>1</v>
      </c>
      <c r="AN2984" s="2">
        <v>9781474430029</v>
      </c>
    </row>
    <row r="2985" spans="1:40" x14ac:dyDescent="0.3">
      <c r="A2985" t="s">
        <v>14066</v>
      </c>
      <c r="B2985" t="s">
        <v>1</v>
      </c>
      <c r="C2985" t="s">
        <v>14067</v>
      </c>
      <c r="D2985" t="s">
        <v>14068</v>
      </c>
      <c r="E2985" t="s">
        <v>14069</v>
      </c>
      <c r="F2985" t="s">
        <v>5</v>
      </c>
      <c r="G2985" t="s">
        <v>6</v>
      </c>
      <c r="K2985" t="s">
        <v>923</v>
      </c>
      <c r="L2985" t="s">
        <v>7</v>
      </c>
      <c r="M2985">
        <v>2021</v>
      </c>
      <c r="N2985" s="1">
        <v>44257</v>
      </c>
      <c r="O2985" t="s">
        <v>14070</v>
      </c>
      <c r="P2985">
        <v>1</v>
      </c>
      <c r="Q2985" t="s">
        <v>13628</v>
      </c>
      <c r="V2985" t="s">
        <v>42</v>
      </c>
      <c r="W2985" t="s">
        <v>116</v>
      </c>
      <c r="X2985" t="s">
        <v>116</v>
      </c>
      <c r="Y2985" t="s">
        <v>11160</v>
      </c>
      <c r="AF2985" t="s">
        <v>13</v>
      </c>
      <c r="AG2985" t="str">
        <f>HYPERLINK("https://doi.org/10.1515/9781474481649")</f>
        <v>https://doi.org/10.1515/9781474481649</v>
      </c>
      <c r="AH2985" t="str">
        <f>HYPERLINK("http://www.degruyter.com/isbn/9781474481649")</f>
        <v>http://www.degruyter.com/isbn/9781474481649</v>
      </c>
      <c r="AI2985" t="s">
        <v>1561</v>
      </c>
      <c r="AM2985">
        <v>1</v>
      </c>
      <c r="AN2985" s="2"/>
    </row>
    <row r="2986" spans="1:40" x14ac:dyDescent="0.3">
      <c r="A2986" t="s">
        <v>14071</v>
      </c>
      <c r="B2986" t="s">
        <v>1</v>
      </c>
      <c r="C2986" t="s">
        <v>14072</v>
      </c>
      <c r="D2986" t="s">
        <v>14073</v>
      </c>
      <c r="E2986" t="s">
        <v>14074</v>
      </c>
      <c r="F2986" t="s">
        <v>5</v>
      </c>
      <c r="G2986" t="s">
        <v>6</v>
      </c>
      <c r="L2986" t="s">
        <v>7</v>
      </c>
      <c r="M2986">
        <v>2013</v>
      </c>
      <c r="N2986" s="1">
        <v>41522</v>
      </c>
      <c r="O2986" t="s">
        <v>14075</v>
      </c>
      <c r="P2986">
        <v>1</v>
      </c>
      <c r="Q2986" t="s">
        <v>13628</v>
      </c>
      <c r="S2986">
        <v>217.95</v>
      </c>
      <c r="T2986">
        <v>250</v>
      </c>
      <c r="U2986">
        <v>190</v>
      </c>
      <c r="V2986" t="s">
        <v>42</v>
      </c>
      <c r="W2986" t="s">
        <v>161</v>
      </c>
      <c r="X2986" t="s">
        <v>162</v>
      </c>
      <c r="Y2986" t="s">
        <v>896</v>
      </c>
      <c r="AF2986" t="s">
        <v>13</v>
      </c>
      <c r="AG2986" t="str">
        <f>HYPERLINK("https://doi.org/10.1515/9780748684908?locatt=mode:legacy")</f>
        <v>https://doi.org/10.1515/9780748684908?locatt=mode:legacy</v>
      </c>
      <c r="AH2986" t="str">
        <f>HYPERLINK("http://www.degruyter.com/isbn/9780748684908")</f>
        <v>http://www.degruyter.com/isbn/9780748684908</v>
      </c>
      <c r="AI2986" t="s">
        <v>68</v>
      </c>
      <c r="AL2986" t="s">
        <v>47</v>
      </c>
      <c r="AM2986">
        <v>1</v>
      </c>
      <c r="AN2986" s="2">
        <v>9780748684892</v>
      </c>
    </row>
    <row r="2987" spans="1:40" x14ac:dyDescent="0.3">
      <c r="A2987" t="s">
        <v>14076</v>
      </c>
      <c r="B2987" t="s">
        <v>1</v>
      </c>
      <c r="C2987" t="s">
        <v>14077</v>
      </c>
      <c r="E2987" t="s">
        <v>14078</v>
      </c>
      <c r="F2987" t="s">
        <v>5</v>
      </c>
      <c r="G2987" t="s">
        <v>6</v>
      </c>
      <c r="L2987" t="s">
        <v>7</v>
      </c>
      <c r="M2987">
        <v>2022</v>
      </c>
      <c r="N2987" s="1">
        <v>44690</v>
      </c>
      <c r="O2987" t="s">
        <v>14079</v>
      </c>
      <c r="P2987">
        <v>1</v>
      </c>
      <c r="Q2987" t="s">
        <v>13309</v>
      </c>
      <c r="S2987">
        <v>305.95</v>
      </c>
      <c r="T2987">
        <v>350</v>
      </c>
      <c r="U2987">
        <v>270</v>
      </c>
      <c r="V2987" t="s">
        <v>42</v>
      </c>
      <c r="W2987" t="s">
        <v>116</v>
      </c>
      <c r="X2987" t="s">
        <v>116</v>
      </c>
      <c r="Y2987" t="s">
        <v>971</v>
      </c>
      <c r="AF2987" t="s">
        <v>13</v>
      </c>
      <c r="AG2987" t="str">
        <f>HYPERLINK("https://doi.org/10.1515/9781474423854")</f>
        <v>https://doi.org/10.1515/9781474423854</v>
      </c>
      <c r="AH2987" t="str">
        <f>HYPERLINK("http://www.degruyter.com/isbn/9781474423854")</f>
        <v>http://www.degruyter.com/isbn/9781474423854</v>
      </c>
      <c r="AI2987" t="s">
        <v>12962</v>
      </c>
      <c r="AL2987" t="s">
        <v>47</v>
      </c>
      <c r="AM2987">
        <v>1</v>
      </c>
      <c r="AN2987" s="2">
        <v>9781474423847</v>
      </c>
    </row>
    <row r="2988" spans="1:40" x14ac:dyDescent="0.3">
      <c r="A2988" t="s">
        <v>14080</v>
      </c>
      <c r="B2988" t="s">
        <v>1</v>
      </c>
      <c r="C2988" t="s">
        <v>14081</v>
      </c>
      <c r="D2988" t="s">
        <v>14082</v>
      </c>
      <c r="E2988" t="s">
        <v>14083</v>
      </c>
      <c r="F2988" t="s">
        <v>5</v>
      </c>
      <c r="G2988" t="s">
        <v>6</v>
      </c>
      <c r="L2988" t="s">
        <v>7</v>
      </c>
      <c r="M2988">
        <v>2018</v>
      </c>
      <c r="N2988" s="1">
        <v>44644</v>
      </c>
      <c r="O2988" t="s">
        <v>5422</v>
      </c>
      <c r="P2988">
        <v>1</v>
      </c>
      <c r="Q2988" t="s">
        <v>14060</v>
      </c>
      <c r="S2988">
        <v>253.95</v>
      </c>
      <c r="T2988">
        <v>290</v>
      </c>
      <c r="U2988">
        <v>220</v>
      </c>
      <c r="V2988" t="s">
        <v>98</v>
      </c>
      <c r="W2988" t="s">
        <v>99</v>
      </c>
      <c r="X2988" t="s">
        <v>386</v>
      </c>
      <c r="Y2988" t="s">
        <v>387</v>
      </c>
      <c r="AF2988" t="s">
        <v>13</v>
      </c>
      <c r="AG2988" t="str">
        <f>HYPERLINK("https://doi.org/10.1515/9781474416887")</f>
        <v>https://doi.org/10.1515/9781474416887</v>
      </c>
      <c r="AH2988" t="str">
        <f>HYPERLINK("http://www.degruyter.com/isbn/9781474416887")</f>
        <v>http://www.degruyter.com/isbn/9781474416887</v>
      </c>
      <c r="AI2988" t="s">
        <v>46</v>
      </c>
      <c r="AL2988" t="s">
        <v>102</v>
      </c>
      <c r="AM2988">
        <v>1</v>
      </c>
      <c r="AN2988" s="2">
        <v>9781474416863</v>
      </c>
    </row>
    <row r="2989" spans="1:40" x14ac:dyDescent="0.3">
      <c r="A2989" t="s">
        <v>14084</v>
      </c>
      <c r="B2989" t="s">
        <v>1</v>
      </c>
      <c r="C2989" t="s">
        <v>14085</v>
      </c>
      <c r="D2989" t="s">
        <v>14086</v>
      </c>
      <c r="E2989" t="s">
        <v>14087</v>
      </c>
      <c r="F2989" t="s">
        <v>5</v>
      </c>
      <c r="G2989" t="s">
        <v>6</v>
      </c>
      <c r="L2989" t="s">
        <v>7</v>
      </c>
      <c r="M2989">
        <v>2021</v>
      </c>
      <c r="N2989" s="1">
        <v>44644</v>
      </c>
      <c r="O2989" t="s">
        <v>14088</v>
      </c>
      <c r="P2989">
        <v>1</v>
      </c>
      <c r="Q2989" t="s">
        <v>13361</v>
      </c>
      <c r="S2989">
        <v>191.95</v>
      </c>
      <c r="T2989">
        <v>220</v>
      </c>
      <c r="U2989">
        <v>170</v>
      </c>
      <c r="V2989" t="s">
        <v>42</v>
      </c>
      <c r="W2989" t="s">
        <v>107</v>
      </c>
      <c r="X2989" t="s">
        <v>108</v>
      </c>
      <c r="Y2989" t="s">
        <v>2244</v>
      </c>
      <c r="AF2989" t="s">
        <v>13</v>
      </c>
      <c r="AG2989" t="str">
        <f>HYPERLINK("https://doi.org/10.1515/9781474493178")</f>
        <v>https://doi.org/10.1515/9781474493178</v>
      </c>
      <c r="AH2989" t="str">
        <f>HYPERLINK("http://www.degruyter.com/isbn/9781474493178")</f>
        <v>http://www.degruyter.com/isbn/9781474493178</v>
      </c>
      <c r="AI2989" t="s">
        <v>1561</v>
      </c>
      <c r="AL2989" t="s">
        <v>47</v>
      </c>
      <c r="AM2989">
        <v>1</v>
      </c>
      <c r="AN2989" s="2">
        <v>9781474493154</v>
      </c>
    </row>
    <row r="2990" spans="1:40" x14ac:dyDescent="0.3">
      <c r="A2990" t="s">
        <v>14089</v>
      </c>
      <c r="B2990" t="s">
        <v>1</v>
      </c>
      <c r="C2990" t="s">
        <v>14090</v>
      </c>
      <c r="D2990" t="s">
        <v>14091</v>
      </c>
      <c r="E2990" t="s">
        <v>14092</v>
      </c>
      <c r="F2990" t="s">
        <v>5</v>
      </c>
      <c r="G2990" t="s">
        <v>6</v>
      </c>
      <c r="L2990" t="s">
        <v>7</v>
      </c>
      <c r="M2990">
        <v>2004</v>
      </c>
      <c r="N2990" s="1">
        <v>38260</v>
      </c>
      <c r="O2990" t="s">
        <v>14093</v>
      </c>
      <c r="P2990">
        <v>1</v>
      </c>
      <c r="Q2990" t="s">
        <v>6923</v>
      </c>
      <c r="S2990">
        <v>253.95</v>
      </c>
      <c r="T2990">
        <v>290</v>
      </c>
      <c r="U2990">
        <v>220</v>
      </c>
      <c r="V2990" t="s">
        <v>89</v>
      </c>
      <c r="W2990" t="s">
        <v>90</v>
      </c>
      <c r="X2990" t="s">
        <v>91</v>
      </c>
      <c r="Y2990" t="s">
        <v>92</v>
      </c>
      <c r="AF2990" t="s">
        <v>13</v>
      </c>
      <c r="AG2990" t="str">
        <f>HYPERLINK("https://doi.org/10.1515/9781474469494")</f>
        <v>https://doi.org/10.1515/9781474469494</v>
      </c>
      <c r="AH2990" t="str">
        <f>HYPERLINK("http://www.degruyter.com/isbn/9781474469494")</f>
        <v>http://www.degruyter.com/isbn/9781474469494</v>
      </c>
      <c r="AI2990" t="s">
        <v>68</v>
      </c>
      <c r="AL2990" t="s">
        <v>83</v>
      </c>
      <c r="AM2990">
        <v>1</v>
      </c>
      <c r="AN2990" s="2">
        <v>9780748614585</v>
      </c>
    </row>
    <row r="2991" spans="1:40" x14ac:dyDescent="0.3">
      <c r="A2991" t="s">
        <v>14094</v>
      </c>
      <c r="B2991" t="s">
        <v>1</v>
      </c>
      <c r="C2991" t="s">
        <v>14095</v>
      </c>
      <c r="D2991" t="s">
        <v>14096</v>
      </c>
      <c r="E2991" t="s">
        <v>14097</v>
      </c>
      <c r="F2991" t="s">
        <v>5</v>
      </c>
      <c r="G2991" t="s">
        <v>6</v>
      </c>
      <c r="L2991" t="s">
        <v>7</v>
      </c>
      <c r="M2991">
        <v>2015</v>
      </c>
      <c r="N2991" s="1">
        <v>42046</v>
      </c>
      <c r="O2991" t="s">
        <v>14098</v>
      </c>
      <c r="P2991">
        <v>1</v>
      </c>
      <c r="Q2991" t="s">
        <v>7019</v>
      </c>
      <c r="S2991">
        <v>217.95</v>
      </c>
      <c r="T2991">
        <v>250</v>
      </c>
      <c r="U2991">
        <v>190</v>
      </c>
      <c r="V2991" t="s">
        <v>42</v>
      </c>
      <c r="W2991" t="s">
        <v>116</v>
      </c>
      <c r="X2991" t="s">
        <v>116</v>
      </c>
      <c r="Y2991" t="s">
        <v>117</v>
      </c>
      <c r="AF2991" t="s">
        <v>13</v>
      </c>
      <c r="AG2991" t="str">
        <f>HYPERLINK("https://doi.org/10.1515/9780748695959")</f>
        <v>https://doi.org/10.1515/9780748695959</v>
      </c>
      <c r="AH2991" t="str">
        <f>HYPERLINK("http://www.degruyter.com/isbn/9780748695959")</f>
        <v>http://www.degruyter.com/isbn/9780748695959</v>
      </c>
      <c r="AI2991" t="s">
        <v>34</v>
      </c>
      <c r="AL2991" t="s">
        <v>47</v>
      </c>
      <c r="AM2991">
        <v>1</v>
      </c>
      <c r="AN2991" s="2">
        <v>9780748695942</v>
      </c>
    </row>
    <row r="2992" spans="1:40" x14ac:dyDescent="0.3">
      <c r="A2992" t="s">
        <v>14099</v>
      </c>
      <c r="B2992" t="s">
        <v>1</v>
      </c>
      <c r="C2992" t="s">
        <v>14100</v>
      </c>
      <c r="D2992" t="s">
        <v>14101</v>
      </c>
      <c r="E2992" t="s">
        <v>14102</v>
      </c>
      <c r="F2992" t="s">
        <v>5</v>
      </c>
      <c r="G2992" t="s">
        <v>6</v>
      </c>
      <c r="L2992" t="s">
        <v>7</v>
      </c>
      <c r="M2992">
        <v>2021</v>
      </c>
      <c r="N2992" s="1">
        <v>44656</v>
      </c>
      <c r="O2992" t="s">
        <v>14103</v>
      </c>
      <c r="P2992">
        <v>1</v>
      </c>
      <c r="Q2992" t="s">
        <v>13749</v>
      </c>
      <c r="S2992">
        <v>217.95</v>
      </c>
      <c r="T2992">
        <v>250</v>
      </c>
      <c r="U2992">
        <v>190</v>
      </c>
      <c r="V2992" t="s">
        <v>20</v>
      </c>
      <c r="W2992" t="s">
        <v>556</v>
      </c>
      <c r="X2992" t="s">
        <v>1731</v>
      </c>
      <c r="Y2992" t="s">
        <v>7888</v>
      </c>
      <c r="AF2992" t="s">
        <v>13</v>
      </c>
      <c r="AG2992" t="str">
        <f>HYPERLINK("https://doi.org/10.1515/9781474481601")</f>
        <v>https://doi.org/10.1515/9781474481601</v>
      </c>
      <c r="AH2992" t="str">
        <f>HYPERLINK("http://www.degruyter.com/isbn/9781474481601")</f>
        <v>http://www.degruyter.com/isbn/9781474481601</v>
      </c>
      <c r="AI2992" t="s">
        <v>473</v>
      </c>
      <c r="AL2992" t="s">
        <v>15</v>
      </c>
      <c r="AM2992">
        <v>1</v>
      </c>
      <c r="AN2992" s="2">
        <v>9781474481588</v>
      </c>
    </row>
    <row r="2993" spans="1:40" x14ac:dyDescent="0.3">
      <c r="A2993" t="s">
        <v>14104</v>
      </c>
      <c r="B2993" t="s">
        <v>1</v>
      </c>
      <c r="C2993" t="s">
        <v>14105</v>
      </c>
      <c r="D2993" t="s">
        <v>14106</v>
      </c>
      <c r="E2993" t="s">
        <v>14107</v>
      </c>
      <c r="F2993" t="s">
        <v>5</v>
      </c>
      <c r="G2993" t="s">
        <v>6</v>
      </c>
      <c r="L2993" t="s">
        <v>7</v>
      </c>
      <c r="M2993">
        <v>2020</v>
      </c>
      <c r="N2993" s="1">
        <v>44644</v>
      </c>
      <c r="O2993" t="s">
        <v>14108</v>
      </c>
      <c r="P2993">
        <v>1</v>
      </c>
      <c r="Q2993" t="s">
        <v>14060</v>
      </c>
      <c r="S2993">
        <v>253.95</v>
      </c>
      <c r="T2993">
        <v>290</v>
      </c>
      <c r="U2993">
        <v>220</v>
      </c>
      <c r="V2993" t="s">
        <v>98</v>
      </c>
      <c r="W2993" t="s">
        <v>99</v>
      </c>
      <c r="X2993" t="s">
        <v>386</v>
      </c>
      <c r="Y2993" t="s">
        <v>387</v>
      </c>
      <c r="AF2993" t="s">
        <v>13</v>
      </c>
      <c r="AG2993" t="str">
        <f>HYPERLINK("https://doi.org/10.1515/9781474425537")</f>
        <v>https://doi.org/10.1515/9781474425537</v>
      </c>
      <c r="AH2993" t="str">
        <f>HYPERLINK("http://www.degruyter.com/isbn/9781474425537")</f>
        <v>http://www.degruyter.com/isbn/9781474425537</v>
      </c>
      <c r="AI2993" t="s">
        <v>14</v>
      </c>
      <c r="AL2993" t="s">
        <v>102</v>
      </c>
      <c r="AM2993">
        <v>1</v>
      </c>
      <c r="AN2993" s="2">
        <v>9781474425513</v>
      </c>
    </row>
    <row r="2994" spans="1:40" x14ac:dyDescent="0.3">
      <c r="A2994" t="s">
        <v>14109</v>
      </c>
      <c r="B2994" t="s">
        <v>1</v>
      </c>
      <c r="C2994" t="s">
        <v>14110</v>
      </c>
      <c r="E2994" t="s">
        <v>14111</v>
      </c>
      <c r="F2994" t="s">
        <v>5</v>
      </c>
      <c r="G2994" t="s">
        <v>6</v>
      </c>
      <c r="L2994" t="s">
        <v>7</v>
      </c>
      <c r="M2994">
        <v>2016</v>
      </c>
      <c r="N2994" s="1">
        <v>42724</v>
      </c>
      <c r="O2994" t="s">
        <v>14112</v>
      </c>
      <c r="P2994">
        <v>1</v>
      </c>
      <c r="Q2994" t="s">
        <v>13460</v>
      </c>
      <c r="S2994">
        <v>253.95</v>
      </c>
      <c r="T2994">
        <v>290</v>
      </c>
      <c r="U2994">
        <v>220</v>
      </c>
      <c r="V2994" t="s">
        <v>20</v>
      </c>
      <c r="W2994" t="s">
        <v>21</v>
      </c>
      <c r="X2994" t="s">
        <v>458</v>
      </c>
      <c r="Y2994" t="s">
        <v>459</v>
      </c>
      <c r="AF2994" t="s">
        <v>13</v>
      </c>
      <c r="AG2994" t="str">
        <f>HYPERLINK("https://doi.org/10.1515/9780748697823")</f>
        <v>https://doi.org/10.1515/9780748697823</v>
      </c>
      <c r="AH2994" t="str">
        <f>HYPERLINK("http://www.degruyter.com/isbn/9780748697823")</f>
        <v>http://www.degruyter.com/isbn/9780748697823</v>
      </c>
      <c r="AI2994" t="s">
        <v>180</v>
      </c>
      <c r="AL2994" t="s">
        <v>15</v>
      </c>
      <c r="AM2994">
        <v>1</v>
      </c>
      <c r="AN2994" s="2">
        <v>9780748697816</v>
      </c>
    </row>
    <row r="2995" spans="1:40" x14ac:dyDescent="0.3">
      <c r="A2995" t="s">
        <v>14113</v>
      </c>
      <c r="B2995" t="s">
        <v>1</v>
      </c>
      <c r="C2995" t="s">
        <v>14114</v>
      </c>
      <c r="D2995" t="s">
        <v>14115</v>
      </c>
      <c r="E2995" t="s">
        <v>14116</v>
      </c>
      <c r="F2995" t="s">
        <v>5</v>
      </c>
      <c r="G2995" t="s">
        <v>6</v>
      </c>
      <c r="K2995" t="s">
        <v>923</v>
      </c>
      <c r="L2995" t="s">
        <v>7</v>
      </c>
      <c r="M2995">
        <v>2021</v>
      </c>
      <c r="N2995" s="1">
        <v>44309</v>
      </c>
      <c r="O2995" t="s">
        <v>1284</v>
      </c>
      <c r="P2995">
        <v>1</v>
      </c>
      <c r="Q2995" t="s">
        <v>13628</v>
      </c>
      <c r="V2995" t="s">
        <v>42</v>
      </c>
      <c r="W2995" t="s">
        <v>43</v>
      </c>
      <c r="X2995" t="s">
        <v>44</v>
      </c>
      <c r="Y2995" t="s">
        <v>1745</v>
      </c>
      <c r="AF2995" t="s">
        <v>13</v>
      </c>
      <c r="AG2995" t="str">
        <f>HYPERLINK("https://doi.org/10.1515/9781474415576")</f>
        <v>https://doi.org/10.1515/9781474415576</v>
      </c>
      <c r="AH2995" t="str">
        <f>HYPERLINK("http://www.degruyter.com/isbn/9781474415576")</f>
        <v>http://www.degruyter.com/isbn/9781474415576</v>
      </c>
      <c r="AI2995" t="s">
        <v>1561</v>
      </c>
      <c r="AM2995">
        <v>1</v>
      </c>
      <c r="AN2995" s="2"/>
    </row>
    <row r="2996" spans="1:40" x14ac:dyDescent="0.3">
      <c r="A2996" t="s">
        <v>14117</v>
      </c>
      <c r="B2996" t="s">
        <v>1</v>
      </c>
      <c r="C2996" t="s">
        <v>14118</v>
      </c>
      <c r="D2996" t="s">
        <v>14119</v>
      </c>
      <c r="E2996" t="s">
        <v>14120</v>
      </c>
      <c r="F2996" t="s">
        <v>5</v>
      </c>
      <c r="G2996" t="s">
        <v>6</v>
      </c>
      <c r="L2996" t="s">
        <v>7</v>
      </c>
      <c r="M2996">
        <v>2017</v>
      </c>
      <c r="N2996" s="1">
        <v>42934</v>
      </c>
      <c r="O2996" t="s">
        <v>14121</v>
      </c>
      <c r="P2996">
        <v>1</v>
      </c>
      <c r="Q2996" t="s">
        <v>14122</v>
      </c>
      <c r="S2996">
        <v>253.95</v>
      </c>
      <c r="T2996">
        <v>290</v>
      </c>
      <c r="U2996">
        <v>220</v>
      </c>
      <c r="V2996" t="s">
        <v>20</v>
      </c>
      <c r="W2996" t="s">
        <v>556</v>
      </c>
      <c r="X2996" t="s">
        <v>902</v>
      </c>
      <c r="Y2996" t="s">
        <v>903</v>
      </c>
      <c r="AF2996" t="s">
        <v>13</v>
      </c>
      <c r="AG2996" t="str">
        <f>HYPERLINK("https://www.degruyter.com/isbn/9781474424110")</f>
        <v>https://www.degruyter.com/isbn/9781474424110</v>
      </c>
      <c r="AH2996" t="str">
        <f>HYPERLINK("http://www.degruyter.com/isbn/9781474424110")</f>
        <v>http://www.degruyter.com/isbn/9781474424110</v>
      </c>
      <c r="AI2996" t="s">
        <v>222</v>
      </c>
      <c r="AL2996" t="s">
        <v>15</v>
      </c>
      <c r="AM2996">
        <v>1</v>
      </c>
      <c r="AN2996" s="2">
        <v>9781474424103</v>
      </c>
    </row>
    <row r="2997" spans="1:40" x14ac:dyDescent="0.3">
      <c r="A2997" t="s">
        <v>14123</v>
      </c>
      <c r="B2997" t="s">
        <v>1</v>
      </c>
      <c r="C2997" t="s">
        <v>14124</v>
      </c>
      <c r="E2997" t="s">
        <v>14125</v>
      </c>
      <c r="F2997" t="s">
        <v>5</v>
      </c>
      <c r="G2997" t="s">
        <v>6</v>
      </c>
      <c r="L2997" t="s">
        <v>7</v>
      </c>
      <c r="M2997">
        <v>1999</v>
      </c>
      <c r="N2997" s="1">
        <v>44690</v>
      </c>
      <c r="O2997" t="s">
        <v>14126</v>
      </c>
      <c r="P2997">
        <v>1</v>
      </c>
      <c r="Q2997" t="s">
        <v>12993</v>
      </c>
      <c r="S2997">
        <v>227.95</v>
      </c>
      <c r="T2997">
        <v>260</v>
      </c>
      <c r="U2997">
        <v>200</v>
      </c>
      <c r="V2997" t="s">
        <v>42</v>
      </c>
      <c r="W2997" t="s">
        <v>740</v>
      </c>
      <c r="X2997" t="s">
        <v>3249</v>
      </c>
      <c r="Y2997" t="s">
        <v>117</v>
      </c>
      <c r="AF2997" t="s">
        <v>13</v>
      </c>
      <c r="AG2997" t="str">
        <f>HYPERLINK("https://doi.org/10.1515/9780748698646")</f>
        <v>https://doi.org/10.1515/9780748698646</v>
      </c>
      <c r="AH2997" t="str">
        <f>HYPERLINK("http://www.degruyter.com/isbn/9780748698646")</f>
        <v>http://www.degruyter.com/isbn/9780748698646</v>
      </c>
      <c r="AI2997" t="s">
        <v>24</v>
      </c>
      <c r="AL2997" t="s">
        <v>47</v>
      </c>
      <c r="AM2997">
        <v>1</v>
      </c>
      <c r="AN2997" s="2">
        <v>9780748609338</v>
      </c>
    </row>
    <row r="2998" spans="1:40" x14ac:dyDescent="0.3">
      <c r="A2998" t="s">
        <v>14127</v>
      </c>
      <c r="B2998" t="s">
        <v>1</v>
      </c>
      <c r="C2998" t="s">
        <v>14128</v>
      </c>
      <c r="D2998" t="s">
        <v>14129</v>
      </c>
      <c r="E2998" t="s">
        <v>14130</v>
      </c>
      <c r="F2998" t="s">
        <v>5</v>
      </c>
      <c r="G2998" t="s">
        <v>6</v>
      </c>
      <c r="L2998" t="s">
        <v>7</v>
      </c>
      <c r="M2998">
        <v>2016</v>
      </c>
      <c r="N2998" s="1">
        <v>42695</v>
      </c>
      <c r="O2998" t="s">
        <v>14131</v>
      </c>
      <c r="P2998">
        <v>1</v>
      </c>
      <c r="Q2998" t="s">
        <v>14060</v>
      </c>
      <c r="S2998">
        <v>253.95</v>
      </c>
      <c r="T2998">
        <v>290</v>
      </c>
      <c r="U2998">
        <v>220</v>
      </c>
      <c r="V2998" t="s">
        <v>98</v>
      </c>
      <c r="W2998" t="s">
        <v>99</v>
      </c>
      <c r="X2998" t="s">
        <v>100</v>
      </c>
      <c r="Y2998" t="s">
        <v>101</v>
      </c>
      <c r="AF2998" t="s">
        <v>13</v>
      </c>
      <c r="AG2998" t="str">
        <f>HYPERLINK("https://doi.org/10.1515/9780748696093")</f>
        <v>https://doi.org/10.1515/9780748696093</v>
      </c>
      <c r="AH2998" t="str">
        <f>HYPERLINK("http://www.degruyter.com/isbn/9780748696093")</f>
        <v>http://www.degruyter.com/isbn/9780748696093</v>
      </c>
      <c r="AI2998" t="s">
        <v>180</v>
      </c>
      <c r="AL2998" t="s">
        <v>102</v>
      </c>
      <c r="AM2998">
        <v>1</v>
      </c>
      <c r="AN2998" s="2">
        <v>9780748696086</v>
      </c>
    </row>
    <row r="2999" spans="1:40" x14ac:dyDescent="0.3">
      <c r="A2999" t="s">
        <v>14132</v>
      </c>
      <c r="B2999" t="s">
        <v>1</v>
      </c>
      <c r="C2999" t="s">
        <v>14133</v>
      </c>
      <c r="E2999" t="s">
        <v>14134</v>
      </c>
      <c r="F2999" t="s">
        <v>5</v>
      </c>
      <c r="G2999" t="s">
        <v>6</v>
      </c>
      <c r="L2999" t="s">
        <v>7</v>
      </c>
      <c r="M2999">
        <v>2015</v>
      </c>
      <c r="N2999" s="1">
        <v>42162</v>
      </c>
      <c r="O2999" t="s">
        <v>14135</v>
      </c>
      <c r="P2999">
        <v>1</v>
      </c>
      <c r="Q2999" t="s">
        <v>13309</v>
      </c>
      <c r="S2999">
        <v>417.95</v>
      </c>
      <c r="T2999">
        <v>480</v>
      </c>
      <c r="U2999">
        <v>370</v>
      </c>
      <c r="V2999" t="s">
        <v>42</v>
      </c>
      <c r="W2999" t="s">
        <v>116</v>
      </c>
      <c r="X2999" t="s">
        <v>116</v>
      </c>
      <c r="Y2999" t="s">
        <v>117</v>
      </c>
      <c r="AF2999" t="s">
        <v>13</v>
      </c>
      <c r="AG2999" t="str">
        <f>HYPERLINK("https://doi.org/10.1515/9780748646166")</f>
        <v>https://doi.org/10.1515/9780748646166</v>
      </c>
      <c r="AH2999" t="str">
        <f>HYPERLINK("http://www.degruyter.com/isbn/9780748646166")</f>
        <v>http://www.degruyter.com/isbn/9780748646166</v>
      </c>
      <c r="AI2999" t="s">
        <v>34</v>
      </c>
      <c r="AL2999" t="s">
        <v>47</v>
      </c>
      <c r="AM2999">
        <v>1</v>
      </c>
      <c r="AN2999" s="2">
        <v>9780748646159</v>
      </c>
    </row>
    <row r="3000" spans="1:40" x14ac:dyDescent="0.3">
      <c r="A3000" t="s">
        <v>14136</v>
      </c>
      <c r="B3000" t="s">
        <v>1</v>
      </c>
      <c r="C3000" t="s">
        <v>14137</v>
      </c>
      <c r="E3000" t="s">
        <v>14138</v>
      </c>
      <c r="F3000" t="s">
        <v>5</v>
      </c>
      <c r="G3000" t="s">
        <v>6</v>
      </c>
      <c r="L3000" t="s">
        <v>7</v>
      </c>
      <c r="M3000">
        <v>2019</v>
      </c>
      <c r="N3000" s="1">
        <v>44644</v>
      </c>
      <c r="O3000" t="s">
        <v>14139</v>
      </c>
      <c r="P3000">
        <v>1</v>
      </c>
      <c r="Q3000" t="s">
        <v>14065</v>
      </c>
      <c r="S3000">
        <v>227.95</v>
      </c>
      <c r="T3000">
        <v>260</v>
      </c>
      <c r="U3000">
        <v>200</v>
      </c>
      <c r="V3000" t="s">
        <v>42</v>
      </c>
      <c r="W3000" t="s">
        <v>107</v>
      </c>
      <c r="X3000" t="s">
        <v>108</v>
      </c>
      <c r="Y3000" t="s">
        <v>221</v>
      </c>
      <c r="AF3000" t="s">
        <v>13</v>
      </c>
      <c r="AG3000" t="str">
        <f>HYPERLINK("https://doi.org/10.1515/9781474442947?locatt=mode:legacy")</f>
        <v>https://doi.org/10.1515/9781474442947?locatt=mode:legacy</v>
      </c>
      <c r="AH3000" t="str">
        <f>HYPERLINK("http://www.degruyter.com/isbn/9781474442947")</f>
        <v>http://www.degruyter.com/isbn/9781474442947</v>
      </c>
      <c r="AI3000" t="s">
        <v>280</v>
      </c>
      <c r="AL3000" t="s">
        <v>47</v>
      </c>
      <c r="AM3000">
        <v>1</v>
      </c>
      <c r="AN3000" s="2">
        <v>9781474442923</v>
      </c>
    </row>
    <row r="3001" spans="1:40" x14ac:dyDescent="0.3">
      <c r="A3001" t="s">
        <v>14140</v>
      </c>
      <c r="B3001" t="s">
        <v>1</v>
      </c>
      <c r="C3001" t="s">
        <v>14141</v>
      </c>
      <c r="E3001" t="s">
        <v>14142</v>
      </c>
      <c r="F3001" t="s">
        <v>5</v>
      </c>
      <c r="G3001" t="s">
        <v>6</v>
      </c>
      <c r="L3001" t="s">
        <v>7</v>
      </c>
      <c r="M3001">
        <v>2005</v>
      </c>
      <c r="N3001" s="1">
        <v>38551</v>
      </c>
      <c r="O3001" t="s">
        <v>14143</v>
      </c>
      <c r="P3001">
        <v>1</v>
      </c>
      <c r="Q3001" t="s">
        <v>11154</v>
      </c>
      <c r="S3001">
        <v>287.95</v>
      </c>
      <c r="T3001">
        <v>330</v>
      </c>
      <c r="U3001">
        <v>250</v>
      </c>
      <c r="V3001" t="s">
        <v>42</v>
      </c>
      <c r="W3001" t="s">
        <v>161</v>
      </c>
      <c r="X3001" t="s">
        <v>162</v>
      </c>
      <c r="Y3001" t="s">
        <v>11937</v>
      </c>
      <c r="AF3001" t="s">
        <v>13</v>
      </c>
      <c r="AG3001" t="str">
        <f>HYPERLINK("https://doi.org/10.1515/9781474469340")</f>
        <v>https://doi.org/10.1515/9781474469340</v>
      </c>
      <c r="AH3001" t="str">
        <f>HYPERLINK("http://www.degruyter.com/isbn/9781474469340")</f>
        <v>http://www.degruyter.com/isbn/9781474469340</v>
      </c>
      <c r="AI3001" t="s">
        <v>68</v>
      </c>
      <c r="AL3001" t="s">
        <v>47</v>
      </c>
      <c r="AM3001">
        <v>1</v>
      </c>
      <c r="AN3001" s="2">
        <v>9780748620128</v>
      </c>
    </row>
    <row r="3002" spans="1:40" x14ac:dyDescent="0.3">
      <c r="A3002" t="s">
        <v>14144</v>
      </c>
      <c r="B3002" t="s">
        <v>1</v>
      </c>
      <c r="C3002" t="s">
        <v>14145</v>
      </c>
      <c r="D3002" t="s">
        <v>14146</v>
      </c>
      <c r="E3002" t="s">
        <v>14147</v>
      </c>
      <c r="F3002" t="s">
        <v>5</v>
      </c>
      <c r="G3002" t="s">
        <v>6</v>
      </c>
      <c r="L3002" t="s">
        <v>7</v>
      </c>
      <c r="M3002">
        <v>2020</v>
      </c>
      <c r="N3002" s="1">
        <v>44644</v>
      </c>
      <c r="O3002" t="s">
        <v>14148</v>
      </c>
      <c r="P3002">
        <v>1</v>
      </c>
      <c r="Q3002" t="s">
        <v>14065</v>
      </c>
      <c r="S3002">
        <v>217.95</v>
      </c>
      <c r="T3002">
        <v>250</v>
      </c>
      <c r="U3002">
        <v>190</v>
      </c>
      <c r="V3002" t="s">
        <v>42</v>
      </c>
      <c r="W3002" t="s">
        <v>107</v>
      </c>
      <c r="X3002" t="s">
        <v>108</v>
      </c>
      <c r="Y3002" t="s">
        <v>221</v>
      </c>
      <c r="AF3002" t="s">
        <v>13</v>
      </c>
      <c r="AG3002" t="str">
        <f>HYPERLINK("https://doi.org/10.1515/9781474455527")</f>
        <v>https://doi.org/10.1515/9781474455527</v>
      </c>
      <c r="AH3002" t="str">
        <f>HYPERLINK("http://www.degruyter.com/isbn/9781474455527")</f>
        <v>http://www.degruyter.com/isbn/9781474455527</v>
      </c>
      <c r="AI3002" t="s">
        <v>14</v>
      </c>
      <c r="AL3002" t="s">
        <v>47</v>
      </c>
      <c r="AM3002">
        <v>1</v>
      </c>
      <c r="AN3002" s="2">
        <v>9781474455503</v>
      </c>
    </row>
    <row r="3003" spans="1:40" x14ac:dyDescent="0.3">
      <c r="A3003" t="s">
        <v>14149</v>
      </c>
      <c r="B3003" t="s">
        <v>1</v>
      </c>
      <c r="C3003" t="s">
        <v>14150</v>
      </c>
      <c r="D3003" t="s">
        <v>14151</v>
      </c>
      <c r="E3003" t="s">
        <v>14152</v>
      </c>
      <c r="F3003" t="s">
        <v>5</v>
      </c>
      <c r="G3003" t="s">
        <v>6</v>
      </c>
      <c r="L3003" t="s">
        <v>7</v>
      </c>
      <c r="M3003">
        <v>2021</v>
      </c>
      <c r="N3003" s="1">
        <v>44644</v>
      </c>
      <c r="O3003" t="s">
        <v>14153</v>
      </c>
      <c r="P3003">
        <v>1</v>
      </c>
      <c r="Q3003" t="s">
        <v>13628</v>
      </c>
      <c r="S3003">
        <v>217.95</v>
      </c>
      <c r="T3003">
        <v>250</v>
      </c>
      <c r="U3003">
        <v>190</v>
      </c>
      <c r="V3003" t="s">
        <v>42</v>
      </c>
      <c r="W3003" t="s">
        <v>43</v>
      </c>
      <c r="X3003" t="s">
        <v>178</v>
      </c>
      <c r="Y3003" t="s">
        <v>14154</v>
      </c>
      <c r="AF3003" t="s">
        <v>13</v>
      </c>
      <c r="AG3003" t="str">
        <f>HYPERLINK("https://doi.org/10.1515/9781474470070")</f>
        <v>https://doi.org/10.1515/9781474470070</v>
      </c>
      <c r="AH3003" t="str">
        <f>HYPERLINK("http://www.degruyter.com/isbn/9781474470070")</f>
        <v>http://www.degruyter.com/isbn/9781474470070</v>
      </c>
      <c r="AI3003" t="s">
        <v>1561</v>
      </c>
      <c r="AL3003" t="s">
        <v>47</v>
      </c>
      <c r="AM3003">
        <v>1</v>
      </c>
      <c r="AN3003" s="2">
        <v>9781474470056</v>
      </c>
    </row>
    <row r="3004" spans="1:40" x14ac:dyDescent="0.3">
      <c r="A3004" t="s">
        <v>14155</v>
      </c>
      <c r="B3004" t="s">
        <v>1</v>
      </c>
      <c r="C3004" t="s">
        <v>14156</v>
      </c>
      <c r="E3004" t="s">
        <v>14157</v>
      </c>
      <c r="F3004" t="s">
        <v>5</v>
      </c>
      <c r="G3004" t="s">
        <v>6</v>
      </c>
      <c r="L3004" t="s">
        <v>7</v>
      </c>
      <c r="M3004">
        <v>2015</v>
      </c>
      <c r="N3004" s="1">
        <v>42108</v>
      </c>
      <c r="O3004" t="s">
        <v>14158</v>
      </c>
      <c r="P3004">
        <v>1</v>
      </c>
      <c r="Q3004" t="s">
        <v>14159</v>
      </c>
      <c r="S3004">
        <v>217.95</v>
      </c>
      <c r="T3004">
        <v>250</v>
      </c>
      <c r="U3004">
        <v>190</v>
      </c>
      <c r="V3004" t="s">
        <v>20</v>
      </c>
      <c r="W3004" t="s">
        <v>1018</v>
      </c>
      <c r="X3004" t="s">
        <v>1018</v>
      </c>
      <c r="Y3004" t="s">
        <v>9830</v>
      </c>
      <c r="AF3004" t="s">
        <v>13</v>
      </c>
      <c r="AG3004" t="str">
        <f>HYPERLINK("https://www.degruyter.com/isbn/9780748694242")</f>
        <v>https://www.degruyter.com/isbn/9780748694242</v>
      </c>
      <c r="AH3004" t="str">
        <f>HYPERLINK("http://www.degruyter.com/isbn/9780748694242")</f>
        <v>http://www.degruyter.com/isbn/9780748694242</v>
      </c>
      <c r="AI3004" t="s">
        <v>34</v>
      </c>
      <c r="AJ3004" t="s">
        <v>35</v>
      </c>
      <c r="AL3004" t="s">
        <v>1346</v>
      </c>
      <c r="AM3004">
        <v>1</v>
      </c>
      <c r="AN3004" s="2">
        <v>9780748694235</v>
      </c>
    </row>
    <row r="3005" spans="1:40" x14ac:dyDescent="0.3">
      <c r="A3005" t="s">
        <v>14160</v>
      </c>
      <c r="B3005" t="s">
        <v>1</v>
      </c>
      <c r="C3005" t="s">
        <v>14161</v>
      </c>
      <c r="E3005" t="s">
        <v>14162</v>
      </c>
      <c r="F3005" t="s">
        <v>5</v>
      </c>
      <c r="G3005" t="s">
        <v>6</v>
      </c>
      <c r="L3005" t="s">
        <v>7</v>
      </c>
      <c r="M3005">
        <v>2021</v>
      </c>
      <c r="N3005" s="1">
        <v>44656</v>
      </c>
      <c r="O3005" t="s">
        <v>14163</v>
      </c>
      <c r="P3005">
        <v>1</v>
      </c>
      <c r="Q3005" t="s">
        <v>8994</v>
      </c>
      <c r="S3005">
        <v>380.95</v>
      </c>
      <c r="T3005">
        <v>430</v>
      </c>
      <c r="U3005">
        <v>330</v>
      </c>
      <c r="V3005" t="s">
        <v>89</v>
      </c>
      <c r="W3005" t="s">
        <v>90</v>
      </c>
      <c r="X3005" t="s">
        <v>1210</v>
      </c>
      <c r="Y3005" t="s">
        <v>14164</v>
      </c>
      <c r="AF3005" t="s">
        <v>13</v>
      </c>
      <c r="AG3005" t="str">
        <f>HYPERLINK("https://doi.org/10.1515/9781474480109")</f>
        <v>https://doi.org/10.1515/9781474480109</v>
      </c>
      <c r="AH3005" t="str">
        <f>HYPERLINK("http://www.degruyter.com/isbn/9781474480109")</f>
        <v>http://www.degruyter.com/isbn/9781474480109</v>
      </c>
      <c r="AI3005" t="s">
        <v>10205</v>
      </c>
      <c r="AL3005" t="s">
        <v>83</v>
      </c>
      <c r="AM3005">
        <v>1</v>
      </c>
      <c r="AN3005" s="2">
        <v>9781474480079</v>
      </c>
    </row>
    <row r="3006" spans="1:40" x14ac:dyDescent="0.3">
      <c r="A3006" t="s">
        <v>14165</v>
      </c>
      <c r="B3006" t="s">
        <v>1</v>
      </c>
      <c r="C3006" t="s">
        <v>14166</v>
      </c>
      <c r="D3006" t="s">
        <v>14167</v>
      </c>
      <c r="E3006" t="s">
        <v>14168</v>
      </c>
      <c r="F3006" t="s">
        <v>5</v>
      </c>
      <c r="G3006" t="s">
        <v>6</v>
      </c>
      <c r="L3006" t="s">
        <v>7</v>
      </c>
      <c r="M3006">
        <v>2020</v>
      </c>
      <c r="N3006" s="1">
        <v>44644</v>
      </c>
      <c r="O3006" t="s">
        <v>14169</v>
      </c>
      <c r="P3006">
        <v>1</v>
      </c>
      <c r="Q3006" t="s">
        <v>14046</v>
      </c>
      <c r="S3006">
        <v>261.95</v>
      </c>
      <c r="T3006">
        <v>300</v>
      </c>
      <c r="U3006">
        <v>230</v>
      </c>
      <c r="V3006" t="s">
        <v>42</v>
      </c>
      <c r="W3006" t="s">
        <v>43</v>
      </c>
      <c r="X3006" t="s">
        <v>1061</v>
      </c>
      <c r="Y3006" t="s">
        <v>1339</v>
      </c>
      <c r="AF3006" t="s">
        <v>13</v>
      </c>
      <c r="AG3006" t="str">
        <f>HYPERLINK("https://doi.org/10.1515/9780748628551")</f>
        <v>https://doi.org/10.1515/9780748628551</v>
      </c>
      <c r="AH3006" t="str">
        <f>HYPERLINK("http://www.degruyter.com/isbn/9780748628551")</f>
        <v>http://www.degruyter.com/isbn/9780748628551</v>
      </c>
      <c r="AI3006" t="s">
        <v>14</v>
      </c>
      <c r="AL3006" t="s">
        <v>47</v>
      </c>
      <c r="AM3006">
        <v>1</v>
      </c>
      <c r="AN3006" s="2">
        <v>9780748606054</v>
      </c>
    </row>
    <row r="3007" spans="1:40" x14ac:dyDescent="0.3">
      <c r="A3007" t="s">
        <v>14170</v>
      </c>
      <c r="B3007" t="s">
        <v>1</v>
      </c>
      <c r="C3007" t="s">
        <v>14171</v>
      </c>
      <c r="D3007" t="s">
        <v>14172</v>
      </c>
      <c r="E3007" t="s">
        <v>14173</v>
      </c>
      <c r="F3007" t="s">
        <v>5</v>
      </c>
      <c r="G3007" t="s">
        <v>6</v>
      </c>
      <c r="L3007" t="s">
        <v>7</v>
      </c>
      <c r="M3007">
        <v>2018</v>
      </c>
      <c r="N3007" s="1">
        <v>44656</v>
      </c>
      <c r="O3007" t="s">
        <v>14174</v>
      </c>
      <c r="P3007">
        <v>1</v>
      </c>
      <c r="Q3007" t="s">
        <v>14175</v>
      </c>
      <c r="S3007">
        <v>191.95</v>
      </c>
      <c r="T3007">
        <v>220</v>
      </c>
      <c r="U3007">
        <v>170</v>
      </c>
      <c r="V3007" t="s">
        <v>42</v>
      </c>
      <c r="W3007" t="s">
        <v>161</v>
      </c>
      <c r="X3007" t="s">
        <v>162</v>
      </c>
      <c r="Y3007" t="s">
        <v>896</v>
      </c>
      <c r="AF3007" t="s">
        <v>13</v>
      </c>
      <c r="AG3007" t="str">
        <f>HYPERLINK("https://doi.org/10.1515/9781474439343?locatt=mode:legacy")</f>
        <v>https://doi.org/10.1515/9781474439343?locatt=mode:legacy</v>
      </c>
      <c r="AH3007" t="str">
        <f>HYPERLINK("http://www.degruyter.com/isbn/9781474439343")</f>
        <v>http://www.degruyter.com/isbn/9781474439343</v>
      </c>
      <c r="AI3007" t="s">
        <v>46</v>
      </c>
      <c r="AL3007" t="s">
        <v>47</v>
      </c>
      <c r="AM3007">
        <v>1</v>
      </c>
      <c r="AN3007" s="2">
        <v>9781474439329</v>
      </c>
    </row>
    <row r="3008" spans="1:40" x14ac:dyDescent="0.3">
      <c r="A3008" t="s">
        <v>14176</v>
      </c>
      <c r="B3008" t="s">
        <v>1</v>
      </c>
      <c r="C3008" t="s">
        <v>14177</v>
      </c>
      <c r="D3008" t="s">
        <v>14178</v>
      </c>
      <c r="E3008" t="s">
        <v>14179</v>
      </c>
      <c r="F3008" t="s">
        <v>5</v>
      </c>
      <c r="G3008" t="s">
        <v>6</v>
      </c>
      <c r="L3008" t="s">
        <v>7</v>
      </c>
      <c r="M3008">
        <v>2017</v>
      </c>
      <c r="N3008" s="1">
        <v>42926</v>
      </c>
      <c r="O3008" t="s">
        <v>14180</v>
      </c>
      <c r="P3008">
        <v>1</v>
      </c>
      <c r="Q3008" t="s">
        <v>11881</v>
      </c>
      <c r="S3008">
        <v>217.95</v>
      </c>
      <c r="T3008">
        <v>250</v>
      </c>
      <c r="U3008">
        <v>190</v>
      </c>
      <c r="V3008" t="s">
        <v>98</v>
      </c>
      <c r="W3008" t="s">
        <v>366</v>
      </c>
      <c r="X3008" t="s">
        <v>367</v>
      </c>
      <c r="Y3008" t="s">
        <v>14181</v>
      </c>
      <c r="AF3008" t="s">
        <v>13</v>
      </c>
      <c r="AG3008" t="str">
        <f>HYPERLINK("https://doi.org/10.1515/9780748696376?locatt=mode:legacy")</f>
        <v>https://doi.org/10.1515/9780748696376?locatt=mode:legacy</v>
      </c>
      <c r="AH3008" t="str">
        <f>HYPERLINK("http://www.degruyter.com/isbn/9780748696376")</f>
        <v>http://www.degruyter.com/isbn/9780748696376</v>
      </c>
      <c r="AI3008" t="s">
        <v>222</v>
      </c>
      <c r="AL3008" t="s">
        <v>102</v>
      </c>
      <c r="AM3008">
        <v>1</v>
      </c>
      <c r="AN3008" s="2">
        <v>9780748696369</v>
      </c>
    </row>
    <row r="3009" spans="1:40" x14ac:dyDescent="0.3">
      <c r="A3009" t="s">
        <v>14182</v>
      </c>
      <c r="B3009" t="s">
        <v>1</v>
      </c>
      <c r="C3009" t="s">
        <v>14183</v>
      </c>
      <c r="E3009" t="s">
        <v>14184</v>
      </c>
      <c r="F3009" t="s">
        <v>5</v>
      </c>
      <c r="G3009" t="s">
        <v>6</v>
      </c>
      <c r="K3009" t="s">
        <v>929</v>
      </c>
      <c r="L3009" t="s">
        <v>7</v>
      </c>
      <c r="M3009">
        <v>2014</v>
      </c>
      <c r="N3009" s="1">
        <v>41773</v>
      </c>
      <c r="O3009" t="s">
        <v>14185</v>
      </c>
      <c r="P3009">
        <v>1</v>
      </c>
      <c r="Q3009" t="s">
        <v>8096</v>
      </c>
      <c r="V3009" t="s">
        <v>42</v>
      </c>
      <c r="W3009" t="s">
        <v>116</v>
      </c>
      <c r="X3009" t="s">
        <v>116</v>
      </c>
      <c r="Y3009" t="s">
        <v>117</v>
      </c>
      <c r="AF3009" t="s">
        <v>13</v>
      </c>
      <c r="AG3009" t="str">
        <f>HYPERLINK("https://doi.org/10.1515/9780748694716?locatt=mode:legacy")</f>
        <v>https://doi.org/10.1515/9780748694716?locatt=mode:legacy</v>
      </c>
      <c r="AH3009" t="str">
        <f>HYPERLINK("http://www.degruyter.com/isbn/9780748694716")</f>
        <v>http://www.degruyter.com/isbn/9780748694716</v>
      </c>
      <c r="AI3009" t="s">
        <v>34</v>
      </c>
      <c r="AM3009">
        <v>1</v>
      </c>
      <c r="AN3009" s="2"/>
    </row>
    <row r="3010" spans="1:40" x14ac:dyDescent="0.3">
      <c r="A3010" t="s">
        <v>14186</v>
      </c>
      <c r="B3010" t="s">
        <v>1</v>
      </c>
      <c r="C3010" t="s">
        <v>14187</v>
      </c>
      <c r="D3010" t="s">
        <v>14188</v>
      </c>
      <c r="E3010" t="s">
        <v>14189</v>
      </c>
      <c r="F3010" t="s">
        <v>5</v>
      </c>
      <c r="G3010" t="s">
        <v>6</v>
      </c>
      <c r="L3010" t="s">
        <v>7</v>
      </c>
      <c r="M3010">
        <v>2012</v>
      </c>
      <c r="N3010" s="1">
        <v>40975</v>
      </c>
      <c r="O3010" t="s">
        <v>14190</v>
      </c>
      <c r="P3010">
        <v>1</v>
      </c>
      <c r="Q3010" t="s">
        <v>7728</v>
      </c>
      <c r="S3010">
        <v>217.95</v>
      </c>
      <c r="T3010">
        <v>250</v>
      </c>
      <c r="U3010">
        <v>190</v>
      </c>
      <c r="V3010" t="s">
        <v>42</v>
      </c>
      <c r="W3010" t="s">
        <v>107</v>
      </c>
      <c r="X3010" t="s">
        <v>108</v>
      </c>
      <c r="Y3010" t="s">
        <v>109</v>
      </c>
      <c r="AF3010" t="s">
        <v>13</v>
      </c>
      <c r="AG3010" t="str">
        <f>HYPERLINK("https://doi.org/10.1515/9780748644667")</f>
        <v>https://doi.org/10.1515/9780748644667</v>
      </c>
      <c r="AH3010" t="str">
        <f>HYPERLINK("http://www.degruyter.com/isbn/9780748644667")</f>
        <v>http://www.degruyter.com/isbn/9780748644667</v>
      </c>
      <c r="AI3010" t="s">
        <v>68</v>
      </c>
      <c r="AL3010" t="s">
        <v>47</v>
      </c>
      <c r="AM3010">
        <v>1</v>
      </c>
      <c r="AN3010" s="2">
        <v>9780748644650</v>
      </c>
    </row>
    <row r="3011" spans="1:40" x14ac:dyDescent="0.3">
      <c r="A3011" t="s">
        <v>14191</v>
      </c>
      <c r="B3011" t="s">
        <v>1</v>
      </c>
      <c r="C3011" t="s">
        <v>14192</v>
      </c>
      <c r="D3011" t="s">
        <v>14193</v>
      </c>
      <c r="E3011" t="s">
        <v>14194</v>
      </c>
      <c r="F3011" t="s">
        <v>5</v>
      </c>
      <c r="G3011" t="s">
        <v>6</v>
      </c>
      <c r="L3011" t="s">
        <v>7</v>
      </c>
      <c r="M3011">
        <v>2022</v>
      </c>
      <c r="N3011" s="1">
        <v>44690</v>
      </c>
      <c r="O3011" t="s">
        <v>1730</v>
      </c>
      <c r="P3011">
        <v>1</v>
      </c>
      <c r="Q3011" t="s">
        <v>13460</v>
      </c>
      <c r="S3011">
        <v>243.95</v>
      </c>
      <c r="T3011">
        <v>280</v>
      </c>
      <c r="U3011">
        <v>210</v>
      </c>
      <c r="V3011" t="s">
        <v>20</v>
      </c>
      <c r="W3011" t="s">
        <v>21</v>
      </c>
      <c r="X3011" t="s">
        <v>458</v>
      </c>
      <c r="Y3011" t="s">
        <v>459</v>
      </c>
      <c r="AF3011" t="s">
        <v>13</v>
      </c>
      <c r="AG3011" t="str">
        <f>HYPERLINK("https://doi.org/10.1515/9781474485951")</f>
        <v>https://doi.org/10.1515/9781474485951</v>
      </c>
      <c r="AH3011" t="str">
        <f>HYPERLINK("http://www.degruyter.com/isbn/9781474485951")</f>
        <v>http://www.degruyter.com/isbn/9781474485951</v>
      </c>
      <c r="AI3011" t="s">
        <v>14195</v>
      </c>
      <c r="AL3011" t="s">
        <v>15</v>
      </c>
      <c r="AM3011">
        <v>1</v>
      </c>
      <c r="AN3011" s="2">
        <v>9781474485944</v>
      </c>
    </row>
    <row r="3012" spans="1:40" x14ac:dyDescent="0.3">
      <c r="A3012" t="s">
        <v>14196</v>
      </c>
      <c r="B3012" t="s">
        <v>1</v>
      </c>
      <c r="C3012" t="s">
        <v>14197</v>
      </c>
      <c r="D3012" t="s">
        <v>14198</v>
      </c>
      <c r="E3012" t="s">
        <v>14199</v>
      </c>
      <c r="F3012" t="s">
        <v>5</v>
      </c>
      <c r="G3012" t="s">
        <v>6</v>
      </c>
      <c r="L3012" t="s">
        <v>7</v>
      </c>
      <c r="M3012">
        <v>2020</v>
      </c>
      <c r="N3012" s="1">
        <v>44644</v>
      </c>
      <c r="O3012" t="s">
        <v>14200</v>
      </c>
      <c r="P3012">
        <v>1</v>
      </c>
      <c r="Q3012" t="s">
        <v>6876</v>
      </c>
      <c r="S3012">
        <v>253.95</v>
      </c>
      <c r="T3012">
        <v>290</v>
      </c>
      <c r="U3012">
        <v>220</v>
      </c>
      <c r="V3012" t="s">
        <v>20</v>
      </c>
      <c r="W3012" t="s">
        <v>21</v>
      </c>
      <c r="X3012" t="s">
        <v>458</v>
      </c>
      <c r="Y3012" t="s">
        <v>1816</v>
      </c>
      <c r="AF3012" t="s">
        <v>13</v>
      </c>
      <c r="AG3012" t="str">
        <f>HYPERLINK("https://doi.org/10.1515/9781474458382?locatt=mode:legacy")</f>
        <v>https://doi.org/10.1515/9781474458382?locatt=mode:legacy</v>
      </c>
      <c r="AH3012" t="str">
        <f>HYPERLINK("http://www.degruyter.com/isbn/9781474458382")</f>
        <v>http://www.degruyter.com/isbn/9781474458382</v>
      </c>
      <c r="AI3012" t="s">
        <v>14</v>
      </c>
      <c r="AL3012" t="s">
        <v>15</v>
      </c>
      <c r="AM3012">
        <v>1</v>
      </c>
      <c r="AN3012" s="2">
        <v>9781474458351</v>
      </c>
    </row>
    <row r="3013" spans="1:40" x14ac:dyDescent="0.3">
      <c r="A3013" t="s">
        <v>14201</v>
      </c>
      <c r="B3013" t="s">
        <v>1</v>
      </c>
      <c r="C3013" t="s">
        <v>14202</v>
      </c>
      <c r="D3013" t="s">
        <v>14203</v>
      </c>
      <c r="E3013" t="s">
        <v>14204</v>
      </c>
      <c r="F3013" t="s">
        <v>5</v>
      </c>
      <c r="G3013" t="s">
        <v>6</v>
      </c>
      <c r="L3013" t="s">
        <v>7</v>
      </c>
      <c r="M3013">
        <v>2020</v>
      </c>
      <c r="N3013" s="1">
        <v>44644</v>
      </c>
      <c r="O3013" t="s">
        <v>14205</v>
      </c>
      <c r="P3013">
        <v>1</v>
      </c>
      <c r="Q3013" t="s">
        <v>9122</v>
      </c>
      <c r="S3013">
        <v>261.95</v>
      </c>
      <c r="T3013">
        <v>300</v>
      </c>
      <c r="U3013">
        <v>230</v>
      </c>
      <c r="V3013" t="s">
        <v>847</v>
      </c>
      <c r="W3013" t="s">
        <v>848</v>
      </c>
      <c r="X3013" t="s">
        <v>20</v>
      </c>
      <c r="Y3013" t="s">
        <v>2273</v>
      </c>
      <c r="AF3013" t="s">
        <v>13</v>
      </c>
      <c r="AG3013" t="str">
        <f>HYPERLINK("https://doi.org/10.1515/9781474450379")</f>
        <v>https://doi.org/10.1515/9781474450379</v>
      </c>
      <c r="AH3013" t="str">
        <f>HYPERLINK("http://www.degruyter.com/isbn/9781474450379")</f>
        <v>http://www.degruyter.com/isbn/9781474450379</v>
      </c>
      <c r="AI3013" t="s">
        <v>14</v>
      </c>
      <c r="AL3013" t="s">
        <v>1070</v>
      </c>
      <c r="AM3013">
        <v>1</v>
      </c>
      <c r="AN3013" s="2">
        <v>9781474450348</v>
      </c>
    </row>
    <row r="3014" spans="1:40" x14ac:dyDescent="0.3">
      <c r="A3014" t="s">
        <v>14206</v>
      </c>
      <c r="B3014" t="s">
        <v>1</v>
      </c>
      <c r="C3014" t="s">
        <v>14207</v>
      </c>
      <c r="D3014" t="s">
        <v>14208</v>
      </c>
      <c r="E3014" t="s">
        <v>14209</v>
      </c>
      <c r="F3014" t="s">
        <v>5</v>
      </c>
      <c r="G3014" t="s">
        <v>6</v>
      </c>
      <c r="L3014" t="s">
        <v>7</v>
      </c>
      <c r="M3014">
        <v>2020</v>
      </c>
      <c r="N3014" s="1">
        <v>44656</v>
      </c>
      <c r="O3014" t="s">
        <v>14210</v>
      </c>
      <c r="P3014">
        <v>1</v>
      </c>
      <c r="Q3014" t="s">
        <v>13628</v>
      </c>
      <c r="S3014">
        <v>217.95</v>
      </c>
      <c r="T3014">
        <v>250</v>
      </c>
      <c r="U3014">
        <v>190</v>
      </c>
      <c r="V3014" t="s">
        <v>42</v>
      </c>
      <c r="W3014" t="s">
        <v>107</v>
      </c>
      <c r="X3014" t="s">
        <v>108</v>
      </c>
      <c r="Y3014" t="s">
        <v>221</v>
      </c>
      <c r="AF3014" t="s">
        <v>13</v>
      </c>
      <c r="AG3014" t="str">
        <f>HYPERLINK("https://doi.org/10.1515/9781474445535")</f>
        <v>https://doi.org/10.1515/9781474445535</v>
      </c>
      <c r="AH3014" t="str">
        <f>HYPERLINK("http://www.degruyter.com/isbn/9781474445535")</f>
        <v>http://www.degruyter.com/isbn/9781474445535</v>
      </c>
      <c r="AI3014" t="s">
        <v>14</v>
      </c>
      <c r="AL3014" t="s">
        <v>47</v>
      </c>
      <c r="AM3014">
        <v>1</v>
      </c>
      <c r="AN3014" s="2">
        <v>9781474445450</v>
      </c>
    </row>
    <row r="3015" spans="1:40" x14ac:dyDescent="0.3">
      <c r="A3015" t="s">
        <v>14211</v>
      </c>
      <c r="B3015" t="s">
        <v>1</v>
      </c>
      <c r="C3015" t="s">
        <v>14212</v>
      </c>
      <c r="E3015" t="s">
        <v>14213</v>
      </c>
      <c r="F3015" t="s">
        <v>5</v>
      </c>
      <c r="G3015" t="s">
        <v>6</v>
      </c>
      <c r="L3015" t="s">
        <v>7</v>
      </c>
      <c r="M3015">
        <v>2013</v>
      </c>
      <c r="N3015" s="1">
        <v>41618</v>
      </c>
      <c r="O3015" t="s">
        <v>14214</v>
      </c>
      <c r="P3015">
        <v>1</v>
      </c>
      <c r="Q3015" t="s">
        <v>14060</v>
      </c>
      <c r="S3015">
        <v>253.95</v>
      </c>
      <c r="T3015">
        <v>290</v>
      </c>
      <c r="U3015">
        <v>220</v>
      </c>
      <c r="V3015" t="s">
        <v>98</v>
      </c>
      <c r="W3015" t="s">
        <v>99</v>
      </c>
      <c r="X3015" t="s">
        <v>386</v>
      </c>
      <c r="Y3015" t="s">
        <v>387</v>
      </c>
      <c r="AF3015" t="s">
        <v>13</v>
      </c>
      <c r="AG3015" t="str">
        <f>HYPERLINK("https://doi.org/10.1515/9780748634699")</f>
        <v>https://doi.org/10.1515/9780748634699</v>
      </c>
      <c r="AH3015" t="str">
        <f>HYPERLINK("http://www.degruyter.com/isbn/9780748634699")</f>
        <v>http://www.degruyter.com/isbn/9780748634699</v>
      </c>
      <c r="AI3015" t="s">
        <v>68</v>
      </c>
      <c r="AL3015" t="s">
        <v>102</v>
      </c>
      <c r="AM3015">
        <v>1</v>
      </c>
      <c r="AN3015" s="2">
        <v>9780748634675</v>
      </c>
    </row>
    <row r="3016" spans="1:40" x14ac:dyDescent="0.3">
      <c r="A3016" t="s">
        <v>14215</v>
      </c>
      <c r="B3016" t="s">
        <v>1</v>
      </c>
      <c r="C3016" t="s">
        <v>14216</v>
      </c>
      <c r="E3016" t="s">
        <v>14217</v>
      </c>
      <c r="F3016" t="s">
        <v>5</v>
      </c>
      <c r="G3016" t="s">
        <v>6</v>
      </c>
      <c r="L3016" t="s">
        <v>7</v>
      </c>
      <c r="M3016">
        <v>2012</v>
      </c>
      <c r="N3016" s="1">
        <v>41080</v>
      </c>
      <c r="O3016" t="s">
        <v>5422</v>
      </c>
      <c r="P3016">
        <v>1</v>
      </c>
      <c r="Q3016" t="s">
        <v>14060</v>
      </c>
      <c r="S3016">
        <v>253.95</v>
      </c>
      <c r="T3016">
        <v>290</v>
      </c>
      <c r="U3016">
        <v>220</v>
      </c>
      <c r="V3016" t="s">
        <v>98</v>
      </c>
      <c r="W3016" t="s">
        <v>99</v>
      </c>
      <c r="X3016" t="s">
        <v>386</v>
      </c>
      <c r="Y3016" t="s">
        <v>387</v>
      </c>
      <c r="AF3016" t="s">
        <v>13</v>
      </c>
      <c r="AG3016" t="str">
        <f>HYPERLINK("https://doi.org/10.1515/9780748664382")</f>
        <v>https://doi.org/10.1515/9780748664382</v>
      </c>
      <c r="AH3016" t="str">
        <f>HYPERLINK("http://www.degruyter.com/isbn/9780748664382")</f>
        <v>http://www.degruyter.com/isbn/9780748664382</v>
      </c>
      <c r="AI3016" t="s">
        <v>68</v>
      </c>
      <c r="AL3016" t="s">
        <v>102</v>
      </c>
      <c r="AM3016">
        <v>1</v>
      </c>
      <c r="AN3016" s="2">
        <v>9780748641819</v>
      </c>
    </row>
    <row r="3017" spans="1:40" x14ac:dyDescent="0.3">
      <c r="A3017" t="s">
        <v>14218</v>
      </c>
      <c r="B3017" t="s">
        <v>1</v>
      </c>
      <c r="C3017" t="s">
        <v>14219</v>
      </c>
      <c r="D3017" t="s">
        <v>14220</v>
      </c>
      <c r="E3017" t="s">
        <v>14221</v>
      </c>
      <c r="F3017" t="s">
        <v>5</v>
      </c>
      <c r="G3017" t="s">
        <v>6</v>
      </c>
      <c r="L3017" t="s">
        <v>7</v>
      </c>
      <c r="M3017">
        <v>2018</v>
      </c>
      <c r="N3017" s="1">
        <v>44644</v>
      </c>
      <c r="O3017" t="s">
        <v>1124</v>
      </c>
      <c r="P3017">
        <v>1</v>
      </c>
      <c r="Q3017" t="s">
        <v>13611</v>
      </c>
      <c r="S3017">
        <v>217.95</v>
      </c>
      <c r="T3017">
        <v>250</v>
      </c>
      <c r="U3017">
        <v>190</v>
      </c>
      <c r="V3017" t="s">
        <v>42</v>
      </c>
      <c r="W3017" t="s">
        <v>116</v>
      </c>
      <c r="X3017" t="s">
        <v>116</v>
      </c>
      <c r="Y3017" t="s">
        <v>117</v>
      </c>
      <c r="AF3017" t="s">
        <v>13</v>
      </c>
      <c r="AG3017" t="str">
        <f>HYPERLINK("https://doi.org/10.1515/9781474411608?locatt=mode:legacy")</f>
        <v>https://doi.org/10.1515/9781474411608?locatt=mode:legacy</v>
      </c>
      <c r="AH3017" t="str">
        <f>HYPERLINK("http://www.degruyter.com/isbn/9781474411608")</f>
        <v>http://www.degruyter.com/isbn/9781474411608</v>
      </c>
      <c r="AI3017" t="s">
        <v>46</v>
      </c>
      <c r="AL3017" t="s">
        <v>47</v>
      </c>
      <c r="AM3017">
        <v>1</v>
      </c>
      <c r="AN3017" s="2">
        <v>9781474411592</v>
      </c>
    </row>
    <row r="3018" spans="1:40" x14ac:dyDescent="0.3">
      <c r="A3018" t="s">
        <v>14222</v>
      </c>
      <c r="B3018" t="s">
        <v>1</v>
      </c>
      <c r="C3018" t="s">
        <v>14223</v>
      </c>
      <c r="D3018" t="s">
        <v>14224</v>
      </c>
      <c r="E3018" t="s">
        <v>14225</v>
      </c>
      <c r="F3018" t="s">
        <v>5</v>
      </c>
      <c r="G3018" t="s">
        <v>6</v>
      </c>
      <c r="L3018" t="s">
        <v>7</v>
      </c>
      <c r="M3018">
        <v>2021</v>
      </c>
      <c r="N3018" s="1">
        <v>44656</v>
      </c>
      <c r="O3018" t="s">
        <v>14226</v>
      </c>
      <c r="P3018">
        <v>1</v>
      </c>
      <c r="Q3018" t="s">
        <v>13749</v>
      </c>
      <c r="S3018">
        <v>217.95</v>
      </c>
      <c r="T3018">
        <v>250</v>
      </c>
      <c r="U3018">
        <v>190</v>
      </c>
      <c r="V3018" t="s">
        <v>42</v>
      </c>
      <c r="W3018" t="s">
        <v>107</v>
      </c>
      <c r="X3018" t="s">
        <v>108</v>
      </c>
      <c r="Y3018" t="s">
        <v>109</v>
      </c>
      <c r="AF3018" t="s">
        <v>13</v>
      </c>
      <c r="AG3018" t="str">
        <f>HYPERLINK("https://doi.org/10.1515/9781474464024")</f>
        <v>https://doi.org/10.1515/9781474464024</v>
      </c>
      <c r="AH3018" t="str">
        <f>HYPERLINK("http://www.degruyter.com/isbn/9781474464024")</f>
        <v>http://www.degruyter.com/isbn/9781474464024</v>
      </c>
      <c r="AI3018" t="s">
        <v>110</v>
      </c>
      <c r="AL3018" t="s">
        <v>47</v>
      </c>
      <c r="AM3018">
        <v>1</v>
      </c>
      <c r="AN3018" s="2">
        <v>9781474464000</v>
      </c>
    </row>
    <row r="3019" spans="1:40" x14ac:dyDescent="0.3">
      <c r="A3019" t="s">
        <v>14227</v>
      </c>
      <c r="B3019" t="s">
        <v>1</v>
      </c>
      <c r="C3019" t="s">
        <v>14228</v>
      </c>
      <c r="D3019" t="s">
        <v>14229</v>
      </c>
      <c r="E3019" t="s">
        <v>14230</v>
      </c>
      <c r="F3019" t="s">
        <v>5</v>
      </c>
      <c r="G3019" t="s">
        <v>6</v>
      </c>
      <c r="L3019" t="s">
        <v>7</v>
      </c>
      <c r="M3019">
        <v>2020</v>
      </c>
      <c r="N3019" s="1">
        <v>44644</v>
      </c>
      <c r="O3019" t="s">
        <v>14231</v>
      </c>
      <c r="P3019">
        <v>1</v>
      </c>
      <c r="Q3019" t="s">
        <v>14065</v>
      </c>
      <c r="S3019">
        <v>227.95</v>
      </c>
      <c r="T3019">
        <v>260</v>
      </c>
      <c r="U3019">
        <v>200</v>
      </c>
      <c r="V3019" t="s">
        <v>42</v>
      </c>
      <c r="W3019" t="s">
        <v>107</v>
      </c>
      <c r="X3019" t="s">
        <v>108</v>
      </c>
      <c r="Y3019" t="s">
        <v>221</v>
      </c>
      <c r="AF3019" t="s">
        <v>13</v>
      </c>
      <c r="AG3019" t="str">
        <f>HYPERLINK("https://doi.org/10.1515/9781474426503")</f>
        <v>https://doi.org/10.1515/9781474426503</v>
      </c>
      <c r="AH3019" t="str">
        <f>HYPERLINK("http://www.degruyter.com/isbn/9781474426503")</f>
        <v>http://www.degruyter.com/isbn/9781474426503</v>
      </c>
      <c r="AI3019" t="s">
        <v>14</v>
      </c>
      <c r="AL3019" t="s">
        <v>47</v>
      </c>
      <c r="AM3019">
        <v>1</v>
      </c>
      <c r="AN3019" s="2">
        <v>9781474426480</v>
      </c>
    </row>
    <row r="3020" spans="1:40" x14ac:dyDescent="0.3">
      <c r="A3020" t="s">
        <v>14232</v>
      </c>
      <c r="B3020" t="s">
        <v>1</v>
      </c>
      <c r="C3020" t="s">
        <v>14233</v>
      </c>
      <c r="D3020" t="s">
        <v>14234</v>
      </c>
      <c r="E3020" t="s">
        <v>14235</v>
      </c>
      <c r="F3020" t="s">
        <v>5</v>
      </c>
      <c r="G3020" t="s">
        <v>6</v>
      </c>
      <c r="L3020" t="s">
        <v>7</v>
      </c>
      <c r="M3020">
        <v>2021</v>
      </c>
      <c r="N3020" s="1">
        <v>44656</v>
      </c>
      <c r="O3020" t="s">
        <v>14236</v>
      </c>
      <c r="P3020">
        <v>1</v>
      </c>
      <c r="Q3020" t="s">
        <v>14065</v>
      </c>
      <c r="S3020">
        <v>217.95</v>
      </c>
      <c r="T3020">
        <v>250</v>
      </c>
      <c r="U3020">
        <v>190</v>
      </c>
      <c r="V3020" t="s">
        <v>42</v>
      </c>
      <c r="W3020" t="s">
        <v>107</v>
      </c>
      <c r="X3020" t="s">
        <v>108</v>
      </c>
      <c r="Y3020" t="s">
        <v>221</v>
      </c>
      <c r="AF3020" t="s">
        <v>13</v>
      </c>
      <c r="AG3020" t="str">
        <f>HYPERLINK("https://doi.org/10.1515/9781474438278")</f>
        <v>https://doi.org/10.1515/9781474438278</v>
      </c>
      <c r="AH3020" t="str">
        <f>HYPERLINK("http://www.degruyter.com/isbn/9781474438278")</f>
        <v>http://www.degruyter.com/isbn/9781474438278</v>
      </c>
      <c r="AI3020" t="s">
        <v>110</v>
      </c>
      <c r="AL3020" t="s">
        <v>47</v>
      </c>
      <c r="AM3020">
        <v>1</v>
      </c>
      <c r="AN3020" s="2">
        <v>9781474438254</v>
      </c>
    </row>
    <row r="3021" spans="1:40" x14ac:dyDescent="0.3">
      <c r="A3021" t="s">
        <v>14237</v>
      </c>
      <c r="B3021" t="s">
        <v>1</v>
      </c>
      <c r="C3021" t="s">
        <v>14238</v>
      </c>
      <c r="E3021" t="s">
        <v>14239</v>
      </c>
      <c r="F3021" t="s">
        <v>5</v>
      </c>
      <c r="G3021" t="s">
        <v>6</v>
      </c>
      <c r="L3021" t="s">
        <v>7</v>
      </c>
      <c r="M3021">
        <v>2008</v>
      </c>
      <c r="N3021" s="1">
        <v>39632</v>
      </c>
      <c r="O3021" t="s">
        <v>14240</v>
      </c>
      <c r="P3021">
        <v>1</v>
      </c>
      <c r="Q3021" t="s">
        <v>13309</v>
      </c>
      <c r="S3021">
        <v>521.95000000000005</v>
      </c>
      <c r="T3021">
        <v>598</v>
      </c>
      <c r="U3021">
        <v>460</v>
      </c>
      <c r="V3021" t="s">
        <v>42</v>
      </c>
      <c r="W3021" t="s">
        <v>116</v>
      </c>
      <c r="X3021" t="s">
        <v>116</v>
      </c>
      <c r="Y3021" t="s">
        <v>117</v>
      </c>
      <c r="AF3021" t="s">
        <v>13</v>
      </c>
      <c r="AG3021" t="str">
        <f>HYPERLINK("https://doi.org/10.1515/9780748630271")</f>
        <v>https://doi.org/10.1515/9780748630271</v>
      </c>
      <c r="AH3021" t="str">
        <f>HYPERLINK("http://www.degruyter.com/isbn/9780748630271")</f>
        <v>http://www.degruyter.com/isbn/9780748630271</v>
      </c>
      <c r="AI3021" t="s">
        <v>8380</v>
      </c>
      <c r="AL3021" t="s">
        <v>47</v>
      </c>
      <c r="AM3021">
        <v>1</v>
      </c>
      <c r="AN3021" s="2">
        <v>9780748623945</v>
      </c>
    </row>
    <row r="3022" spans="1:40" x14ac:dyDescent="0.3">
      <c r="A3022" t="s">
        <v>14241</v>
      </c>
      <c r="B3022" t="s">
        <v>1</v>
      </c>
      <c r="C3022" t="s">
        <v>14242</v>
      </c>
      <c r="D3022" t="s">
        <v>14243</v>
      </c>
      <c r="E3022" t="s">
        <v>14244</v>
      </c>
      <c r="F3022" t="s">
        <v>5</v>
      </c>
      <c r="G3022" t="s">
        <v>6</v>
      </c>
      <c r="L3022" t="s">
        <v>7</v>
      </c>
      <c r="M3022">
        <v>2020</v>
      </c>
      <c r="N3022" s="1">
        <v>44656</v>
      </c>
      <c r="O3022" t="s">
        <v>14245</v>
      </c>
      <c r="P3022">
        <v>1</v>
      </c>
      <c r="Q3022" t="s">
        <v>13460</v>
      </c>
      <c r="S3022">
        <v>217.95</v>
      </c>
      <c r="T3022">
        <v>250</v>
      </c>
      <c r="U3022">
        <v>190</v>
      </c>
      <c r="V3022" t="s">
        <v>20</v>
      </c>
      <c r="W3022" t="s">
        <v>21</v>
      </c>
      <c r="X3022" t="s">
        <v>458</v>
      </c>
      <c r="Y3022" t="s">
        <v>459</v>
      </c>
      <c r="AF3022" t="s">
        <v>13</v>
      </c>
      <c r="AG3022" t="str">
        <f>HYPERLINK("https://doi.org/10.1515/9781474460996")</f>
        <v>https://doi.org/10.1515/9781474460996</v>
      </c>
      <c r="AH3022" t="str">
        <f>HYPERLINK("http://www.degruyter.com/isbn/9781474460996")</f>
        <v>http://www.degruyter.com/isbn/9781474460996</v>
      </c>
      <c r="AI3022" t="s">
        <v>14</v>
      </c>
      <c r="AL3022" t="s">
        <v>15</v>
      </c>
      <c r="AM3022">
        <v>1</v>
      </c>
      <c r="AN3022" s="2">
        <v>9781474460965</v>
      </c>
    </row>
    <row r="3023" spans="1:40" x14ac:dyDescent="0.3">
      <c r="A3023" t="s">
        <v>14246</v>
      </c>
      <c r="B3023" t="s">
        <v>1</v>
      </c>
      <c r="C3023" t="s">
        <v>14247</v>
      </c>
      <c r="D3023" t="s">
        <v>14248</v>
      </c>
      <c r="E3023" t="s">
        <v>14249</v>
      </c>
      <c r="F3023" t="s">
        <v>5</v>
      </c>
      <c r="G3023" t="s">
        <v>6</v>
      </c>
      <c r="L3023" t="s">
        <v>7</v>
      </c>
      <c r="M3023">
        <v>2015</v>
      </c>
      <c r="N3023" s="1">
        <v>42352</v>
      </c>
      <c r="O3023" t="s">
        <v>14250</v>
      </c>
      <c r="P3023">
        <v>1</v>
      </c>
      <c r="Q3023" t="s">
        <v>13361</v>
      </c>
      <c r="S3023">
        <v>217.95</v>
      </c>
      <c r="T3023">
        <v>250</v>
      </c>
      <c r="U3023">
        <v>190</v>
      </c>
      <c r="V3023" t="s">
        <v>42</v>
      </c>
      <c r="W3023" t="s">
        <v>107</v>
      </c>
      <c r="X3023" t="s">
        <v>108</v>
      </c>
      <c r="Y3023" t="s">
        <v>109</v>
      </c>
      <c r="AF3023" t="s">
        <v>13</v>
      </c>
      <c r="AG3023" t="str">
        <f>HYPERLINK("https://doi.org/10.1515/9781474409469")</f>
        <v>https://doi.org/10.1515/9781474409469</v>
      </c>
      <c r="AH3023" t="str">
        <f>HYPERLINK("http://www.degruyter.com/isbn/9781474409469")</f>
        <v>http://www.degruyter.com/isbn/9781474409469</v>
      </c>
      <c r="AI3023" t="s">
        <v>34</v>
      </c>
      <c r="AL3023" t="s">
        <v>47</v>
      </c>
      <c r="AM3023">
        <v>1</v>
      </c>
      <c r="AN3023" s="2">
        <v>9781474409452</v>
      </c>
    </row>
    <row r="3024" spans="1:40" x14ac:dyDescent="0.3">
      <c r="A3024" t="s">
        <v>14251</v>
      </c>
      <c r="B3024" t="s">
        <v>1</v>
      </c>
      <c r="C3024" t="s">
        <v>14252</v>
      </c>
      <c r="E3024" t="s">
        <v>14253</v>
      </c>
      <c r="F3024" t="s">
        <v>5</v>
      </c>
      <c r="G3024" t="s">
        <v>6</v>
      </c>
      <c r="L3024" t="s">
        <v>7</v>
      </c>
      <c r="M3024">
        <v>2005</v>
      </c>
      <c r="N3024" s="1">
        <v>38426</v>
      </c>
      <c r="O3024" t="s">
        <v>14254</v>
      </c>
      <c r="P3024">
        <v>1</v>
      </c>
      <c r="Q3024" t="s">
        <v>13309</v>
      </c>
      <c r="S3024">
        <v>565.95000000000005</v>
      </c>
      <c r="T3024">
        <v>650</v>
      </c>
      <c r="U3024">
        <v>500</v>
      </c>
      <c r="V3024" t="s">
        <v>42</v>
      </c>
      <c r="W3024" t="s">
        <v>161</v>
      </c>
      <c r="X3024" t="s">
        <v>162</v>
      </c>
      <c r="Y3024" t="s">
        <v>896</v>
      </c>
      <c r="AF3024" t="s">
        <v>13</v>
      </c>
      <c r="AG3024" t="str">
        <f>HYPERLINK("https://doi.org/10.1515/9781474471718")</f>
        <v>https://doi.org/10.1515/9781474471718</v>
      </c>
      <c r="AH3024" t="str">
        <f>HYPERLINK("http://www.degruyter.com/isbn/9781474471718")</f>
        <v>http://www.degruyter.com/isbn/9781474471718</v>
      </c>
      <c r="AI3024" t="s">
        <v>68</v>
      </c>
      <c r="AL3024" t="s">
        <v>47</v>
      </c>
      <c r="AM3024">
        <v>1</v>
      </c>
      <c r="AN3024" s="2">
        <v>9780748618552</v>
      </c>
    </row>
    <row r="3025" spans="1:40" x14ac:dyDescent="0.3">
      <c r="A3025" t="s">
        <v>14255</v>
      </c>
      <c r="B3025" t="s">
        <v>1</v>
      </c>
      <c r="C3025" t="s">
        <v>14256</v>
      </c>
      <c r="E3025" t="s">
        <v>14257</v>
      </c>
      <c r="F3025" t="s">
        <v>5</v>
      </c>
      <c r="G3025" t="s">
        <v>6</v>
      </c>
      <c r="L3025" t="s">
        <v>7</v>
      </c>
      <c r="M3025">
        <v>2019</v>
      </c>
      <c r="N3025" s="1">
        <v>44644</v>
      </c>
      <c r="O3025" t="s">
        <v>14258</v>
      </c>
      <c r="P3025">
        <v>1</v>
      </c>
      <c r="Q3025" t="s">
        <v>13460</v>
      </c>
      <c r="S3025">
        <v>253.95</v>
      </c>
      <c r="T3025">
        <v>290</v>
      </c>
      <c r="U3025">
        <v>220</v>
      </c>
      <c r="V3025" t="s">
        <v>305</v>
      </c>
      <c r="W3025" t="s">
        <v>2129</v>
      </c>
      <c r="X3025" t="s">
        <v>9271</v>
      </c>
      <c r="Y3025" t="s">
        <v>9272</v>
      </c>
      <c r="AF3025" t="s">
        <v>13</v>
      </c>
      <c r="AG3025" t="str">
        <f>HYPERLINK("https://doi.org/10.1515/9781474450416?locatt=mode:legacy")</f>
        <v>https://doi.org/10.1515/9781474450416?locatt=mode:legacy</v>
      </c>
      <c r="AH3025" t="str">
        <f>HYPERLINK("http://www.degruyter.com/isbn/9781474450416")</f>
        <v>http://www.degruyter.com/isbn/9781474450416</v>
      </c>
      <c r="AI3025" t="s">
        <v>280</v>
      </c>
      <c r="AL3025" t="s">
        <v>308</v>
      </c>
      <c r="AM3025">
        <v>1</v>
      </c>
      <c r="AN3025" s="2">
        <v>9781474450386</v>
      </c>
    </row>
    <row r="3026" spans="1:40" x14ac:dyDescent="0.3">
      <c r="A3026" t="s">
        <v>14259</v>
      </c>
      <c r="B3026" t="s">
        <v>1</v>
      </c>
      <c r="C3026" t="s">
        <v>14260</v>
      </c>
      <c r="E3026" t="s">
        <v>14261</v>
      </c>
      <c r="F3026" t="s">
        <v>5</v>
      </c>
      <c r="G3026" t="s">
        <v>6</v>
      </c>
      <c r="K3026" t="s">
        <v>929</v>
      </c>
      <c r="L3026" t="s">
        <v>7</v>
      </c>
      <c r="M3026">
        <v>2018</v>
      </c>
      <c r="N3026" s="1">
        <v>43325</v>
      </c>
      <c r="O3026" t="s">
        <v>3869</v>
      </c>
      <c r="P3026">
        <v>1</v>
      </c>
      <c r="Q3026" t="s">
        <v>13361</v>
      </c>
      <c r="V3026" t="s">
        <v>42</v>
      </c>
      <c r="W3026" t="s">
        <v>107</v>
      </c>
      <c r="X3026" t="s">
        <v>108</v>
      </c>
      <c r="Y3026" t="s">
        <v>2244</v>
      </c>
      <c r="AF3026" t="s">
        <v>13</v>
      </c>
      <c r="AG3026" t="str">
        <f>HYPERLINK("https://doi.org/10.1515/9781474432894?locatt=mode:legacy")</f>
        <v>https://doi.org/10.1515/9781474432894?locatt=mode:legacy</v>
      </c>
      <c r="AH3026" t="str">
        <f>HYPERLINK("http://www.degruyter.com/isbn/9781474432894")</f>
        <v>http://www.degruyter.com/isbn/9781474432894</v>
      </c>
      <c r="AI3026" t="s">
        <v>46</v>
      </c>
      <c r="AM3026">
        <v>1</v>
      </c>
      <c r="AN3026" s="2"/>
    </row>
    <row r="3027" spans="1:40" x14ac:dyDescent="0.3">
      <c r="A3027" t="s">
        <v>14262</v>
      </c>
      <c r="B3027" t="s">
        <v>1</v>
      </c>
      <c r="C3027" t="s">
        <v>14263</v>
      </c>
      <c r="E3027" t="s">
        <v>14264</v>
      </c>
      <c r="F3027" t="s">
        <v>5</v>
      </c>
      <c r="G3027" t="s">
        <v>6</v>
      </c>
      <c r="L3027" t="s">
        <v>7</v>
      </c>
      <c r="M3027">
        <v>2015</v>
      </c>
      <c r="N3027" s="1">
        <v>42285</v>
      </c>
      <c r="O3027" t="s">
        <v>14265</v>
      </c>
      <c r="P3027">
        <v>1</v>
      </c>
      <c r="Q3027" t="s">
        <v>14060</v>
      </c>
      <c r="S3027">
        <v>253.95</v>
      </c>
      <c r="T3027">
        <v>290</v>
      </c>
      <c r="U3027">
        <v>220</v>
      </c>
      <c r="V3027" t="s">
        <v>98</v>
      </c>
      <c r="W3027" t="s">
        <v>2283</v>
      </c>
      <c r="X3027" t="s">
        <v>2284</v>
      </c>
      <c r="Y3027" t="s">
        <v>2285</v>
      </c>
      <c r="AF3027" t="s">
        <v>13</v>
      </c>
      <c r="AG3027" t="str">
        <f>HYPERLINK("https://doi.org/10.1515/9780748644797")</f>
        <v>https://doi.org/10.1515/9780748644797</v>
      </c>
      <c r="AH3027" t="str">
        <f>HYPERLINK("http://www.degruyter.com/isbn/9780748644797")</f>
        <v>http://www.degruyter.com/isbn/9780748644797</v>
      </c>
      <c r="AI3027" t="s">
        <v>34</v>
      </c>
      <c r="AL3027" t="s">
        <v>102</v>
      </c>
      <c r="AM3027">
        <v>1</v>
      </c>
      <c r="AN3027" s="2">
        <v>9780748644780</v>
      </c>
    </row>
    <row r="3028" spans="1:40" x14ac:dyDescent="0.3">
      <c r="A3028" t="s">
        <v>14266</v>
      </c>
      <c r="B3028" t="s">
        <v>1</v>
      </c>
      <c r="C3028" t="s">
        <v>14267</v>
      </c>
      <c r="D3028" t="s">
        <v>1140</v>
      </c>
      <c r="E3028" t="s">
        <v>14268</v>
      </c>
      <c r="F3028" t="s">
        <v>5</v>
      </c>
      <c r="G3028" t="s">
        <v>6</v>
      </c>
      <c r="L3028" t="s">
        <v>7</v>
      </c>
      <c r="M3028">
        <v>2022</v>
      </c>
      <c r="N3028" s="1">
        <v>44690</v>
      </c>
      <c r="O3028" t="s">
        <v>14269</v>
      </c>
      <c r="P3028">
        <v>1</v>
      </c>
      <c r="S3028">
        <v>227.95</v>
      </c>
      <c r="T3028">
        <v>260</v>
      </c>
      <c r="U3028">
        <v>200</v>
      </c>
      <c r="V3028" t="s">
        <v>20</v>
      </c>
      <c r="W3028" t="s">
        <v>21</v>
      </c>
      <c r="X3028" t="s">
        <v>458</v>
      </c>
      <c r="Y3028" t="s">
        <v>459</v>
      </c>
      <c r="AF3028" t="s">
        <v>13</v>
      </c>
      <c r="AG3028" t="str">
        <f>HYPERLINK("https://doi.org/10.1515/9781474426626")</f>
        <v>https://doi.org/10.1515/9781474426626</v>
      </c>
      <c r="AH3028" t="str">
        <f>HYPERLINK("http://www.degruyter.com/isbn/9781474426626")</f>
        <v>http://www.degruyter.com/isbn/9781474426626</v>
      </c>
      <c r="AI3028" t="s">
        <v>13908</v>
      </c>
      <c r="AJ3028" t="s">
        <v>35</v>
      </c>
      <c r="AM3028">
        <v>1</v>
      </c>
      <c r="AN3028" s="2">
        <v>9781474426602</v>
      </c>
    </row>
    <row r="3029" spans="1:40" x14ac:dyDescent="0.3">
      <c r="A3029" t="s">
        <v>14270</v>
      </c>
      <c r="B3029" t="s">
        <v>1</v>
      </c>
      <c r="C3029" t="s">
        <v>14271</v>
      </c>
      <c r="E3029" t="s">
        <v>14272</v>
      </c>
      <c r="F3029" t="s">
        <v>5</v>
      </c>
      <c r="G3029" t="s">
        <v>6</v>
      </c>
      <c r="L3029" t="s">
        <v>7</v>
      </c>
      <c r="M3029">
        <v>2016</v>
      </c>
      <c r="N3029" s="1">
        <v>42410</v>
      </c>
      <c r="O3029" t="s">
        <v>545</v>
      </c>
      <c r="P3029">
        <v>1</v>
      </c>
      <c r="Q3029" t="s">
        <v>13309</v>
      </c>
      <c r="S3029">
        <v>417.95</v>
      </c>
      <c r="T3029">
        <v>480</v>
      </c>
      <c r="U3029">
        <v>370</v>
      </c>
      <c r="V3029" t="s">
        <v>98</v>
      </c>
      <c r="W3029" t="s">
        <v>1513</v>
      </c>
      <c r="X3029" t="s">
        <v>1514</v>
      </c>
      <c r="Y3029" t="s">
        <v>1515</v>
      </c>
      <c r="AF3029" t="s">
        <v>13</v>
      </c>
      <c r="AG3029" t="str">
        <f>HYPERLINK("https://doi.org/10.1515/9780748693405")</f>
        <v>https://doi.org/10.1515/9780748693405</v>
      </c>
      <c r="AH3029" t="str">
        <f>HYPERLINK("http://www.degruyter.com/isbn/9780748693405")</f>
        <v>http://www.degruyter.com/isbn/9780748693405</v>
      </c>
      <c r="AI3029" t="s">
        <v>180</v>
      </c>
      <c r="AL3029" t="s">
        <v>102</v>
      </c>
      <c r="AM3029">
        <v>1</v>
      </c>
      <c r="AN3029" s="2">
        <v>9780748693399</v>
      </c>
    </row>
    <row r="3030" spans="1:40" x14ac:dyDescent="0.3">
      <c r="A3030" t="s">
        <v>14273</v>
      </c>
      <c r="B3030" t="s">
        <v>1</v>
      </c>
      <c r="C3030" t="s">
        <v>14274</v>
      </c>
      <c r="D3030" t="s">
        <v>14275</v>
      </c>
      <c r="E3030" t="s">
        <v>14276</v>
      </c>
      <c r="F3030" t="s">
        <v>5</v>
      </c>
      <c r="G3030" t="s">
        <v>6</v>
      </c>
      <c r="L3030" t="s">
        <v>7</v>
      </c>
      <c r="M3030">
        <v>2018</v>
      </c>
      <c r="N3030" s="1">
        <v>44656</v>
      </c>
      <c r="O3030" t="s">
        <v>14277</v>
      </c>
      <c r="P3030">
        <v>1</v>
      </c>
      <c r="Q3030" t="s">
        <v>13628</v>
      </c>
      <c r="S3030">
        <v>227.95</v>
      </c>
      <c r="T3030">
        <v>260</v>
      </c>
      <c r="U3030">
        <v>200</v>
      </c>
      <c r="V3030" t="s">
        <v>42</v>
      </c>
      <c r="W3030" t="s">
        <v>43</v>
      </c>
      <c r="X3030" t="s">
        <v>178</v>
      </c>
      <c r="Y3030" t="s">
        <v>14278</v>
      </c>
      <c r="AF3030" t="s">
        <v>13</v>
      </c>
      <c r="AG3030" t="str">
        <f>HYPERLINK("https://doi.org/10.1515/9781474436854")</f>
        <v>https://doi.org/10.1515/9781474436854</v>
      </c>
      <c r="AH3030" t="str">
        <f>HYPERLINK("http://www.degruyter.com/isbn/9781474436854")</f>
        <v>http://www.degruyter.com/isbn/9781474436854</v>
      </c>
      <c r="AI3030" t="s">
        <v>46</v>
      </c>
      <c r="AL3030" t="s">
        <v>47</v>
      </c>
      <c r="AM3030">
        <v>1</v>
      </c>
      <c r="AN3030" s="2">
        <v>9781474436830</v>
      </c>
    </row>
    <row r="3031" spans="1:40" x14ac:dyDescent="0.3">
      <c r="A3031" t="s">
        <v>14279</v>
      </c>
      <c r="B3031" t="s">
        <v>1</v>
      </c>
      <c r="C3031" t="s">
        <v>14280</v>
      </c>
      <c r="E3031" t="s">
        <v>14281</v>
      </c>
      <c r="F3031" t="s">
        <v>5</v>
      </c>
      <c r="G3031" t="s">
        <v>6</v>
      </c>
      <c r="L3031" t="s">
        <v>7</v>
      </c>
      <c r="M3031">
        <v>2017</v>
      </c>
      <c r="N3031" s="1">
        <v>43087</v>
      </c>
      <c r="O3031" t="s">
        <v>14282</v>
      </c>
      <c r="P3031">
        <v>1</v>
      </c>
      <c r="Q3031" t="s">
        <v>13628</v>
      </c>
      <c r="S3031">
        <v>217.95</v>
      </c>
      <c r="T3031">
        <v>250</v>
      </c>
      <c r="U3031">
        <v>190</v>
      </c>
      <c r="V3031" t="s">
        <v>42</v>
      </c>
      <c r="W3031" t="s">
        <v>107</v>
      </c>
      <c r="X3031" t="s">
        <v>108</v>
      </c>
      <c r="Y3031" t="s">
        <v>221</v>
      </c>
      <c r="AF3031" t="s">
        <v>13</v>
      </c>
      <c r="AG3031" t="str">
        <f>HYPERLINK("https://doi.org/10.1515/9781474419635?locatt=mode:legacy")</f>
        <v>https://doi.org/10.1515/9781474419635?locatt=mode:legacy</v>
      </c>
      <c r="AH3031" t="str">
        <f>HYPERLINK("http://www.degruyter.com/isbn/9781474419635")</f>
        <v>http://www.degruyter.com/isbn/9781474419635</v>
      </c>
      <c r="AI3031" t="s">
        <v>222</v>
      </c>
      <c r="AL3031" t="s">
        <v>47</v>
      </c>
      <c r="AM3031">
        <v>1</v>
      </c>
      <c r="AN3031" s="2">
        <v>9781474419628</v>
      </c>
    </row>
    <row r="3032" spans="1:40" x14ac:dyDescent="0.3">
      <c r="A3032" t="s">
        <v>14283</v>
      </c>
      <c r="B3032" t="s">
        <v>1</v>
      </c>
      <c r="C3032" t="s">
        <v>14284</v>
      </c>
      <c r="E3032" t="s">
        <v>14285</v>
      </c>
      <c r="F3032" t="s">
        <v>5</v>
      </c>
      <c r="G3032" t="s">
        <v>6</v>
      </c>
      <c r="L3032" t="s">
        <v>7</v>
      </c>
      <c r="M3032">
        <v>2016</v>
      </c>
      <c r="N3032" s="1">
        <v>42569</v>
      </c>
      <c r="O3032" t="s">
        <v>14286</v>
      </c>
      <c r="P3032">
        <v>1</v>
      </c>
      <c r="Q3032" t="s">
        <v>14122</v>
      </c>
      <c r="S3032">
        <v>253.95</v>
      </c>
      <c r="T3032">
        <v>290</v>
      </c>
      <c r="U3032">
        <v>220</v>
      </c>
      <c r="V3032" t="s">
        <v>20</v>
      </c>
      <c r="W3032" t="s">
        <v>21</v>
      </c>
      <c r="X3032" t="s">
        <v>3919</v>
      </c>
      <c r="Y3032" t="s">
        <v>4359</v>
      </c>
      <c r="AF3032" t="s">
        <v>13</v>
      </c>
      <c r="AG3032" t="str">
        <f>HYPERLINK("https://doi.org/10.1515/9780748690893")</f>
        <v>https://doi.org/10.1515/9780748690893</v>
      </c>
      <c r="AH3032" t="str">
        <f>HYPERLINK("http://www.degruyter.com/isbn/9780748690893")</f>
        <v>http://www.degruyter.com/isbn/9780748690893</v>
      </c>
      <c r="AI3032" t="s">
        <v>180</v>
      </c>
      <c r="AL3032" t="s">
        <v>15</v>
      </c>
      <c r="AM3032">
        <v>1</v>
      </c>
      <c r="AN3032" s="2">
        <v>9780748690886</v>
      </c>
    </row>
    <row r="3033" spans="1:40" x14ac:dyDescent="0.3">
      <c r="A3033" t="s">
        <v>14287</v>
      </c>
      <c r="B3033" t="s">
        <v>1</v>
      </c>
      <c r="C3033" t="s">
        <v>14288</v>
      </c>
      <c r="D3033" t="s">
        <v>14289</v>
      </c>
      <c r="E3033" t="s">
        <v>14290</v>
      </c>
      <c r="F3033" t="s">
        <v>5</v>
      </c>
      <c r="G3033" t="s">
        <v>6</v>
      </c>
      <c r="L3033" t="s">
        <v>7</v>
      </c>
      <c r="M3033">
        <v>2018</v>
      </c>
      <c r="N3033" s="1">
        <v>44656</v>
      </c>
      <c r="O3033" t="s">
        <v>14291</v>
      </c>
      <c r="P3033">
        <v>1</v>
      </c>
      <c r="Q3033" t="s">
        <v>14065</v>
      </c>
      <c r="S3033">
        <v>217.95</v>
      </c>
      <c r="T3033">
        <v>250</v>
      </c>
      <c r="U3033">
        <v>190</v>
      </c>
      <c r="V3033" t="s">
        <v>42</v>
      </c>
      <c r="W3033" t="s">
        <v>107</v>
      </c>
      <c r="X3033" t="s">
        <v>108</v>
      </c>
      <c r="Y3033" t="s">
        <v>221</v>
      </c>
      <c r="AF3033" t="s">
        <v>13</v>
      </c>
      <c r="AG3033" t="str">
        <f>HYPERLINK("https://doi.org/10.1515/9781474424691")</f>
        <v>https://doi.org/10.1515/9781474424691</v>
      </c>
      <c r="AH3033" t="str">
        <f>HYPERLINK("http://www.degruyter.com/isbn/9781474424691")</f>
        <v>http://www.degruyter.com/isbn/9781474424691</v>
      </c>
      <c r="AI3033" t="s">
        <v>46</v>
      </c>
      <c r="AL3033" t="s">
        <v>47</v>
      </c>
      <c r="AM3033">
        <v>1</v>
      </c>
      <c r="AN3033" s="2">
        <v>9781474424684</v>
      </c>
    </row>
    <row r="3034" spans="1:40" x14ac:dyDescent="0.3">
      <c r="A3034" t="s">
        <v>14292</v>
      </c>
      <c r="B3034" t="s">
        <v>1</v>
      </c>
      <c r="C3034" t="s">
        <v>14293</v>
      </c>
      <c r="D3034" t="s">
        <v>14294</v>
      </c>
      <c r="E3034" t="s">
        <v>14295</v>
      </c>
      <c r="F3034" t="s">
        <v>5</v>
      </c>
      <c r="G3034" t="s">
        <v>6</v>
      </c>
      <c r="L3034" t="s">
        <v>7</v>
      </c>
      <c r="M3034">
        <v>2010</v>
      </c>
      <c r="N3034" s="1">
        <v>40456</v>
      </c>
      <c r="O3034" t="s">
        <v>14296</v>
      </c>
      <c r="P3034">
        <v>1</v>
      </c>
      <c r="Q3034" t="s">
        <v>13611</v>
      </c>
      <c r="S3034">
        <v>227.95</v>
      </c>
      <c r="T3034">
        <v>260</v>
      </c>
      <c r="U3034">
        <v>200</v>
      </c>
      <c r="V3034" t="s">
        <v>42</v>
      </c>
      <c r="W3034" t="s">
        <v>107</v>
      </c>
      <c r="X3034" t="s">
        <v>108</v>
      </c>
      <c r="Y3034" t="s">
        <v>109</v>
      </c>
      <c r="AF3034" t="s">
        <v>13</v>
      </c>
      <c r="AG3034" t="str">
        <f>HYPERLINK("https://doi.org/10.1515/9780748633968")</f>
        <v>https://doi.org/10.1515/9780748633968</v>
      </c>
      <c r="AH3034" t="str">
        <f>HYPERLINK("http://www.degruyter.com/isbn/9780748633968")</f>
        <v>http://www.degruyter.com/isbn/9780748633968</v>
      </c>
      <c r="AI3034" t="s">
        <v>68</v>
      </c>
      <c r="AL3034" t="s">
        <v>47</v>
      </c>
      <c r="AM3034">
        <v>1</v>
      </c>
      <c r="AN3034" s="2">
        <v>9780748633944</v>
      </c>
    </row>
    <row r="3035" spans="1:40" x14ac:dyDescent="0.3">
      <c r="A3035" t="s">
        <v>14297</v>
      </c>
      <c r="B3035" t="s">
        <v>1</v>
      </c>
      <c r="C3035" t="s">
        <v>14298</v>
      </c>
      <c r="D3035" t="s">
        <v>14299</v>
      </c>
      <c r="E3035" t="s">
        <v>14300</v>
      </c>
      <c r="F3035" t="s">
        <v>5</v>
      </c>
      <c r="G3035" t="s">
        <v>6</v>
      </c>
      <c r="L3035" t="s">
        <v>7</v>
      </c>
      <c r="M3035">
        <v>2018</v>
      </c>
      <c r="N3035" s="1">
        <v>44644</v>
      </c>
      <c r="O3035" t="s">
        <v>14301</v>
      </c>
      <c r="P3035">
        <v>1</v>
      </c>
      <c r="Q3035" t="s">
        <v>14060</v>
      </c>
      <c r="S3035">
        <v>253.95</v>
      </c>
      <c r="T3035">
        <v>290</v>
      </c>
      <c r="U3035">
        <v>220</v>
      </c>
      <c r="V3035" t="s">
        <v>98</v>
      </c>
      <c r="W3035" t="s">
        <v>99</v>
      </c>
      <c r="X3035" t="s">
        <v>386</v>
      </c>
      <c r="Y3035" t="s">
        <v>387</v>
      </c>
      <c r="AF3035" t="s">
        <v>13</v>
      </c>
      <c r="AG3035" t="str">
        <f>HYPERLINK("https://doi.org/10.1515/9780748682782")</f>
        <v>https://doi.org/10.1515/9780748682782</v>
      </c>
      <c r="AH3035" t="str">
        <f>HYPERLINK("http://www.degruyter.com/isbn/9780748682782")</f>
        <v>http://www.degruyter.com/isbn/9780748682782</v>
      </c>
      <c r="AI3035" t="s">
        <v>46</v>
      </c>
      <c r="AL3035" t="s">
        <v>102</v>
      </c>
      <c r="AM3035">
        <v>1</v>
      </c>
      <c r="AN3035" s="2">
        <v>9780748682768</v>
      </c>
    </row>
    <row r="3036" spans="1:40" x14ac:dyDescent="0.3">
      <c r="A3036" t="s">
        <v>14302</v>
      </c>
      <c r="B3036" t="s">
        <v>1</v>
      </c>
      <c r="C3036" t="s">
        <v>14303</v>
      </c>
      <c r="D3036" t="s">
        <v>14304</v>
      </c>
      <c r="E3036" t="s">
        <v>14305</v>
      </c>
      <c r="F3036" t="s">
        <v>5</v>
      </c>
      <c r="G3036" t="s">
        <v>6</v>
      </c>
      <c r="L3036" t="s">
        <v>7</v>
      </c>
      <c r="M3036">
        <v>2020</v>
      </c>
      <c r="N3036" s="1">
        <v>44644</v>
      </c>
      <c r="O3036" t="s">
        <v>14306</v>
      </c>
      <c r="P3036">
        <v>1</v>
      </c>
      <c r="Q3036" t="s">
        <v>14307</v>
      </c>
      <c r="S3036">
        <v>243.95</v>
      </c>
      <c r="T3036">
        <v>280</v>
      </c>
      <c r="U3036">
        <v>210</v>
      </c>
      <c r="V3036" t="s">
        <v>329</v>
      </c>
      <c r="W3036" t="s">
        <v>330</v>
      </c>
      <c r="X3036" t="s">
        <v>331</v>
      </c>
      <c r="Y3036" t="s">
        <v>332</v>
      </c>
      <c r="AF3036" t="s">
        <v>13</v>
      </c>
      <c r="AG3036" t="str">
        <f>HYPERLINK("https://doi.org/10.1515/9781474466448")</f>
        <v>https://doi.org/10.1515/9781474466448</v>
      </c>
      <c r="AH3036" t="str">
        <f>HYPERLINK("http://www.degruyter.com/isbn/9781474466448")</f>
        <v>http://www.degruyter.com/isbn/9781474466448</v>
      </c>
      <c r="AI3036" t="s">
        <v>14</v>
      </c>
      <c r="AL3036" t="s">
        <v>333</v>
      </c>
      <c r="AM3036">
        <v>1</v>
      </c>
      <c r="AN3036" s="2">
        <v>9781474466424</v>
      </c>
    </row>
    <row r="3037" spans="1:40" x14ac:dyDescent="0.3">
      <c r="A3037" t="s">
        <v>14308</v>
      </c>
      <c r="B3037" t="s">
        <v>1</v>
      </c>
      <c r="C3037" t="s">
        <v>14309</v>
      </c>
      <c r="D3037" t="s">
        <v>14310</v>
      </c>
      <c r="E3037" t="s">
        <v>14311</v>
      </c>
      <c r="F3037" t="s">
        <v>5</v>
      </c>
      <c r="G3037" t="s">
        <v>6</v>
      </c>
      <c r="L3037" t="s">
        <v>7</v>
      </c>
      <c r="M3037">
        <v>2015</v>
      </c>
      <c r="N3037" s="1">
        <v>42183</v>
      </c>
      <c r="O3037" t="s">
        <v>14312</v>
      </c>
      <c r="P3037">
        <v>1</v>
      </c>
      <c r="Q3037" t="s">
        <v>14175</v>
      </c>
      <c r="S3037">
        <v>217.95</v>
      </c>
      <c r="T3037">
        <v>250</v>
      </c>
      <c r="U3037">
        <v>190</v>
      </c>
      <c r="V3037" t="s">
        <v>329</v>
      </c>
      <c r="W3037" t="s">
        <v>330</v>
      </c>
      <c r="X3037" t="s">
        <v>331</v>
      </c>
      <c r="Y3037" t="s">
        <v>1035</v>
      </c>
      <c r="AF3037" t="s">
        <v>13</v>
      </c>
      <c r="AG3037" t="str">
        <f>HYPERLINK("https://doi.org/10.1515/9780748699094?locatt=mode:legacy")</f>
        <v>https://doi.org/10.1515/9780748699094?locatt=mode:legacy</v>
      </c>
      <c r="AH3037" t="str">
        <f>HYPERLINK("http://www.degruyter.com/isbn/9780748699094")</f>
        <v>http://www.degruyter.com/isbn/9780748699094</v>
      </c>
      <c r="AI3037" t="s">
        <v>34</v>
      </c>
      <c r="AL3037" t="s">
        <v>333</v>
      </c>
      <c r="AM3037">
        <v>1</v>
      </c>
      <c r="AN3037" s="2">
        <v>9780748699087</v>
      </c>
    </row>
    <row r="3038" spans="1:40" x14ac:dyDescent="0.3">
      <c r="A3038" t="s">
        <v>14313</v>
      </c>
      <c r="B3038" t="s">
        <v>1</v>
      </c>
      <c r="C3038" t="s">
        <v>14314</v>
      </c>
      <c r="E3038" t="s">
        <v>14315</v>
      </c>
      <c r="F3038" t="s">
        <v>5</v>
      </c>
      <c r="G3038" t="s">
        <v>6</v>
      </c>
      <c r="L3038" t="s">
        <v>7</v>
      </c>
      <c r="M3038">
        <v>2005</v>
      </c>
      <c r="N3038" s="1">
        <v>38553</v>
      </c>
      <c r="O3038" t="s">
        <v>14316</v>
      </c>
      <c r="P3038">
        <v>1</v>
      </c>
      <c r="Q3038" t="s">
        <v>12993</v>
      </c>
      <c r="S3038">
        <v>227.95</v>
      </c>
      <c r="T3038">
        <v>260</v>
      </c>
      <c r="U3038">
        <v>200</v>
      </c>
      <c r="V3038" t="s">
        <v>42</v>
      </c>
      <c r="W3038" t="s">
        <v>107</v>
      </c>
      <c r="X3038" t="s">
        <v>108</v>
      </c>
      <c r="Y3038" t="s">
        <v>109</v>
      </c>
      <c r="AF3038" t="s">
        <v>13</v>
      </c>
      <c r="AG3038" t="str">
        <f>HYPERLINK("https://doi.org/10.1515/9781474469210")</f>
        <v>https://doi.org/10.1515/9781474469210</v>
      </c>
      <c r="AH3038" t="str">
        <f>HYPERLINK("http://www.degruyter.com/isbn/9781474469210")</f>
        <v>http://www.degruyter.com/isbn/9781474469210</v>
      </c>
      <c r="AI3038" t="s">
        <v>68</v>
      </c>
      <c r="AL3038" t="s">
        <v>47</v>
      </c>
      <c r="AM3038">
        <v>1</v>
      </c>
      <c r="AN3038" s="2">
        <v>9780748618071</v>
      </c>
    </row>
    <row r="3039" spans="1:40" x14ac:dyDescent="0.3">
      <c r="A3039" t="s">
        <v>14317</v>
      </c>
      <c r="B3039" t="s">
        <v>1</v>
      </c>
      <c r="C3039" t="s">
        <v>14318</v>
      </c>
      <c r="E3039" t="s">
        <v>14319</v>
      </c>
      <c r="F3039" t="s">
        <v>5</v>
      </c>
      <c r="G3039" t="s">
        <v>6</v>
      </c>
      <c r="L3039" t="s">
        <v>7</v>
      </c>
      <c r="M3039">
        <v>2017</v>
      </c>
      <c r="N3039" s="1">
        <v>43047</v>
      </c>
      <c r="O3039" t="s">
        <v>14320</v>
      </c>
      <c r="P3039">
        <v>1</v>
      </c>
      <c r="Q3039" t="s">
        <v>13309</v>
      </c>
      <c r="S3039">
        <v>331.95</v>
      </c>
      <c r="T3039">
        <v>380</v>
      </c>
      <c r="U3039">
        <v>290</v>
      </c>
      <c r="V3039" t="s">
        <v>42</v>
      </c>
      <c r="W3039" t="s">
        <v>116</v>
      </c>
      <c r="X3039" t="s">
        <v>116</v>
      </c>
      <c r="Y3039" t="s">
        <v>117</v>
      </c>
      <c r="AF3039" t="s">
        <v>13</v>
      </c>
      <c r="AG3039" t="str">
        <f>HYPERLINK("https://doi.org/10.1515/9781474408929")</f>
        <v>https://doi.org/10.1515/9781474408929</v>
      </c>
      <c r="AH3039" t="str">
        <f>HYPERLINK("http://www.degruyter.com/isbn/9781474408929")</f>
        <v>http://www.degruyter.com/isbn/9781474408929</v>
      </c>
      <c r="AI3039" t="s">
        <v>222</v>
      </c>
      <c r="AL3039" t="s">
        <v>47</v>
      </c>
      <c r="AM3039">
        <v>1</v>
      </c>
      <c r="AN3039" s="2">
        <v>9781474408912</v>
      </c>
    </row>
    <row r="3040" spans="1:40" x14ac:dyDescent="0.3">
      <c r="A3040" t="s">
        <v>14321</v>
      </c>
      <c r="B3040" t="s">
        <v>1</v>
      </c>
      <c r="C3040" t="s">
        <v>14322</v>
      </c>
      <c r="D3040" t="s">
        <v>14323</v>
      </c>
      <c r="E3040" t="s">
        <v>14324</v>
      </c>
      <c r="F3040" t="s">
        <v>5</v>
      </c>
      <c r="G3040" t="s">
        <v>6</v>
      </c>
      <c r="L3040" t="s">
        <v>7</v>
      </c>
      <c r="M3040">
        <v>2019</v>
      </c>
      <c r="N3040" s="1">
        <v>44644</v>
      </c>
      <c r="O3040" t="s">
        <v>14325</v>
      </c>
      <c r="P3040">
        <v>1</v>
      </c>
      <c r="Q3040" t="s">
        <v>14122</v>
      </c>
      <c r="S3040">
        <v>217.95</v>
      </c>
      <c r="T3040">
        <v>250</v>
      </c>
      <c r="U3040">
        <v>190</v>
      </c>
      <c r="V3040" t="s">
        <v>20</v>
      </c>
      <c r="W3040" t="s">
        <v>21</v>
      </c>
      <c r="X3040" t="s">
        <v>458</v>
      </c>
      <c r="Y3040" t="s">
        <v>459</v>
      </c>
      <c r="AF3040" t="s">
        <v>13</v>
      </c>
      <c r="AG3040" t="str">
        <f>HYPERLINK("https://doi.org/10.1515/9781474439251?locatt=mode:legacy")</f>
        <v>https://doi.org/10.1515/9781474439251?locatt=mode:legacy</v>
      </c>
      <c r="AH3040" t="str">
        <f>HYPERLINK("http://www.degruyter.com/isbn/9781474439251")</f>
        <v>http://www.degruyter.com/isbn/9781474439251</v>
      </c>
      <c r="AI3040" t="s">
        <v>280</v>
      </c>
      <c r="AJ3040" t="s">
        <v>35</v>
      </c>
      <c r="AL3040" t="s">
        <v>1346</v>
      </c>
      <c r="AM3040">
        <v>1</v>
      </c>
      <c r="AN3040" s="2">
        <v>9781474439237</v>
      </c>
    </row>
    <row r="3041" spans="1:40" x14ac:dyDescent="0.3">
      <c r="A3041" t="s">
        <v>14326</v>
      </c>
      <c r="B3041" t="s">
        <v>1</v>
      </c>
      <c r="C3041" t="s">
        <v>14327</v>
      </c>
      <c r="D3041" t="s">
        <v>14328</v>
      </c>
      <c r="E3041" t="s">
        <v>14329</v>
      </c>
      <c r="F3041" t="s">
        <v>5</v>
      </c>
      <c r="G3041" t="s">
        <v>6</v>
      </c>
      <c r="L3041" t="s">
        <v>7</v>
      </c>
      <c r="M3041">
        <v>2013</v>
      </c>
      <c r="N3041" s="1">
        <v>41527</v>
      </c>
      <c r="O3041" t="s">
        <v>1601</v>
      </c>
      <c r="P3041">
        <v>1</v>
      </c>
      <c r="Q3041" t="s">
        <v>13611</v>
      </c>
      <c r="S3041">
        <v>217.95</v>
      </c>
      <c r="T3041">
        <v>250</v>
      </c>
      <c r="U3041">
        <v>190</v>
      </c>
      <c r="V3041" t="s">
        <v>42</v>
      </c>
      <c r="W3041" t="s">
        <v>107</v>
      </c>
      <c r="X3041" t="s">
        <v>108</v>
      </c>
      <c r="Y3041" t="s">
        <v>109</v>
      </c>
      <c r="AF3041" t="s">
        <v>13</v>
      </c>
      <c r="AG3041" t="str">
        <f>HYPERLINK("https://doi.org/10.1515/9780748631513")</f>
        <v>https://doi.org/10.1515/9780748631513</v>
      </c>
      <c r="AH3041" t="str">
        <f>HYPERLINK("http://www.degruyter.com/isbn/9780748631513")</f>
        <v>http://www.degruyter.com/isbn/9780748631513</v>
      </c>
      <c r="AI3041" t="s">
        <v>68</v>
      </c>
      <c r="AL3041" t="s">
        <v>47</v>
      </c>
      <c r="AM3041">
        <v>1</v>
      </c>
      <c r="AN3041" s="2">
        <v>9780748627448</v>
      </c>
    </row>
    <row r="3042" spans="1:40" x14ac:dyDescent="0.3">
      <c r="A3042" t="s">
        <v>14330</v>
      </c>
      <c r="B3042" t="s">
        <v>1</v>
      </c>
      <c r="C3042" t="s">
        <v>14331</v>
      </c>
      <c r="E3042" t="s">
        <v>14332</v>
      </c>
      <c r="F3042" t="s">
        <v>5</v>
      </c>
      <c r="G3042" t="s">
        <v>6</v>
      </c>
      <c r="L3042" t="s">
        <v>7</v>
      </c>
      <c r="M3042">
        <v>2018</v>
      </c>
      <c r="N3042" s="1">
        <v>44656</v>
      </c>
      <c r="O3042" t="s">
        <v>14333</v>
      </c>
      <c r="P3042">
        <v>1</v>
      </c>
      <c r="Q3042" t="s">
        <v>13309</v>
      </c>
      <c r="S3042">
        <v>417.95</v>
      </c>
      <c r="T3042">
        <v>480</v>
      </c>
      <c r="U3042">
        <v>370</v>
      </c>
      <c r="V3042" t="s">
        <v>42</v>
      </c>
      <c r="W3042" t="s">
        <v>116</v>
      </c>
      <c r="X3042" t="s">
        <v>116</v>
      </c>
      <c r="Y3042" t="s">
        <v>117</v>
      </c>
      <c r="AF3042" t="s">
        <v>13</v>
      </c>
      <c r="AG3042" t="str">
        <f>HYPERLINK("https://doi.org/10.1515/9781474400664")</f>
        <v>https://doi.org/10.1515/9781474400664</v>
      </c>
      <c r="AH3042" t="str">
        <f>HYPERLINK("http://www.degruyter.com/isbn/9781474400664")</f>
        <v>http://www.degruyter.com/isbn/9781474400664</v>
      </c>
      <c r="AI3042" t="s">
        <v>46</v>
      </c>
      <c r="AL3042" t="s">
        <v>47</v>
      </c>
      <c r="AM3042">
        <v>1</v>
      </c>
      <c r="AN3042" s="2">
        <v>9781474400657</v>
      </c>
    </row>
    <row r="3043" spans="1:40" x14ac:dyDescent="0.3">
      <c r="A3043" t="s">
        <v>14334</v>
      </c>
      <c r="B3043" t="s">
        <v>1</v>
      </c>
      <c r="C3043" t="s">
        <v>14335</v>
      </c>
      <c r="E3043" t="s">
        <v>14336</v>
      </c>
      <c r="F3043" t="s">
        <v>5</v>
      </c>
      <c r="G3043" t="s">
        <v>6</v>
      </c>
      <c r="L3043" t="s">
        <v>7</v>
      </c>
      <c r="M3043">
        <v>2021</v>
      </c>
      <c r="N3043" s="1">
        <v>44644</v>
      </c>
      <c r="O3043" t="s">
        <v>14337</v>
      </c>
      <c r="P3043">
        <v>1</v>
      </c>
      <c r="Q3043" t="s">
        <v>14159</v>
      </c>
      <c r="S3043">
        <v>243.95</v>
      </c>
      <c r="T3043">
        <v>280</v>
      </c>
      <c r="U3043">
        <v>210</v>
      </c>
      <c r="V3043" t="s">
        <v>20</v>
      </c>
      <c r="W3043" t="s">
        <v>21</v>
      </c>
      <c r="X3043" t="s">
        <v>458</v>
      </c>
      <c r="Y3043" t="s">
        <v>459</v>
      </c>
      <c r="AF3043" t="s">
        <v>13</v>
      </c>
      <c r="AG3043" t="str">
        <f>HYPERLINK("https://doi.org/10.1515/9781474485531")</f>
        <v>https://doi.org/10.1515/9781474485531</v>
      </c>
      <c r="AH3043" t="str">
        <f>HYPERLINK("http://www.degruyter.com/isbn/9781474485531")</f>
        <v>http://www.degruyter.com/isbn/9781474485531</v>
      </c>
      <c r="AI3043" t="s">
        <v>559</v>
      </c>
      <c r="AL3043" t="s">
        <v>15</v>
      </c>
      <c r="AM3043">
        <v>1</v>
      </c>
      <c r="AN3043" s="2">
        <v>9781474485500</v>
      </c>
    </row>
    <row r="3044" spans="1:40" x14ac:dyDescent="0.3">
      <c r="A3044" t="s">
        <v>14338</v>
      </c>
      <c r="B3044" t="s">
        <v>1</v>
      </c>
      <c r="C3044" t="s">
        <v>14339</v>
      </c>
      <c r="E3044" t="s">
        <v>14340</v>
      </c>
      <c r="F3044" t="s">
        <v>5</v>
      </c>
      <c r="G3044" t="s">
        <v>6</v>
      </c>
      <c r="L3044" t="s">
        <v>7</v>
      </c>
      <c r="M3044">
        <v>2014</v>
      </c>
      <c r="N3044" s="1">
        <v>41677</v>
      </c>
      <c r="O3044" t="s">
        <v>1075</v>
      </c>
      <c r="P3044">
        <v>1</v>
      </c>
      <c r="Q3044" t="s">
        <v>13309</v>
      </c>
      <c r="S3044">
        <v>417.95</v>
      </c>
      <c r="T3044">
        <v>480</v>
      </c>
      <c r="U3044">
        <v>370</v>
      </c>
      <c r="V3044" t="s">
        <v>42</v>
      </c>
      <c r="W3044" t="s">
        <v>107</v>
      </c>
      <c r="X3044" t="s">
        <v>108</v>
      </c>
      <c r="Y3044" t="s">
        <v>952</v>
      </c>
      <c r="AF3044" t="s">
        <v>13</v>
      </c>
      <c r="AG3044" t="str">
        <f>HYPERLINK("https://doi.org/10.1515/9780748675692")</f>
        <v>https://doi.org/10.1515/9780748675692</v>
      </c>
      <c r="AH3044" t="str">
        <f>HYPERLINK("http://www.degruyter.com/isbn/9780748675692")</f>
        <v>http://www.degruyter.com/isbn/9780748675692</v>
      </c>
      <c r="AI3044" t="s">
        <v>34</v>
      </c>
      <c r="AL3044" t="s">
        <v>47</v>
      </c>
      <c r="AM3044">
        <v>1</v>
      </c>
      <c r="AN3044" s="2">
        <v>9780748675685</v>
      </c>
    </row>
    <row r="3045" spans="1:40" x14ac:dyDescent="0.3">
      <c r="A3045" t="s">
        <v>14341</v>
      </c>
      <c r="B3045" t="s">
        <v>1</v>
      </c>
      <c r="C3045" t="s">
        <v>14342</v>
      </c>
      <c r="D3045" t="s">
        <v>14343</v>
      </c>
      <c r="E3045" t="s">
        <v>14344</v>
      </c>
      <c r="F3045" t="s">
        <v>5</v>
      </c>
      <c r="G3045" t="s">
        <v>6</v>
      </c>
      <c r="L3045" t="s">
        <v>7</v>
      </c>
      <c r="M3045">
        <v>2018</v>
      </c>
      <c r="N3045" s="1">
        <v>44656</v>
      </c>
      <c r="O3045" t="s">
        <v>14345</v>
      </c>
      <c r="P3045">
        <v>1</v>
      </c>
      <c r="Q3045" t="s">
        <v>13361</v>
      </c>
      <c r="S3045">
        <v>217.95</v>
      </c>
      <c r="T3045">
        <v>250</v>
      </c>
      <c r="U3045">
        <v>190</v>
      </c>
      <c r="V3045" t="s">
        <v>42</v>
      </c>
      <c r="W3045" t="s">
        <v>43</v>
      </c>
      <c r="X3045" t="s">
        <v>178</v>
      </c>
      <c r="Y3045" t="s">
        <v>4382</v>
      </c>
      <c r="AF3045" t="s">
        <v>13</v>
      </c>
      <c r="AG3045" t="str">
        <f>HYPERLINK("https://doi.org/10.1515/9781474417341?locatt=mode:legacy")</f>
        <v>https://doi.org/10.1515/9781474417341?locatt=mode:legacy</v>
      </c>
      <c r="AH3045" t="str">
        <f>HYPERLINK("http://www.degruyter.com/isbn/9781474417341")</f>
        <v>http://www.degruyter.com/isbn/9781474417341</v>
      </c>
      <c r="AI3045" t="s">
        <v>46</v>
      </c>
      <c r="AL3045" t="s">
        <v>47</v>
      </c>
      <c r="AM3045">
        <v>1</v>
      </c>
      <c r="AN3045" s="2">
        <v>9781474417334</v>
      </c>
    </row>
    <row r="3046" spans="1:40" x14ac:dyDescent="0.3">
      <c r="A3046" t="s">
        <v>14346</v>
      </c>
      <c r="B3046" t="s">
        <v>1</v>
      </c>
      <c r="C3046" t="s">
        <v>14347</v>
      </c>
      <c r="D3046" t="s">
        <v>14348</v>
      </c>
      <c r="E3046" t="s">
        <v>14349</v>
      </c>
      <c r="F3046" t="s">
        <v>5</v>
      </c>
      <c r="G3046" t="s">
        <v>6</v>
      </c>
      <c r="L3046" t="s">
        <v>7</v>
      </c>
      <c r="M3046">
        <v>2021</v>
      </c>
      <c r="N3046" s="1">
        <v>44672</v>
      </c>
      <c r="O3046" t="s">
        <v>14350</v>
      </c>
      <c r="P3046">
        <v>1</v>
      </c>
      <c r="S3046">
        <v>217.95</v>
      </c>
      <c r="T3046">
        <v>250</v>
      </c>
      <c r="U3046">
        <v>190</v>
      </c>
      <c r="V3046" t="s">
        <v>9</v>
      </c>
      <c r="W3046" t="s">
        <v>10</v>
      </c>
      <c r="X3046" t="s">
        <v>11</v>
      </c>
      <c r="Y3046" t="s">
        <v>52</v>
      </c>
      <c r="AF3046" t="s">
        <v>13</v>
      </c>
      <c r="AG3046" t="str">
        <f>HYPERLINK("https://doi.org/10.1515/9781474436977")</f>
        <v>https://doi.org/10.1515/9781474436977</v>
      </c>
      <c r="AH3046" t="str">
        <f>HYPERLINK("http://www.degruyter.com/isbn/9781474436977")</f>
        <v>http://www.degruyter.com/isbn/9781474436977</v>
      </c>
      <c r="AI3046" t="s">
        <v>908</v>
      </c>
      <c r="AL3046" t="s">
        <v>15</v>
      </c>
      <c r="AM3046">
        <v>1</v>
      </c>
      <c r="AN3046" s="2">
        <v>9781474436953</v>
      </c>
    </row>
    <row r="3047" spans="1:40" x14ac:dyDescent="0.3">
      <c r="A3047" t="s">
        <v>14351</v>
      </c>
      <c r="B3047" t="s">
        <v>1</v>
      </c>
      <c r="C3047" t="s">
        <v>14352</v>
      </c>
      <c r="E3047" t="s">
        <v>14353</v>
      </c>
      <c r="F3047" t="s">
        <v>5</v>
      </c>
      <c r="G3047" t="s">
        <v>6</v>
      </c>
      <c r="L3047" t="s">
        <v>7</v>
      </c>
      <c r="M3047">
        <v>2021</v>
      </c>
      <c r="N3047" s="1">
        <v>44672</v>
      </c>
      <c r="O3047" t="s">
        <v>14354</v>
      </c>
      <c r="P3047">
        <v>1</v>
      </c>
      <c r="S3047">
        <v>217.95</v>
      </c>
      <c r="T3047">
        <v>250</v>
      </c>
      <c r="U3047">
        <v>190</v>
      </c>
      <c r="V3047" t="s">
        <v>9</v>
      </c>
      <c r="W3047" t="s">
        <v>10</v>
      </c>
      <c r="X3047" t="s">
        <v>11</v>
      </c>
      <c r="Y3047" t="s">
        <v>52</v>
      </c>
      <c r="AF3047" t="s">
        <v>13</v>
      </c>
      <c r="AG3047" t="str">
        <f>HYPERLINK("https://doi.org/10.1515/9781474479776")</f>
        <v>https://doi.org/10.1515/9781474479776</v>
      </c>
      <c r="AH3047" t="str">
        <f>HYPERLINK("http://www.degruyter.com/isbn/9781474479776")</f>
        <v>http://www.degruyter.com/isbn/9781474479776</v>
      </c>
      <c r="AI3047" t="s">
        <v>908</v>
      </c>
      <c r="AL3047" t="s">
        <v>15</v>
      </c>
      <c r="AM3047">
        <v>1</v>
      </c>
      <c r="AN3047" s="2">
        <v>9781474479752</v>
      </c>
    </row>
    <row r="3048" spans="1:40" x14ac:dyDescent="0.3">
      <c r="A3048" t="s">
        <v>14355</v>
      </c>
      <c r="B3048" t="s">
        <v>1</v>
      </c>
      <c r="C3048" t="s">
        <v>14356</v>
      </c>
      <c r="D3048" t="s">
        <v>14357</v>
      </c>
      <c r="E3048" t="s">
        <v>14358</v>
      </c>
      <c r="F3048" t="s">
        <v>5</v>
      </c>
      <c r="G3048" t="s">
        <v>6</v>
      </c>
      <c r="L3048" t="s">
        <v>7</v>
      </c>
      <c r="M3048">
        <v>2021</v>
      </c>
      <c r="N3048" s="1">
        <v>44672</v>
      </c>
      <c r="O3048" t="s">
        <v>14359</v>
      </c>
      <c r="P3048">
        <v>1</v>
      </c>
      <c r="S3048">
        <v>217.95</v>
      </c>
      <c r="T3048">
        <v>250</v>
      </c>
      <c r="U3048">
        <v>190</v>
      </c>
      <c r="V3048" t="s">
        <v>42</v>
      </c>
      <c r="W3048" t="s">
        <v>161</v>
      </c>
      <c r="X3048" t="s">
        <v>162</v>
      </c>
      <c r="Y3048" t="s">
        <v>7053</v>
      </c>
      <c r="AF3048" t="s">
        <v>13</v>
      </c>
      <c r="AG3048" t="str">
        <f>HYPERLINK("https://doi.org/10.1515/9781474448765")</f>
        <v>https://doi.org/10.1515/9781474448765</v>
      </c>
      <c r="AH3048" t="str">
        <f>HYPERLINK("http://www.degruyter.com/isbn/9781474448765")</f>
        <v>http://www.degruyter.com/isbn/9781474448765</v>
      </c>
      <c r="AI3048" t="s">
        <v>110</v>
      </c>
      <c r="AL3048" t="s">
        <v>47</v>
      </c>
      <c r="AM3048">
        <v>1</v>
      </c>
      <c r="AN3048" s="2">
        <v>9781474448741</v>
      </c>
    </row>
    <row r="3049" spans="1:40" x14ac:dyDescent="0.3">
      <c r="A3049" t="s">
        <v>14360</v>
      </c>
      <c r="B3049" t="s">
        <v>1</v>
      </c>
      <c r="C3049" t="s">
        <v>14361</v>
      </c>
      <c r="E3049" t="s">
        <v>14362</v>
      </c>
      <c r="F3049" t="s">
        <v>5</v>
      </c>
      <c r="G3049" t="s">
        <v>6</v>
      </c>
      <c r="L3049" t="s">
        <v>7</v>
      </c>
      <c r="M3049">
        <v>2014</v>
      </c>
      <c r="N3049" s="1">
        <v>41757</v>
      </c>
      <c r="O3049" t="s">
        <v>14363</v>
      </c>
      <c r="P3049">
        <v>1</v>
      </c>
      <c r="Q3049" t="s">
        <v>13595</v>
      </c>
      <c r="S3049">
        <v>217.95</v>
      </c>
      <c r="T3049">
        <v>250</v>
      </c>
      <c r="U3049">
        <v>190</v>
      </c>
      <c r="V3049" t="s">
        <v>42</v>
      </c>
      <c r="W3049" t="s">
        <v>107</v>
      </c>
      <c r="X3049" t="s">
        <v>108</v>
      </c>
      <c r="Y3049" t="s">
        <v>109</v>
      </c>
      <c r="AF3049" t="s">
        <v>13</v>
      </c>
      <c r="AG3049" t="str">
        <f>HYPERLINK("https://doi.org/10.1515/9780748645244")</f>
        <v>https://doi.org/10.1515/9780748645244</v>
      </c>
      <c r="AH3049" t="str">
        <f>HYPERLINK("http://www.degruyter.com/isbn/9780748645244")</f>
        <v>http://www.degruyter.com/isbn/9780748645244</v>
      </c>
      <c r="AI3049" t="s">
        <v>34</v>
      </c>
      <c r="AL3049" t="s">
        <v>47</v>
      </c>
      <c r="AM3049">
        <v>1</v>
      </c>
      <c r="AN3049" s="2">
        <v>9780748645237</v>
      </c>
    </row>
    <row r="3050" spans="1:40" x14ac:dyDescent="0.3">
      <c r="A3050" t="s">
        <v>14364</v>
      </c>
      <c r="B3050" t="s">
        <v>1</v>
      </c>
      <c r="C3050" t="s">
        <v>14365</v>
      </c>
      <c r="D3050" t="s">
        <v>14366</v>
      </c>
      <c r="E3050" t="s">
        <v>14367</v>
      </c>
      <c r="F3050" t="s">
        <v>5</v>
      </c>
      <c r="G3050" t="s">
        <v>6</v>
      </c>
      <c r="L3050" t="s">
        <v>7</v>
      </c>
      <c r="M3050">
        <v>2016</v>
      </c>
      <c r="N3050" s="1">
        <v>42632</v>
      </c>
      <c r="O3050" t="s">
        <v>14368</v>
      </c>
      <c r="P3050">
        <v>1</v>
      </c>
      <c r="Q3050" t="s">
        <v>14175</v>
      </c>
      <c r="S3050">
        <v>217.95</v>
      </c>
      <c r="T3050">
        <v>250</v>
      </c>
      <c r="U3050">
        <v>190</v>
      </c>
      <c r="V3050" t="s">
        <v>98</v>
      </c>
      <c r="W3050" t="s">
        <v>99</v>
      </c>
      <c r="X3050" t="s">
        <v>100</v>
      </c>
      <c r="Y3050" t="s">
        <v>4420</v>
      </c>
      <c r="AF3050" t="s">
        <v>13</v>
      </c>
      <c r="AG3050" t="str">
        <f>HYPERLINK("https://doi.org/10.1515/9781474400183?locatt=mode:legacy")</f>
        <v>https://doi.org/10.1515/9781474400183?locatt=mode:legacy</v>
      </c>
      <c r="AH3050" t="str">
        <f>HYPERLINK("http://www.degruyter.com/isbn/9781474400183")</f>
        <v>http://www.degruyter.com/isbn/9781474400183</v>
      </c>
      <c r="AI3050" t="s">
        <v>180</v>
      </c>
      <c r="AL3050" t="s">
        <v>102</v>
      </c>
      <c r="AM3050">
        <v>1</v>
      </c>
      <c r="AN3050" s="2">
        <v>9781474400176</v>
      </c>
    </row>
    <row r="3051" spans="1:40" x14ac:dyDescent="0.3">
      <c r="A3051" t="s">
        <v>14369</v>
      </c>
      <c r="B3051" t="s">
        <v>1</v>
      </c>
      <c r="C3051" t="s">
        <v>14370</v>
      </c>
      <c r="D3051" t="s">
        <v>14371</v>
      </c>
      <c r="E3051" t="s">
        <v>14372</v>
      </c>
      <c r="F3051" t="s">
        <v>5</v>
      </c>
      <c r="G3051" t="s">
        <v>6</v>
      </c>
      <c r="L3051" t="s">
        <v>7</v>
      </c>
      <c r="M3051">
        <v>2021</v>
      </c>
      <c r="N3051" s="1">
        <v>44672</v>
      </c>
      <c r="O3051" t="s">
        <v>14373</v>
      </c>
      <c r="P3051">
        <v>1</v>
      </c>
      <c r="S3051">
        <v>217.95</v>
      </c>
      <c r="T3051">
        <v>250</v>
      </c>
      <c r="U3051">
        <v>190</v>
      </c>
      <c r="V3051" t="s">
        <v>20</v>
      </c>
      <c r="W3051" t="s">
        <v>21</v>
      </c>
      <c r="X3051" t="s">
        <v>22</v>
      </c>
      <c r="Y3051" t="s">
        <v>23</v>
      </c>
      <c r="AF3051" t="s">
        <v>13</v>
      </c>
      <c r="AG3051" t="str">
        <f>HYPERLINK("https://doi.org/10.1515/9781474482288")</f>
        <v>https://doi.org/10.1515/9781474482288</v>
      </c>
      <c r="AH3051" t="str">
        <f>HYPERLINK("http://www.degruyter.com/isbn/9781474482288")</f>
        <v>http://www.degruyter.com/isbn/9781474482288</v>
      </c>
      <c r="AI3051" t="s">
        <v>473</v>
      </c>
      <c r="AL3051" t="s">
        <v>15</v>
      </c>
      <c r="AM3051">
        <v>1</v>
      </c>
      <c r="AN3051" s="2">
        <v>9781474482264</v>
      </c>
    </row>
    <row r="3052" spans="1:40" x14ac:dyDescent="0.3">
      <c r="A3052" t="s">
        <v>14374</v>
      </c>
      <c r="B3052" t="s">
        <v>1</v>
      </c>
      <c r="C3052" t="s">
        <v>14375</v>
      </c>
      <c r="E3052" t="s">
        <v>14376</v>
      </c>
      <c r="F3052" t="s">
        <v>5</v>
      </c>
      <c r="G3052" t="s">
        <v>6</v>
      </c>
      <c r="L3052" t="s">
        <v>7</v>
      </c>
      <c r="M3052">
        <v>2018</v>
      </c>
      <c r="N3052" s="1">
        <v>44656</v>
      </c>
      <c r="O3052" t="s">
        <v>14377</v>
      </c>
      <c r="P3052">
        <v>1</v>
      </c>
      <c r="Q3052" t="s">
        <v>13309</v>
      </c>
      <c r="S3052">
        <v>417.95</v>
      </c>
      <c r="T3052">
        <v>480</v>
      </c>
      <c r="U3052">
        <v>370</v>
      </c>
      <c r="V3052" t="s">
        <v>20</v>
      </c>
      <c r="W3052" t="s">
        <v>21</v>
      </c>
      <c r="X3052" t="s">
        <v>458</v>
      </c>
      <c r="Y3052" t="s">
        <v>459</v>
      </c>
      <c r="AF3052" t="s">
        <v>13</v>
      </c>
      <c r="AG3052" t="str">
        <f>HYPERLINK("https://doi.org/10.1515/9781474427708")</f>
        <v>https://doi.org/10.1515/9781474427708</v>
      </c>
      <c r="AH3052" t="str">
        <f>HYPERLINK("http://www.degruyter.com/isbn/9781474427708")</f>
        <v>http://www.degruyter.com/isbn/9781474427708</v>
      </c>
      <c r="AI3052" t="s">
        <v>46</v>
      </c>
      <c r="AJ3052" t="s">
        <v>35</v>
      </c>
      <c r="AL3052" t="s">
        <v>1346</v>
      </c>
      <c r="AM3052">
        <v>1</v>
      </c>
      <c r="AN3052" s="2">
        <v>9781474427685</v>
      </c>
    </row>
    <row r="3053" spans="1:40" x14ac:dyDescent="0.3">
      <c r="A3053" t="s">
        <v>14378</v>
      </c>
      <c r="B3053" t="s">
        <v>1</v>
      </c>
      <c r="C3053" t="s">
        <v>14379</v>
      </c>
      <c r="D3053" t="s">
        <v>14380</v>
      </c>
      <c r="E3053" t="s">
        <v>14381</v>
      </c>
      <c r="F3053" t="s">
        <v>5</v>
      </c>
      <c r="G3053" t="s">
        <v>6</v>
      </c>
      <c r="L3053" t="s">
        <v>7</v>
      </c>
      <c r="M3053">
        <v>2017</v>
      </c>
      <c r="N3053" s="1">
        <v>42780</v>
      </c>
      <c r="O3053" t="s">
        <v>14382</v>
      </c>
      <c r="P3053">
        <v>1</v>
      </c>
      <c r="Q3053" t="s">
        <v>14383</v>
      </c>
      <c r="S3053">
        <v>417.95</v>
      </c>
      <c r="T3053">
        <v>480</v>
      </c>
      <c r="U3053">
        <v>370</v>
      </c>
      <c r="V3053" t="s">
        <v>79</v>
      </c>
      <c r="W3053" t="s">
        <v>734</v>
      </c>
      <c r="X3053" t="s">
        <v>734</v>
      </c>
      <c r="Y3053" t="s">
        <v>735</v>
      </c>
      <c r="AF3053" t="s">
        <v>13</v>
      </c>
      <c r="AG3053" t="str">
        <f>HYPERLINK("https://doi.org/10.1515/9781474401852")</f>
        <v>https://doi.org/10.1515/9781474401852</v>
      </c>
      <c r="AH3053" t="str">
        <f>HYPERLINK("http://www.degruyter.com/isbn/9781474401852")</f>
        <v>http://www.degruyter.com/isbn/9781474401852</v>
      </c>
      <c r="AI3053" t="s">
        <v>222</v>
      </c>
      <c r="AL3053" t="s">
        <v>83</v>
      </c>
      <c r="AM3053">
        <v>1</v>
      </c>
      <c r="AN3053" s="2">
        <v>9781474401845</v>
      </c>
    </row>
    <row r="3054" spans="1:40" x14ac:dyDescent="0.3">
      <c r="A3054" t="s">
        <v>14384</v>
      </c>
      <c r="B3054" t="s">
        <v>1</v>
      </c>
      <c r="C3054" t="s">
        <v>14385</v>
      </c>
      <c r="D3054" t="s">
        <v>14386</v>
      </c>
      <c r="E3054" t="s">
        <v>14387</v>
      </c>
      <c r="F3054" t="s">
        <v>5</v>
      </c>
      <c r="G3054" t="s">
        <v>6</v>
      </c>
      <c r="K3054" t="s">
        <v>923</v>
      </c>
      <c r="L3054" t="s">
        <v>7</v>
      </c>
      <c r="M3054">
        <v>2019</v>
      </c>
      <c r="N3054" s="1">
        <v>43770</v>
      </c>
      <c r="O3054" t="s">
        <v>5522</v>
      </c>
      <c r="P3054">
        <v>1</v>
      </c>
      <c r="Q3054" t="s">
        <v>13460</v>
      </c>
      <c r="V3054" t="s">
        <v>20</v>
      </c>
      <c r="W3054" t="s">
        <v>470</v>
      </c>
      <c r="X3054" t="s">
        <v>471</v>
      </c>
      <c r="Y3054" t="s">
        <v>472</v>
      </c>
      <c r="AF3054" t="s">
        <v>13</v>
      </c>
      <c r="AG3054" t="str">
        <f>HYPERLINK("https://doi.org/10.1515/9781474451598?locatt=mode:legacy")</f>
        <v>https://doi.org/10.1515/9781474451598?locatt=mode:legacy</v>
      </c>
      <c r="AH3054" t="str">
        <f>HYPERLINK("http://www.degruyter.com/isbn/9781474451598")</f>
        <v>http://www.degruyter.com/isbn/9781474451598</v>
      </c>
      <c r="AI3054" t="s">
        <v>280</v>
      </c>
      <c r="AM3054">
        <v>1</v>
      </c>
      <c r="AN3054" s="2"/>
    </row>
    <row r="3055" spans="1:40" x14ac:dyDescent="0.3">
      <c r="A3055" t="s">
        <v>14388</v>
      </c>
      <c r="B3055" t="s">
        <v>1</v>
      </c>
      <c r="C3055" t="s">
        <v>14389</v>
      </c>
      <c r="D3055" t="s">
        <v>14390</v>
      </c>
      <c r="E3055" t="s">
        <v>14391</v>
      </c>
      <c r="F3055" t="s">
        <v>5</v>
      </c>
      <c r="G3055" t="s">
        <v>6</v>
      </c>
      <c r="L3055" t="s">
        <v>7</v>
      </c>
      <c r="M3055">
        <v>2014</v>
      </c>
      <c r="N3055" s="1">
        <v>41982</v>
      </c>
      <c r="O3055" t="s">
        <v>14392</v>
      </c>
      <c r="P3055">
        <v>1</v>
      </c>
      <c r="Q3055" t="s">
        <v>13460</v>
      </c>
      <c r="S3055">
        <v>243.95</v>
      </c>
      <c r="T3055">
        <v>280</v>
      </c>
      <c r="U3055">
        <v>210</v>
      </c>
      <c r="V3055" t="s">
        <v>329</v>
      </c>
      <c r="W3055" t="s">
        <v>4080</v>
      </c>
      <c r="X3055" t="s">
        <v>4080</v>
      </c>
      <c r="Y3055" t="s">
        <v>4081</v>
      </c>
      <c r="AF3055" t="s">
        <v>13</v>
      </c>
      <c r="AG3055" t="str">
        <f>HYPERLINK("https://doi.org/10.1515/9780748696932?locatt=mode:legacy")</f>
        <v>https://doi.org/10.1515/9780748696932?locatt=mode:legacy</v>
      </c>
      <c r="AH3055" t="str">
        <f>HYPERLINK("http://www.degruyter.com/isbn/9780748696932")</f>
        <v>http://www.degruyter.com/isbn/9780748696932</v>
      </c>
      <c r="AI3055" t="s">
        <v>34</v>
      </c>
      <c r="AL3055" t="s">
        <v>333</v>
      </c>
      <c r="AM3055">
        <v>1</v>
      </c>
      <c r="AN3055" s="2">
        <v>9780748696925</v>
      </c>
    </row>
    <row r="3056" spans="1:40" x14ac:dyDescent="0.3">
      <c r="A3056" t="s">
        <v>14393</v>
      </c>
      <c r="B3056" t="s">
        <v>1</v>
      </c>
      <c r="C3056" t="s">
        <v>14394</v>
      </c>
      <c r="E3056" t="s">
        <v>14395</v>
      </c>
      <c r="F3056" t="s">
        <v>5</v>
      </c>
      <c r="G3056" t="s">
        <v>6</v>
      </c>
      <c r="L3056" t="s">
        <v>7</v>
      </c>
      <c r="M3056">
        <v>2021</v>
      </c>
      <c r="N3056" s="1">
        <v>44672</v>
      </c>
      <c r="O3056" t="s">
        <v>14396</v>
      </c>
      <c r="P3056">
        <v>1</v>
      </c>
      <c r="Q3056" t="s">
        <v>7728</v>
      </c>
      <c r="S3056">
        <v>217.95</v>
      </c>
      <c r="T3056">
        <v>250</v>
      </c>
      <c r="U3056">
        <v>190</v>
      </c>
      <c r="V3056" t="s">
        <v>42</v>
      </c>
      <c r="W3056" t="s">
        <v>107</v>
      </c>
      <c r="X3056" t="s">
        <v>108</v>
      </c>
      <c r="Y3056" t="s">
        <v>109</v>
      </c>
      <c r="AF3056" t="s">
        <v>13</v>
      </c>
      <c r="AG3056" t="str">
        <f>HYPERLINK("https://doi.org/10.1515/9781474454377")</f>
        <v>https://doi.org/10.1515/9781474454377</v>
      </c>
      <c r="AH3056" t="str">
        <f>HYPERLINK("http://www.degruyter.com/isbn/9781474454377")</f>
        <v>http://www.degruyter.com/isbn/9781474454377</v>
      </c>
      <c r="AI3056" t="s">
        <v>110</v>
      </c>
      <c r="AL3056" t="s">
        <v>47</v>
      </c>
      <c r="AM3056">
        <v>1</v>
      </c>
      <c r="AN3056" s="2">
        <v>9781474454353</v>
      </c>
    </row>
    <row r="3057" spans="1:40" x14ac:dyDescent="0.3">
      <c r="A3057" t="s">
        <v>14397</v>
      </c>
      <c r="B3057" t="s">
        <v>1</v>
      </c>
      <c r="C3057" t="s">
        <v>14398</v>
      </c>
      <c r="D3057" t="s">
        <v>14399</v>
      </c>
      <c r="E3057" t="s">
        <v>14400</v>
      </c>
      <c r="F3057" t="s">
        <v>5</v>
      </c>
      <c r="G3057" t="s">
        <v>6</v>
      </c>
      <c r="L3057" t="s">
        <v>7</v>
      </c>
      <c r="M3057">
        <v>2021</v>
      </c>
      <c r="N3057" s="1">
        <v>44672</v>
      </c>
      <c r="O3057" t="s">
        <v>14401</v>
      </c>
      <c r="P3057">
        <v>1</v>
      </c>
      <c r="Q3057" t="s">
        <v>5754</v>
      </c>
      <c r="S3057">
        <v>227.95</v>
      </c>
      <c r="T3057">
        <v>260</v>
      </c>
      <c r="U3057">
        <v>200</v>
      </c>
      <c r="V3057" t="s">
        <v>79</v>
      </c>
      <c r="W3057" t="s">
        <v>123</v>
      </c>
      <c r="X3057" t="s">
        <v>123</v>
      </c>
      <c r="Y3057" t="s">
        <v>124</v>
      </c>
      <c r="AF3057" t="s">
        <v>13</v>
      </c>
      <c r="AG3057" t="str">
        <f>HYPERLINK("https://doi.org/10.1515/9781474487825")</f>
        <v>https://doi.org/10.1515/9781474487825</v>
      </c>
      <c r="AH3057" t="str">
        <f>HYPERLINK("http://www.degruyter.com/isbn/9781474487825")</f>
        <v>http://www.degruyter.com/isbn/9781474487825</v>
      </c>
      <c r="AI3057" t="s">
        <v>4630</v>
      </c>
      <c r="AL3057" t="s">
        <v>83</v>
      </c>
      <c r="AM3057">
        <v>1</v>
      </c>
      <c r="AN3057" s="2">
        <v>9781474487801</v>
      </c>
    </row>
    <row r="3058" spans="1:40" x14ac:dyDescent="0.3">
      <c r="A3058" t="s">
        <v>14402</v>
      </c>
      <c r="B3058" t="s">
        <v>1</v>
      </c>
      <c r="C3058" t="s">
        <v>14403</v>
      </c>
      <c r="E3058" t="s">
        <v>14404</v>
      </c>
      <c r="F3058" t="s">
        <v>5</v>
      </c>
      <c r="G3058" t="s">
        <v>6</v>
      </c>
      <c r="L3058" t="s">
        <v>7</v>
      </c>
      <c r="M3058">
        <v>2021</v>
      </c>
      <c r="N3058" s="1">
        <v>44672</v>
      </c>
      <c r="O3058" t="s">
        <v>14405</v>
      </c>
      <c r="P3058">
        <v>1</v>
      </c>
      <c r="Q3058" t="s">
        <v>8883</v>
      </c>
      <c r="S3058">
        <v>217.95</v>
      </c>
      <c r="T3058">
        <v>250</v>
      </c>
      <c r="U3058">
        <v>190</v>
      </c>
      <c r="V3058" t="s">
        <v>79</v>
      </c>
      <c r="W3058" t="s">
        <v>783</v>
      </c>
      <c r="X3058" t="s">
        <v>783</v>
      </c>
      <c r="Y3058" t="s">
        <v>784</v>
      </c>
      <c r="AF3058" t="s">
        <v>13</v>
      </c>
      <c r="AG3058" t="str">
        <f>HYPERLINK("https://doi.org/10.1515/9781474467612")</f>
        <v>https://doi.org/10.1515/9781474467612</v>
      </c>
      <c r="AH3058" t="str">
        <f>HYPERLINK("http://www.degruyter.com/isbn/9781474467612")</f>
        <v>http://www.degruyter.com/isbn/9781474467612</v>
      </c>
      <c r="AI3058" t="s">
        <v>4630</v>
      </c>
      <c r="AL3058" t="s">
        <v>83</v>
      </c>
      <c r="AM3058">
        <v>1</v>
      </c>
      <c r="AN3058" s="2">
        <v>9781474467599</v>
      </c>
    </row>
    <row r="3059" spans="1:40" x14ac:dyDescent="0.3">
      <c r="A3059" t="s">
        <v>14406</v>
      </c>
      <c r="B3059" t="s">
        <v>1</v>
      </c>
      <c r="C3059" t="s">
        <v>14407</v>
      </c>
      <c r="E3059" t="s">
        <v>14408</v>
      </c>
      <c r="F3059" t="s">
        <v>5</v>
      </c>
      <c r="G3059" t="s">
        <v>6</v>
      </c>
      <c r="L3059" t="s">
        <v>7</v>
      </c>
      <c r="M3059">
        <v>2017</v>
      </c>
      <c r="N3059" s="1">
        <v>43027</v>
      </c>
      <c r="O3059" t="s">
        <v>14409</v>
      </c>
      <c r="P3059">
        <v>1</v>
      </c>
      <c r="Q3059" t="s">
        <v>13309</v>
      </c>
      <c r="S3059">
        <v>417.95</v>
      </c>
      <c r="T3059">
        <v>480</v>
      </c>
      <c r="U3059">
        <v>370</v>
      </c>
      <c r="V3059" t="s">
        <v>42</v>
      </c>
      <c r="W3059" t="s">
        <v>107</v>
      </c>
      <c r="X3059" t="s">
        <v>108</v>
      </c>
      <c r="Y3059" t="s">
        <v>109</v>
      </c>
      <c r="AF3059" t="s">
        <v>13</v>
      </c>
      <c r="AG3059" t="str">
        <f>HYPERLINK("https://doi.org/10.1515/9781474414647")</f>
        <v>https://doi.org/10.1515/9781474414647</v>
      </c>
      <c r="AH3059" t="str">
        <f>HYPERLINK("http://www.degruyter.com/isbn/9781474414647")</f>
        <v>http://www.degruyter.com/isbn/9781474414647</v>
      </c>
      <c r="AI3059" t="s">
        <v>222</v>
      </c>
      <c r="AL3059" t="s">
        <v>47</v>
      </c>
      <c r="AM3059">
        <v>1</v>
      </c>
      <c r="AN3059" s="2">
        <v>9781474414630</v>
      </c>
    </row>
    <row r="3060" spans="1:40" x14ac:dyDescent="0.3">
      <c r="A3060" t="s">
        <v>14410</v>
      </c>
      <c r="B3060" t="s">
        <v>1</v>
      </c>
      <c r="C3060" t="s">
        <v>14411</v>
      </c>
      <c r="E3060" t="s">
        <v>14412</v>
      </c>
      <c r="F3060" t="s">
        <v>5</v>
      </c>
      <c r="G3060" t="s">
        <v>6</v>
      </c>
      <c r="L3060" t="s">
        <v>7</v>
      </c>
      <c r="M3060">
        <v>2013</v>
      </c>
      <c r="N3060" s="1">
        <v>41498</v>
      </c>
      <c r="O3060" t="s">
        <v>14413</v>
      </c>
      <c r="P3060">
        <v>1</v>
      </c>
      <c r="Q3060" t="s">
        <v>14060</v>
      </c>
      <c r="S3060">
        <v>253.95</v>
      </c>
      <c r="T3060">
        <v>290</v>
      </c>
      <c r="U3060">
        <v>220</v>
      </c>
      <c r="V3060" t="s">
        <v>98</v>
      </c>
      <c r="W3060" t="s">
        <v>99</v>
      </c>
      <c r="X3060" t="s">
        <v>386</v>
      </c>
      <c r="Y3060" t="s">
        <v>387</v>
      </c>
      <c r="AF3060" t="s">
        <v>13</v>
      </c>
      <c r="AG3060" t="str">
        <f>HYPERLINK("https://doi.org/10.1515/9780748644704")</f>
        <v>https://doi.org/10.1515/9780748644704</v>
      </c>
      <c r="AH3060" t="str">
        <f>HYPERLINK("http://www.degruyter.com/isbn/9780748644704")</f>
        <v>http://www.degruyter.com/isbn/9780748644704</v>
      </c>
      <c r="AI3060" t="s">
        <v>68</v>
      </c>
      <c r="AL3060" t="s">
        <v>102</v>
      </c>
      <c r="AM3060">
        <v>1</v>
      </c>
      <c r="AN3060" s="2">
        <v>9780748644698</v>
      </c>
    </row>
    <row r="3061" spans="1:40" x14ac:dyDescent="0.3">
      <c r="A3061" t="s">
        <v>14414</v>
      </c>
      <c r="B3061" t="s">
        <v>1</v>
      </c>
      <c r="C3061" t="s">
        <v>14415</v>
      </c>
      <c r="D3061" t="s">
        <v>14416</v>
      </c>
      <c r="E3061" t="s">
        <v>14417</v>
      </c>
      <c r="F3061" t="s">
        <v>5</v>
      </c>
      <c r="G3061" t="s">
        <v>6</v>
      </c>
      <c r="L3061" t="s">
        <v>7</v>
      </c>
      <c r="M3061">
        <v>2019</v>
      </c>
      <c r="N3061" s="1">
        <v>44644</v>
      </c>
      <c r="O3061" t="s">
        <v>14418</v>
      </c>
      <c r="P3061">
        <v>1</v>
      </c>
      <c r="Q3061" t="s">
        <v>13460</v>
      </c>
      <c r="S3061">
        <v>253.95</v>
      </c>
      <c r="T3061">
        <v>290</v>
      </c>
      <c r="U3061">
        <v>220</v>
      </c>
      <c r="V3061" t="s">
        <v>20</v>
      </c>
      <c r="W3061" t="s">
        <v>556</v>
      </c>
      <c r="X3061" t="s">
        <v>1739</v>
      </c>
      <c r="Y3061" t="s">
        <v>1740</v>
      </c>
      <c r="AF3061" t="s">
        <v>13</v>
      </c>
      <c r="AG3061" t="str">
        <f>HYPERLINK("https://doi.org/10.1515/9781474421430?locatt=mode:legacy")</f>
        <v>https://doi.org/10.1515/9781474421430?locatt=mode:legacy</v>
      </c>
      <c r="AH3061" t="str">
        <f>HYPERLINK("http://www.degruyter.com/isbn/9781474421430")</f>
        <v>http://www.degruyter.com/isbn/9781474421430</v>
      </c>
      <c r="AI3061" t="s">
        <v>280</v>
      </c>
      <c r="AL3061" t="s">
        <v>15</v>
      </c>
      <c r="AM3061">
        <v>1</v>
      </c>
      <c r="AN3061" s="2">
        <v>9781474421423</v>
      </c>
    </row>
    <row r="3062" spans="1:40" x14ac:dyDescent="0.3">
      <c r="A3062" t="s">
        <v>14419</v>
      </c>
      <c r="B3062" t="s">
        <v>1</v>
      </c>
      <c r="C3062" t="s">
        <v>14420</v>
      </c>
      <c r="D3062" t="s">
        <v>14421</v>
      </c>
      <c r="E3062" t="s">
        <v>14422</v>
      </c>
      <c r="F3062" t="s">
        <v>5</v>
      </c>
      <c r="G3062" t="s">
        <v>6</v>
      </c>
      <c r="L3062" t="s">
        <v>7</v>
      </c>
      <c r="M3062">
        <v>2014</v>
      </c>
      <c r="N3062" s="1">
        <v>41841</v>
      </c>
      <c r="O3062" t="s">
        <v>14423</v>
      </c>
      <c r="P3062">
        <v>1</v>
      </c>
      <c r="Q3062" t="s">
        <v>13361</v>
      </c>
      <c r="S3062">
        <v>217.95</v>
      </c>
      <c r="T3062">
        <v>250</v>
      </c>
      <c r="U3062">
        <v>190</v>
      </c>
      <c r="V3062" t="s">
        <v>42</v>
      </c>
      <c r="W3062" t="s">
        <v>107</v>
      </c>
      <c r="X3062" t="s">
        <v>108</v>
      </c>
      <c r="Y3062" t="s">
        <v>109</v>
      </c>
      <c r="AF3062" t="s">
        <v>13</v>
      </c>
      <c r="AG3062" t="str">
        <f>HYPERLINK("https://doi.org/10.1515/9780748682423?locatt=mode:legacy")</f>
        <v>https://doi.org/10.1515/9780748682423?locatt=mode:legacy</v>
      </c>
      <c r="AH3062" t="str">
        <f>HYPERLINK("http://www.degruyter.com/isbn/9780748682423")</f>
        <v>http://www.degruyter.com/isbn/9780748682423</v>
      </c>
      <c r="AI3062" t="s">
        <v>34</v>
      </c>
      <c r="AL3062" t="s">
        <v>47</v>
      </c>
      <c r="AM3062">
        <v>1</v>
      </c>
      <c r="AN3062" s="2">
        <v>9780748682416</v>
      </c>
    </row>
    <row r="3063" spans="1:40" x14ac:dyDescent="0.3">
      <c r="A3063" t="s">
        <v>14424</v>
      </c>
      <c r="B3063" t="s">
        <v>1</v>
      </c>
      <c r="C3063" t="s">
        <v>14425</v>
      </c>
      <c r="D3063" t="s">
        <v>14426</v>
      </c>
      <c r="E3063" t="s">
        <v>14427</v>
      </c>
      <c r="F3063" t="s">
        <v>5</v>
      </c>
      <c r="G3063" t="s">
        <v>6</v>
      </c>
      <c r="L3063" t="s">
        <v>7</v>
      </c>
      <c r="M3063">
        <v>2012</v>
      </c>
      <c r="N3063" s="1">
        <v>41117</v>
      </c>
      <c r="O3063" t="s">
        <v>14169</v>
      </c>
      <c r="P3063">
        <v>1</v>
      </c>
      <c r="Q3063" t="s">
        <v>14046</v>
      </c>
      <c r="S3063">
        <v>209.95</v>
      </c>
      <c r="T3063">
        <v>240</v>
      </c>
      <c r="U3063">
        <v>180</v>
      </c>
      <c r="V3063" t="s">
        <v>42</v>
      </c>
      <c r="W3063" t="s">
        <v>43</v>
      </c>
      <c r="X3063" t="s">
        <v>1061</v>
      </c>
      <c r="Y3063" t="s">
        <v>1339</v>
      </c>
      <c r="AF3063" t="s">
        <v>13</v>
      </c>
      <c r="AG3063" t="str">
        <f>HYPERLINK("https://doi.org/10.1515/9780748628544")</f>
        <v>https://doi.org/10.1515/9780748628544</v>
      </c>
      <c r="AH3063" t="str">
        <f>HYPERLINK("http://www.degruyter.com/isbn/9780748628544")</f>
        <v>http://www.degruyter.com/isbn/9780748628544</v>
      </c>
      <c r="AI3063" t="s">
        <v>68</v>
      </c>
      <c r="AL3063" t="s">
        <v>47</v>
      </c>
      <c r="AM3063">
        <v>1</v>
      </c>
      <c r="AN3063" s="2">
        <v>9780748606047</v>
      </c>
    </row>
    <row r="3064" spans="1:40" x14ac:dyDescent="0.3">
      <c r="A3064" t="s">
        <v>14428</v>
      </c>
      <c r="B3064" t="s">
        <v>1</v>
      </c>
      <c r="C3064" t="s">
        <v>14429</v>
      </c>
      <c r="E3064" t="s">
        <v>14430</v>
      </c>
      <c r="F3064" t="s">
        <v>5</v>
      </c>
      <c r="G3064" t="s">
        <v>6</v>
      </c>
      <c r="L3064" t="s">
        <v>7</v>
      </c>
      <c r="M3064">
        <v>2022</v>
      </c>
      <c r="N3064" s="1">
        <v>44690</v>
      </c>
      <c r="O3064" t="s">
        <v>14431</v>
      </c>
      <c r="P3064">
        <v>1</v>
      </c>
      <c r="Q3064" t="s">
        <v>8607</v>
      </c>
      <c r="S3064">
        <v>217.95</v>
      </c>
      <c r="T3064">
        <v>250</v>
      </c>
      <c r="U3064">
        <v>190</v>
      </c>
      <c r="V3064" t="s">
        <v>305</v>
      </c>
      <c r="W3064" t="s">
        <v>306</v>
      </c>
      <c r="X3064" t="s">
        <v>306</v>
      </c>
      <c r="Y3064" t="s">
        <v>14022</v>
      </c>
      <c r="AF3064" t="s">
        <v>13</v>
      </c>
      <c r="AG3064" t="str">
        <f>HYPERLINK("https://doi.org/10.1515/9781474490313")</f>
        <v>https://doi.org/10.1515/9781474490313</v>
      </c>
      <c r="AH3064" t="str">
        <f>HYPERLINK("http://www.degruyter.com/isbn/9781474490313")</f>
        <v>http://www.degruyter.com/isbn/9781474490313</v>
      </c>
      <c r="AI3064" t="s">
        <v>14432</v>
      </c>
      <c r="AL3064" t="s">
        <v>308</v>
      </c>
      <c r="AM3064">
        <v>1</v>
      </c>
      <c r="AN3064" s="2">
        <v>9781474490283</v>
      </c>
    </row>
    <row r="3065" spans="1:40" x14ac:dyDescent="0.3">
      <c r="A3065" t="s">
        <v>14433</v>
      </c>
      <c r="B3065" t="s">
        <v>1</v>
      </c>
      <c r="C3065" t="s">
        <v>14434</v>
      </c>
      <c r="D3065" t="s">
        <v>14435</v>
      </c>
      <c r="E3065" t="s">
        <v>14436</v>
      </c>
      <c r="F3065" t="s">
        <v>5</v>
      </c>
      <c r="G3065" t="s">
        <v>6</v>
      </c>
      <c r="K3065" t="s">
        <v>929</v>
      </c>
      <c r="L3065" t="s">
        <v>7</v>
      </c>
      <c r="M3065">
        <v>2018</v>
      </c>
      <c r="N3065" s="1">
        <v>43360</v>
      </c>
      <c r="O3065" t="s">
        <v>14437</v>
      </c>
      <c r="P3065">
        <v>1</v>
      </c>
      <c r="Q3065" t="s">
        <v>13361</v>
      </c>
      <c r="V3065" t="s">
        <v>42</v>
      </c>
      <c r="W3065" t="s">
        <v>107</v>
      </c>
      <c r="X3065" t="s">
        <v>108</v>
      </c>
      <c r="Y3065" t="s">
        <v>2244</v>
      </c>
      <c r="AF3065" t="s">
        <v>13</v>
      </c>
      <c r="AG3065" t="str">
        <f>HYPERLINK("https://doi.org/10.1515/9781474427470")</f>
        <v>https://doi.org/10.1515/9781474427470</v>
      </c>
      <c r="AH3065" t="str">
        <f>HYPERLINK("http://www.degruyter.com/isbn/9781474427470")</f>
        <v>http://www.degruyter.com/isbn/9781474427470</v>
      </c>
      <c r="AI3065" t="s">
        <v>46</v>
      </c>
      <c r="AM3065">
        <v>1</v>
      </c>
      <c r="AN3065" s="2"/>
    </row>
    <row r="3066" spans="1:40" x14ac:dyDescent="0.3">
      <c r="A3066" t="s">
        <v>14438</v>
      </c>
      <c r="B3066" t="s">
        <v>1</v>
      </c>
      <c r="C3066" t="s">
        <v>14439</v>
      </c>
      <c r="D3066" t="s">
        <v>5690</v>
      </c>
      <c r="E3066" t="s">
        <v>14440</v>
      </c>
      <c r="F3066" t="s">
        <v>5</v>
      </c>
      <c r="G3066" t="s">
        <v>6</v>
      </c>
      <c r="L3066" t="s">
        <v>7</v>
      </c>
      <c r="M3066">
        <v>2019</v>
      </c>
      <c r="N3066" s="1">
        <v>44656</v>
      </c>
      <c r="O3066" t="s">
        <v>1956</v>
      </c>
      <c r="P3066">
        <v>1</v>
      </c>
      <c r="Q3066" t="s">
        <v>13309</v>
      </c>
      <c r="S3066">
        <v>331.95</v>
      </c>
      <c r="T3066">
        <v>380</v>
      </c>
      <c r="U3066">
        <v>290</v>
      </c>
      <c r="V3066" t="s">
        <v>42</v>
      </c>
      <c r="W3066" t="s">
        <v>107</v>
      </c>
      <c r="X3066" t="s">
        <v>108</v>
      </c>
      <c r="Y3066" t="s">
        <v>5001</v>
      </c>
      <c r="AF3066" t="s">
        <v>13</v>
      </c>
      <c r="AG3066" t="str">
        <f>HYPERLINK("https://doi.org/10.1515/9781474421348")</f>
        <v>https://doi.org/10.1515/9781474421348</v>
      </c>
      <c r="AH3066" t="str">
        <f>HYPERLINK("http://www.degruyter.com/isbn/9781474421348")</f>
        <v>http://www.degruyter.com/isbn/9781474421348</v>
      </c>
      <c r="AI3066" t="s">
        <v>280</v>
      </c>
      <c r="AL3066" t="s">
        <v>47</v>
      </c>
      <c r="AM3066">
        <v>1</v>
      </c>
      <c r="AN3066" s="2">
        <v>9781474421331</v>
      </c>
    </row>
    <row r="3067" spans="1:40" x14ac:dyDescent="0.3">
      <c r="A3067" t="s">
        <v>14441</v>
      </c>
      <c r="B3067" t="s">
        <v>1</v>
      </c>
      <c r="C3067" t="s">
        <v>14442</v>
      </c>
      <c r="E3067" t="s">
        <v>14443</v>
      </c>
      <c r="F3067" t="s">
        <v>5</v>
      </c>
      <c r="G3067" t="s">
        <v>6</v>
      </c>
      <c r="K3067" t="s">
        <v>929</v>
      </c>
      <c r="L3067" t="s">
        <v>7</v>
      </c>
      <c r="M3067">
        <v>2021</v>
      </c>
      <c r="N3067" s="1">
        <v>44561</v>
      </c>
      <c r="O3067" t="s">
        <v>14444</v>
      </c>
      <c r="P3067">
        <v>1</v>
      </c>
      <c r="Q3067" t="s">
        <v>7616</v>
      </c>
      <c r="V3067" t="s">
        <v>268</v>
      </c>
      <c r="W3067" t="s">
        <v>269</v>
      </c>
      <c r="X3067" t="s">
        <v>269</v>
      </c>
      <c r="Y3067" t="s">
        <v>14445</v>
      </c>
      <c r="AF3067" t="s">
        <v>13</v>
      </c>
      <c r="AG3067" t="str">
        <f>HYPERLINK("https://doi.org/10.1515/9781474485340")</f>
        <v>https://doi.org/10.1515/9781474485340</v>
      </c>
      <c r="AH3067" t="str">
        <f>HYPERLINK("http://www.degruyter.com/isbn/9781474485340")</f>
        <v>http://www.degruyter.com/isbn/9781474485340</v>
      </c>
      <c r="AI3067" t="s">
        <v>14446</v>
      </c>
      <c r="AM3067">
        <v>1</v>
      </c>
      <c r="AN3067" s="2"/>
    </row>
    <row r="3068" spans="1:40" x14ac:dyDescent="0.3">
      <c r="A3068" t="s">
        <v>14447</v>
      </c>
      <c r="B3068" t="s">
        <v>1</v>
      </c>
      <c r="C3068" t="s">
        <v>14448</v>
      </c>
      <c r="D3068" t="s">
        <v>14449</v>
      </c>
      <c r="E3068" t="s">
        <v>14450</v>
      </c>
      <c r="F3068" t="s">
        <v>5</v>
      </c>
      <c r="G3068" t="s">
        <v>6</v>
      </c>
      <c r="L3068" t="s">
        <v>7</v>
      </c>
      <c r="M3068">
        <v>2020</v>
      </c>
      <c r="N3068" s="1">
        <v>44656</v>
      </c>
      <c r="O3068" t="s">
        <v>14451</v>
      </c>
      <c r="P3068">
        <v>1</v>
      </c>
      <c r="Q3068" t="s">
        <v>14452</v>
      </c>
      <c r="R3068" s="3" t="s">
        <v>13251</v>
      </c>
      <c r="S3068">
        <v>521.95000000000005</v>
      </c>
      <c r="T3068">
        <v>598</v>
      </c>
      <c r="U3068">
        <v>460</v>
      </c>
      <c r="V3068" t="s">
        <v>42</v>
      </c>
      <c r="W3068" t="s">
        <v>107</v>
      </c>
      <c r="X3068" t="s">
        <v>108</v>
      </c>
      <c r="Y3068" t="s">
        <v>109</v>
      </c>
      <c r="AF3068" t="s">
        <v>13</v>
      </c>
      <c r="AG3068" t="str">
        <f>HYPERLINK("https://doi.org/10.1515/9781474424905")</f>
        <v>https://doi.org/10.1515/9781474424905</v>
      </c>
      <c r="AH3068" t="str">
        <f>HYPERLINK("http://www.degruyter.com/isbn/9781474424905")</f>
        <v>http://www.degruyter.com/isbn/9781474424905</v>
      </c>
      <c r="AI3068" t="s">
        <v>14453</v>
      </c>
      <c r="AL3068" t="s">
        <v>47</v>
      </c>
      <c r="AM3068">
        <v>1</v>
      </c>
      <c r="AN3068" s="2">
        <v>9781474424882</v>
      </c>
    </row>
    <row r="3069" spans="1:40" x14ac:dyDescent="0.3">
      <c r="A3069" t="s">
        <v>14454</v>
      </c>
      <c r="B3069" t="s">
        <v>1</v>
      </c>
      <c r="C3069" t="s">
        <v>14455</v>
      </c>
      <c r="E3069" t="s">
        <v>14456</v>
      </c>
      <c r="F3069" t="s">
        <v>5</v>
      </c>
      <c r="G3069" t="s">
        <v>6</v>
      </c>
      <c r="L3069" t="s">
        <v>7</v>
      </c>
      <c r="M3069">
        <v>2021</v>
      </c>
      <c r="N3069" s="1">
        <v>44644</v>
      </c>
      <c r="O3069" t="s">
        <v>14457</v>
      </c>
      <c r="P3069">
        <v>1</v>
      </c>
      <c r="Q3069" t="s">
        <v>13460</v>
      </c>
      <c r="S3069">
        <v>217.95</v>
      </c>
      <c r="T3069">
        <v>250</v>
      </c>
      <c r="U3069">
        <v>190</v>
      </c>
      <c r="V3069" t="s">
        <v>20</v>
      </c>
      <c r="W3069" t="s">
        <v>21</v>
      </c>
      <c r="X3069" t="s">
        <v>458</v>
      </c>
      <c r="Y3069" t="s">
        <v>459</v>
      </c>
      <c r="AF3069" t="s">
        <v>13</v>
      </c>
      <c r="AG3069" t="str">
        <f>HYPERLINK("https://doi.org/10.1515/9781474479707")</f>
        <v>https://doi.org/10.1515/9781474479707</v>
      </c>
      <c r="AH3069" t="str">
        <f>HYPERLINK("http://www.degruyter.com/isbn/9781474479707")</f>
        <v>http://www.degruyter.com/isbn/9781474479707</v>
      </c>
      <c r="AI3069" t="s">
        <v>559</v>
      </c>
      <c r="AJ3069" t="s">
        <v>35</v>
      </c>
      <c r="AL3069" t="s">
        <v>1346</v>
      </c>
      <c r="AM3069">
        <v>1</v>
      </c>
      <c r="AN3069" s="2">
        <v>9781474479684</v>
      </c>
    </row>
    <row r="3070" spans="1:40" x14ac:dyDescent="0.3">
      <c r="A3070" t="s">
        <v>14458</v>
      </c>
      <c r="B3070" t="s">
        <v>1</v>
      </c>
      <c r="C3070" t="s">
        <v>14459</v>
      </c>
      <c r="E3070" t="s">
        <v>14460</v>
      </c>
      <c r="F3070" t="s">
        <v>5</v>
      </c>
      <c r="G3070" t="s">
        <v>6</v>
      </c>
      <c r="L3070" t="s">
        <v>7</v>
      </c>
      <c r="M3070">
        <v>2019</v>
      </c>
      <c r="N3070" s="1">
        <v>44656</v>
      </c>
      <c r="O3070" t="s">
        <v>1520</v>
      </c>
      <c r="P3070">
        <v>1</v>
      </c>
      <c r="Q3070" t="s">
        <v>13309</v>
      </c>
      <c r="S3070">
        <v>417.95</v>
      </c>
      <c r="T3070">
        <v>480</v>
      </c>
      <c r="U3070">
        <v>370</v>
      </c>
      <c r="V3070" t="s">
        <v>42</v>
      </c>
      <c r="W3070" t="s">
        <v>116</v>
      </c>
      <c r="X3070" t="s">
        <v>116</v>
      </c>
      <c r="Y3070" t="s">
        <v>117</v>
      </c>
      <c r="AF3070" t="s">
        <v>13</v>
      </c>
      <c r="AG3070" t="str">
        <f>HYPERLINK("https://doi.org/10.1515/9781474432375")</f>
        <v>https://doi.org/10.1515/9781474432375</v>
      </c>
      <c r="AH3070" t="str">
        <f>HYPERLINK("http://www.degruyter.com/isbn/9781474432375")</f>
        <v>http://www.degruyter.com/isbn/9781474432375</v>
      </c>
      <c r="AI3070" t="s">
        <v>14461</v>
      </c>
      <c r="AL3070" t="s">
        <v>47</v>
      </c>
      <c r="AM3070">
        <v>1</v>
      </c>
      <c r="AN3070" s="2">
        <v>9781474432351</v>
      </c>
    </row>
    <row r="3071" spans="1:40" x14ac:dyDescent="0.3">
      <c r="A3071" t="s">
        <v>14462</v>
      </c>
      <c r="B3071" t="s">
        <v>1</v>
      </c>
      <c r="C3071" t="s">
        <v>14463</v>
      </c>
      <c r="D3071" t="s">
        <v>14464</v>
      </c>
      <c r="E3071" t="s">
        <v>14465</v>
      </c>
      <c r="F3071" t="s">
        <v>5</v>
      </c>
      <c r="G3071" t="s">
        <v>6</v>
      </c>
      <c r="L3071" t="s">
        <v>7</v>
      </c>
      <c r="M3071">
        <v>2021</v>
      </c>
      <c r="N3071" s="1">
        <v>44672</v>
      </c>
      <c r="O3071" t="s">
        <v>14466</v>
      </c>
      <c r="P3071">
        <v>1</v>
      </c>
      <c r="Q3071" t="s">
        <v>14467</v>
      </c>
      <c r="S3071">
        <v>217.95</v>
      </c>
      <c r="T3071">
        <v>250</v>
      </c>
      <c r="U3071">
        <v>190</v>
      </c>
      <c r="V3071" t="s">
        <v>42</v>
      </c>
      <c r="W3071" t="s">
        <v>116</v>
      </c>
      <c r="X3071" t="s">
        <v>116</v>
      </c>
      <c r="Y3071" t="s">
        <v>971</v>
      </c>
      <c r="AF3071" t="s">
        <v>13</v>
      </c>
      <c r="AG3071" t="str">
        <f>HYPERLINK("https://doi.org/10.1515/9781474481564")</f>
        <v>https://doi.org/10.1515/9781474481564</v>
      </c>
      <c r="AH3071" t="str">
        <f>HYPERLINK("http://www.degruyter.com/isbn/9781474481564")</f>
        <v>http://www.degruyter.com/isbn/9781474481564</v>
      </c>
      <c r="AI3071" t="s">
        <v>110</v>
      </c>
      <c r="AL3071" t="s">
        <v>47</v>
      </c>
      <c r="AM3071">
        <v>1</v>
      </c>
      <c r="AN3071" s="2">
        <v>9781474481557</v>
      </c>
    </row>
    <row r="3072" spans="1:40" x14ac:dyDescent="0.3">
      <c r="A3072" t="s">
        <v>14468</v>
      </c>
      <c r="B3072" t="s">
        <v>1</v>
      </c>
      <c r="C3072" t="s">
        <v>14469</v>
      </c>
      <c r="D3072" t="s">
        <v>14193</v>
      </c>
      <c r="E3072" t="s">
        <v>14470</v>
      </c>
      <c r="F3072" t="s">
        <v>5</v>
      </c>
      <c r="G3072" t="s">
        <v>6</v>
      </c>
      <c r="L3072" t="s">
        <v>7</v>
      </c>
      <c r="M3072">
        <v>2022</v>
      </c>
      <c r="N3072" s="1">
        <v>44690</v>
      </c>
      <c r="O3072" t="s">
        <v>1730</v>
      </c>
      <c r="P3072">
        <v>1</v>
      </c>
      <c r="Q3072" t="s">
        <v>13460</v>
      </c>
      <c r="S3072">
        <v>243.95</v>
      </c>
      <c r="T3072">
        <v>280</v>
      </c>
      <c r="U3072">
        <v>210</v>
      </c>
      <c r="V3072" t="s">
        <v>20</v>
      </c>
      <c r="W3072" t="s">
        <v>21</v>
      </c>
      <c r="X3072" t="s">
        <v>458</v>
      </c>
      <c r="Y3072" t="s">
        <v>459</v>
      </c>
      <c r="AF3072" t="s">
        <v>13</v>
      </c>
      <c r="AG3072" t="str">
        <f>HYPERLINK("https://doi.org/10.1515/9781474485920")</f>
        <v>https://doi.org/10.1515/9781474485920</v>
      </c>
      <c r="AH3072" t="str">
        <f>HYPERLINK("http://www.degruyter.com/isbn/9781474485920")</f>
        <v>http://www.degruyter.com/isbn/9781474485920</v>
      </c>
      <c r="AI3072" t="s">
        <v>13908</v>
      </c>
      <c r="AJ3072" t="s">
        <v>35</v>
      </c>
      <c r="AM3072">
        <v>1</v>
      </c>
      <c r="AN3072" s="2">
        <v>9781474485906</v>
      </c>
    </row>
    <row r="3073" spans="1:40" x14ac:dyDescent="0.3">
      <c r="A3073" t="s">
        <v>14471</v>
      </c>
      <c r="B3073" t="s">
        <v>1</v>
      </c>
      <c r="C3073" t="s">
        <v>14472</v>
      </c>
      <c r="E3073" t="s">
        <v>14473</v>
      </c>
      <c r="F3073" t="s">
        <v>5</v>
      </c>
      <c r="G3073" t="s">
        <v>6</v>
      </c>
      <c r="L3073" t="s">
        <v>7</v>
      </c>
      <c r="M3073">
        <v>2021</v>
      </c>
      <c r="N3073" s="1">
        <v>44672</v>
      </c>
      <c r="O3073" t="s">
        <v>14474</v>
      </c>
      <c r="P3073">
        <v>1</v>
      </c>
      <c r="Q3073" t="s">
        <v>6779</v>
      </c>
      <c r="S3073">
        <v>227.95</v>
      </c>
      <c r="T3073">
        <v>260</v>
      </c>
      <c r="U3073">
        <v>200</v>
      </c>
      <c r="V3073" t="s">
        <v>9</v>
      </c>
      <c r="W3073" t="s">
        <v>10</v>
      </c>
      <c r="X3073" t="s">
        <v>11</v>
      </c>
      <c r="Y3073" t="s">
        <v>52</v>
      </c>
      <c r="AF3073" t="s">
        <v>13</v>
      </c>
      <c r="AG3073" t="str">
        <f>HYPERLINK("https://doi.org/10.1515/9781474476386")</f>
        <v>https://doi.org/10.1515/9781474476386</v>
      </c>
      <c r="AH3073" t="str">
        <f>HYPERLINK("http://www.degruyter.com/isbn/9781474476386")</f>
        <v>http://www.degruyter.com/isbn/9781474476386</v>
      </c>
      <c r="AI3073" t="s">
        <v>908</v>
      </c>
      <c r="AJ3073" t="s">
        <v>35</v>
      </c>
      <c r="AL3073" t="s">
        <v>53</v>
      </c>
      <c r="AM3073">
        <v>1</v>
      </c>
      <c r="AN3073" s="2">
        <v>9781474476362</v>
      </c>
    </row>
    <row r="3074" spans="1:40" x14ac:dyDescent="0.3">
      <c r="A3074" t="s">
        <v>14475</v>
      </c>
      <c r="B3074" t="s">
        <v>1</v>
      </c>
      <c r="C3074" t="s">
        <v>14476</v>
      </c>
      <c r="E3074" t="s">
        <v>14477</v>
      </c>
      <c r="F3074" t="s">
        <v>5</v>
      </c>
      <c r="G3074" t="s">
        <v>6</v>
      </c>
      <c r="L3074" t="s">
        <v>7</v>
      </c>
      <c r="M3074">
        <v>2012</v>
      </c>
      <c r="N3074" s="1">
        <v>41117</v>
      </c>
      <c r="O3074" t="s">
        <v>14478</v>
      </c>
      <c r="P3074">
        <v>1</v>
      </c>
      <c r="Q3074" t="s">
        <v>6437</v>
      </c>
      <c r="S3074">
        <v>253.95</v>
      </c>
      <c r="T3074">
        <v>290</v>
      </c>
      <c r="U3074">
        <v>220</v>
      </c>
      <c r="V3074" t="s">
        <v>58</v>
      </c>
      <c r="W3074" t="s">
        <v>59</v>
      </c>
      <c r="X3074" t="s">
        <v>60</v>
      </c>
      <c r="Y3074" t="s">
        <v>145</v>
      </c>
      <c r="AF3074" t="s">
        <v>13</v>
      </c>
      <c r="AG3074" t="str">
        <f>HYPERLINK("https://doi.org/10.1515/9780748631124")</f>
        <v>https://doi.org/10.1515/9780748631124</v>
      </c>
      <c r="AH3074" t="str">
        <f>HYPERLINK("http://www.degruyter.com/isbn/9780748631124")</f>
        <v>http://www.degruyter.com/isbn/9780748631124</v>
      </c>
      <c r="AI3074" t="s">
        <v>68</v>
      </c>
      <c r="AL3074" t="s">
        <v>62</v>
      </c>
      <c r="AM3074">
        <v>1</v>
      </c>
      <c r="AN3074" s="2">
        <v>9780748668700</v>
      </c>
    </row>
    <row r="3075" spans="1:40" x14ac:dyDescent="0.3">
      <c r="A3075" t="s">
        <v>14479</v>
      </c>
      <c r="B3075" t="s">
        <v>1</v>
      </c>
      <c r="C3075" t="s">
        <v>14480</v>
      </c>
      <c r="E3075" t="s">
        <v>14481</v>
      </c>
      <c r="F3075" t="s">
        <v>5</v>
      </c>
      <c r="G3075" t="s">
        <v>6</v>
      </c>
      <c r="L3075" t="s">
        <v>7</v>
      </c>
      <c r="M3075">
        <v>2018</v>
      </c>
      <c r="N3075" s="1">
        <v>44656</v>
      </c>
      <c r="O3075" t="s">
        <v>14158</v>
      </c>
      <c r="P3075">
        <v>1</v>
      </c>
      <c r="Q3075" t="s">
        <v>14159</v>
      </c>
      <c r="S3075">
        <v>217.95</v>
      </c>
      <c r="T3075">
        <v>250</v>
      </c>
      <c r="U3075">
        <v>190</v>
      </c>
      <c r="V3075" t="s">
        <v>20</v>
      </c>
      <c r="W3075" t="s">
        <v>21</v>
      </c>
      <c r="X3075" t="s">
        <v>458</v>
      </c>
      <c r="Y3075" t="s">
        <v>459</v>
      </c>
      <c r="AF3075" t="s">
        <v>13</v>
      </c>
      <c r="AG3075" t="str">
        <f>HYPERLINK("https://doi.org/10.1515/9781474413015")</f>
        <v>https://doi.org/10.1515/9781474413015</v>
      </c>
      <c r="AH3075" t="str">
        <f>HYPERLINK("http://www.degruyter.com/isbn/9781474413015")</f>
        <v>http://www.degruyter.com/isbn/9781474413015</v>
      </c>
      <c r="AI3075" t="s">
        <v>46</v>
      </c>
      <c r="AJ3075" t="s">
        <v>35</v>
      </c>
      <c r="AL3075" t="s">
        <v>1346</v>
      </c>
      <c r="AM3075">
        <v>1</v>
      </c>
      <c r="AN3075" s="2">
        <v>9781474413008</v>
      </c>
    </row>
    <row r="3076" spans="1:40" x14ac:dyDescent="0.3">
      <c r="A3076" t="s">
        <v>14482</v>
      </c>
      <c r="B3076" t="s">
        <v>1</v>
      </c>
      <c r="C3076" t="s">
        <v>14483</v>
      </c>
      <c r="D3076" t="s">
        <v>14484</v>
      </c>
      <c r="E3076" t="s">
        <v>14485</v>
      </c>
      <c r="F3076" t="s">
        <v>5</v>
      </c>
      <c r="G3076" t="s">
        <v>6</v>
      </c>
      <c r="L3076" t="s">
        <v>7</v>
      </c>
      <c r="M3076">
        <v>2020</v>
      </c>
      <c r="N3076" s="1">
        <v>44644</v>
      </c>
      <c r="O3076" t="s">
        <v>14486</v>
      </c>
      <c r="P3076">
        <v>1</v>
      </c>
      <c r="Q3076" t="s">
        <v>7283</v>
      </c>
      <c r="S3076">
        <v>227.95</v>
      </c>
      <c r="T3076">
        <v>260</v>
      </c>
      <c r="U3076">
        <v>200</v>
      </c>
      <c r="V3076" t="s">
        <v>20</v>
      </c>
      <c r="W3076" t="s">
        <v>21</v>
      </c>
      <c r="X3076" t="s">
        <v>4875</v>
      </c>
      <c r="Y3076" t="s">
        <v>4876</v>
      </c>
      <c r="AF3076" t="s">
        <v>13</v>
      </c>
      <c r="AG3076" t="str">
        <f>HYPERLINK("https://doi.org/10.1515/9781474435505?locatt=mode:legacy")</f>
        <v>https://doi.org/10.1515/9781474435505?locatt=mode:legacy</v>
      </c>
      <c r="AH3076" t="str">
        <f>HYPERLINK("http://www.degruyter.com/isbn/9781474435505")</f>
        <v>http://www.degruyter.com/isbn/9781474435505</v>
      </c>
      <c r="AI3076" t="s">
        <v>14</v>
      </c>
      <c r="AL3076" t="s">
        <v>15</v>
      </c>
      <c r="AM3076">
        <v>1</v>
      </c>
      <c r="AN3076" s="2">
        <v>9781474435499</v>
      </c>
    </row>
    <row r="3077" spans="1:40" x14ac:dyDescent="0.3">
      <c r="A3077" t="s">
        <v>14487</v>
      </c>
      <c r="B3077" t="s">
        <v>1</v>
      </c>
      <c r="C3077" t="s">
        <v>14488</v>
      </c>
      <c r="E3077" t="s">
        <v>14489</v>
      </c>
      <c r="F3077" t="s">
        <v>5</v>
      </c>
      <c r="G3077" t="s">
        <v>6</v>
      </c>
      <c r="L3077" t="s">
        <v>7</v>
      </c>
      <c r="M3077">
        <v>2015</v>
      </c>
      <c r="N3077" s="1">
        <v>42108</v>
      </c>
      <c r="O3077" t="s">
        <v>14490</v>
      </c>
      <c r="P3077">
        <v>1</v>
      </c>
      <c r="Q3077" t="s">
        <v>14060</v>
      </c>
      <c r="S3077">
        <v>253.95</v>
      </c>
      <c r="T3077">
        <v>290</v>
      </c>
      <c r="U3077">
        <v>220</v>
      </c>
      <c r="V3077" t="s">
        <v>98</v>
      </c>
      <c r="W3077" t="s">
        <v>99</v>
      </c>
      <c r="X3077" t="s">
        <v>386</v>
      </c>
      <c r="Y3077" t="s">
        <v>387</v>
      </c>
      <c r="AF3077" t="s">
        <v>13</v>
      </c>
      <c r="AG3077" t="str">
        <f>HYPERLINK("https://doi.org/10.1515/9780748694563")</f>
        <v>https://doi.org/10.1515/9780748694563</v>
      </c>
      <c r="AH3077" t="str">
        <f>HYPERLINK("http://www.degruyter.com/isbn/9780748694563")</f>
        <v>http://www.degruyter.com/isbn/9780748694563</v>
      </c>
      <c r="AI3077" t="s">
        <v>34</v>
      </c>
      <c r="AL3077" t="s">
        <v>102</v>
      </c>
      <c r="AM3077">
        <v>1</v>
      </c>
      <c r="AN3077" s="2">
        <v>9780748641444</v>
      </c>
    </row>
    <row r="3078" spans="1:40" x14ac:dyDescent="0.3">
      <c r="A3078" t="s">
        <v>14491</v>
      </c>
      <c r="B3078" t="s">
        <v>1</v>
      </c>
      <c r="C3078" t="s">
        <v>14492</v>
      </c>
      <c r="D3078" t="s">
        <v>14493</v>
      </c>
      <c r="E3078" t="s">
        <v>14494</v>
      </c>
      <c r="F3078" t="s">
        <v>5</v>
      </c>
      <c r="G3078" t="s">
        <v>6</v>
      </c>
      <c r="L3078" t="s">
        <v>7</v>
      </c>
      <c r="M3078">
        <v>2020</v>
      </c>
      <c r="N3078" s="1">
        <v>44656</v>
      </c>
      <c r="O3078" t="s">
        <v>14495</v>
      </c>
      <c r="P3078">
        <v>1</v>
      </c>
      <c r="Q3078" t="s">
        <v>14065</v>
      </c>
      <c r="S3078">
        <v>217.95</v>
      </c>
      <c r="T3078">
        <v>250</v>
      </c>
      <c r="U3078">
        <v>190</v>
      </c>
      <c r="V3078" t="s">
        <v>42</v>
      </c>
      <c r="W3078" t="s">
        <v>116</v>
      </c>
      <c r="X3078" t="s">
        <v>116</v>
      </c>
      <c r="Y3078" t="s">
        <v>117</v>
      </c>
      <c r="AF3078" t="s">
        <v>13</v>
      </c>
      <c r="AG3078" t="str">
        <f>HYPERLINK("https://doi.org/10.1515/9781474439770")</f>
        <v>https://doi.org/10.1515/9781474439770</v>
      </c>
      <c r="AH3078" t="str">
        <f>HYPERLINK("http://www.degruyter.com/isbn/9781474439770")</f>
        <v>http://www.degruyter.com/isbn/9781474439770</v>
      </c>
      <c r="AI3078" t="s">
        <v>14</v>
      </c>
      <c r="AL3078" t="s">
        <v>47</v>
      </c>
      <c r="AM3078">
        <v>1</v>
      </c>
      <c r="AN3078" s="2">
        <v>9781474439756</v>
      </c>
    </row>
    <row r="3079" spans="1:40" x14ac:dyDescent="0.3">
      <c r="A3079" t="s">
        <v>14496</v>
      </c>
      <c r="B3079" t="s">
        <v>1</v>
      </c>
      <c r="C3079" t="s">
        <v>14497</v>
      </c>
      <c r="E3079" t="s">
        <v>14498</v>
      </c>
      <c r="F3079" t="s">
        <v>5</v>
      </c>
      <c r="G3079" t="s">
        <v>6</v>
      </c>
      <c r="L3079" t="s">
        <v>7</v>
      </c>
      <c r="M3079">
        <v>2019</v>
      </c>
      <c r="N3079" s="1">
        <v>44656</v>
      </c>
      <c r="O3079" t="s">
        <v>14499</v>
      </c>
      <c r="P3079">
        <v>1</v>
      </c>
      <c r="Q3079" t="s">
        <v>14060</v>
      </c>
      <c r="S3079">
        <v>253.95</v>
      </c>
      <c r="T3079">
        <v>290</v>
      </c>
      <c r="U3079">
        <v>220</v>
      </c>
      <c r="V3079" t="s">
        <v>98</v>
      </c>
      <c r="W3079" t="s">
        <v>99</v>
      </c>
      <c r="X3079" t="s">
        <v>386</v>
      </c>
      <c r="Y3079" t="s">
        <v>387</v>
      </c>
      <c r="AF3079" t="s">
        <v>13</v>
      </c>
      <c r="AG3079" t="str">
        <f>HYPERLINK("https://doi.org/10.1515/9781474440042")</f>
        <v>https://doi.org/10.1515/9781474440042</v>
      </c>
      <c r="AH3079" t="str">
        <f>HYPERLINK("http://www.degruyter.com/isbn/9781474440042")</f>
        <v>http://www.degruyter.com/isbn/9781474440042</v>
      </c>
      <c r="AI3079" t="s">
        <v>14461</v>
      </c>
      <c r="AL3079" t="s">
        <v>102</v>
      </c>
      <c r="AM3079">
        <v>1</v>
      </c>
      <c r="AN3079" s="2">
        <v>9781474440028</v>
      </c>
    </row>
    <row r="3080" spans="1:40" x14ac:dyDescent="0.3">
      <c r="A3080" t="s">
        <v>14500</v>
      </c>
      <c r="B3080" t="s">
        <v>1</v>
      </c>
      <c r="C3080" t="s">
        <v>14501</v>
      </c>
      <c r="E3080" t="s">
        <v>14502</v>
      </c>
      <c r="F3080" t="s">
        <v>5</v>
      </c>
      <c r="G3080" t="s">
        <v>6</v>
      </c>
      <c r="L3080" t="s">
        <v>7</v>
      </c>
      <c r="M3080">
        <v>2012</v>
      </c>
      <c r="N3080" s="1">
        <v>41080</v>
      </c>
      <c r="O3080" t="s">
        <v>14503</v>
      </c>
      <c r="P3080">
        <v>1</v>
      </c>
      <c r="S3080">
        <v>253.95</v>
      </c>
      <c r="T3080">
        <v>290</v>
      </c>
      <c r="U3080">
        <v>220</v>
      </c>
      <c r="V3080" t="s">
        <v>58</v>
      </c>
      <c r="W3080" t="s">
        <v>59</v>
      </c>
      <c r="X3080" t="s">
        <v>60</v>
      </c>
      <c r="Y3080" t="s">
        <v>145</v>
      </c>
      <c r="AF3080" t="s">
        <v>13</v>
      </c>
      <c r="AG3080" t="str">
        <f>HYPERLINK("https://doi.org/10.1515/9780748655557")</f>
        <v>https://doi.org/10.1515/9780748655557</v>
      </c>
      <c r="AH3080" t="str">
        <f>HYPERLINK("http://www.degruyter.com/isbn/9780748655557")</f>
        <v>http://www.degruyter.com/isbn/9780748655557</v>
      </c>
      <c r="AI3080" t="s">
        <v>68</v>
      </c>
      <c r="AL3080" t="s">
        <v>62</v>
      </c>
      <c r="AM3080">
        <v>1</v>
      </c>
      <c r="AN3080" s="2">
        <v>9780748640010</v>
      </c>
    </row>
    <row r="3081" spans="1:40" x14ac:dyDescent="0.3">
      <c r="A3081" t="s">
        <v>14504</v>
      </c>
      <c r="B3081" t="s">
        <v>1</v>
      </c>
      <c r="C3081" t="s">
        <v>14505</v>
      </c>
      <c r="D3081" t="s">
        <v>14506</v>
      </c>
      <c r="E3081" t="s">
        <v>14507</v>
      </c>
      <c r="F3081" t="s">
        <v>5</v>
      </c>
      <c r="G3081" t="s">
        <v>6</v>
      </c>
      <c r="L3081" t="s">
        <v>7</v>
      </c>
      <c r="M3081">
        <v>2017</v>
      </c>
      <c r="N3081" s="1">
        <v>42843</v>
      </c>
      <c r="O3081" t="s">
        <v>14508</v>
      </c>
      <c r="P3081">
        <v>1</v>
      </c>
      <c r="Q3081" t="s">
        <v>14122</v>
      </c>
      <c r="S3081">
        <v>217.95</v>
      </c>
      <c r="T3081">
        <v>250</v>
      </c>
      <c r="U3081">
        <v>190</v>
      </c>
      <c r="V3081" t="s">
        <v>79</v>
      </c>
      <c r="W3081" t="s">
        <v>227</v>
      </c>
      <c r="X3081" t="s">
        <v>2599</v>
      </c>
      <c r="Y3081" t="s">
        <v>2600</v>
      </c>
      <c r="AF3081" t="s">
        <v>13</v>
      </c>
      <c r="AG3081" t="str">
        <f>HYPERLINK("https://doi.org/10.1515/9781474415866?locatt=mode:legacy")</f>
        <v>https://doi.org/10.1515/9781474415866?locatt=mode:legacy</v>
      </c>
      <c r="AH3081" t="str">
        <f>HYPERLINK("http://www.degruyter.com/isbn/9781474415866")</f>
        <v>http://www.degruyter.com/isbn/9781474415866</v>
      </c>
      <c r="AI3081" t="s">
        <v>222</v>
      </c>
      <c r="AL3081" t="s">
        <v>83</v>
      </c>
      <c r="AM3081">
        <v>1</v>
      </c>
      <c r="AN3081" s="2">
        <v>9781474415859</v>
      </c>
    </row>
    <row r="3082" spans="1:40" x14ac:dyDescent="0.3">
      <c r="A3082" t="s">
        <v>14509</v>
      </c>
      <c r="B3082" t="s">
        <v>1</v>
      </c>
      <c r="C3082" t="s">
        <v>14510</v>
      </c>
      <c r="E3082" t="s">
        <v>14511</v>
      </c>
      <c r="F3082" t="s">
        <v>5</v>
      </c>
      <c r="G3082" t="s">
        <v>6</v>
      </c>
      <c r="L3082" t="s">
        <v>7</v>
      </c>
      <c r="M3082">
        <v>2014</v>
      </c>
      <c r="N3082" s="1">
        <v>41773</v>
      </c>
      <c r="O3082" t="s">
        <v>14512</v>
      </c>
      <c r="P3082">
        <v>1</v>
      </c>
      <c r="Q3082" t="s">
        <v>14060</v>
      </c>
      <c r="S3082">
        <v>253.95</v>
      </c>
      <c r="T3082">
        <v>290</v>
      </c>
      <c r="U3082">
        <v>220</v>
      </c>
      <c r="V3082" t="s">
        <v>98</v>
      </c>
      <c r="W3082" t="s">
        <v>99</v>
      </c>
      <c r="X3082" t="s">
        <v>386</v>
      </c>
      <c r="Y3082" t="s">
        <v>387</v>
      </c>
      <c r="AF3082" t="s">
        <v>13</v>
      </c>
      <c r="AG3082" t="str">
        <f>HYPERLINK("https://doi.org/10.1515/9780748645145")</f>
        <v>https://doi.org/10.1515/9780748645145</v>
      </c>
      <c r="AH3082" t="str">
        <f>HYPERLINK("http://www.degruyter.com/isbn/9780748645145")</f>
        <v>http://www.degruyter.com/isbn/9780748645145</v>
      </c>
      <c r="AI3082" t="s">
        <v>34</v>
      </c>
      <c r="AL3082" t="s">
        <v>102</v>
      </c>
      <c r="AM3082">
        <v>1</v>
      </c>
      <c r="AN3082" s="2">
        <v>9780748645138</v>
      </c>
    </row>
    <row r="3083" spans="1:40" x14ac:dyDescent="0.3">
      <c r="A3083" t="s">
        <v>14513</v>
      </c>
      <c r="B3083" t="s">
        <v>1</v>
      </c>
      <c r="C3083" t="s">
        <v>14514</v>
      </c>
      <c r="E3083" t="s">
        <v>14515</v>
      </c>
      <c r="F3083" t="s">
        <v>5</v>
      </c>
      <c r="G3083" t="s">
        <v>6</v>
      </c>
      <c r="L3083" t="s">
        <v>7</v>
      </c>
      <c r="M3083">
        <v>2017</v>
      </c>
      <c r="N3083" s="1">
        <v>42891</v>
      </c>
      <c r="O3083" t="s">
        <v>14516</v>
      </c>
      <c r="P3083">
        <v>1</v>
      </c>
      <c r="Q3083" t="s">
        <v>13595</v>
      </c>
      <c r="S3083">
        <v>227.95</v>
      </c>
      <c r="T3083">
        <v>260</v>
      </c>
      <c r="U3083">
        <v>200</v>
      </c>
      <c r="V3083" t="s">
        <v>42</v>
      </c>
      <c r="W3083" t="s">
        <v>116</v>
      </c>
      <c r="X3083" t="s">
        <v>116</v>
      </c>
      <c r="Y3083" t="s">
        <v>1129</v>
      </c>
      <c r="AF3083" t="s">
        <v>13</v>
      </c>
      <c r="AG3083" t="str">
        <f>HYPERLINK("https://doi.org/10.1515/9781474405263")</f>
        <v>https://doi.org/10.1515/9781474405263</v>
      </c>
      <c r="AH3083" t="str">
        <f>HYPERLINK("http://www.degruyter.com/isbn/9781474405263")</f>
        <v>http://www.degruyter.com/isbn/9781474405263</v>
      </c>
      <c r="AI3083" t="s">
        <v>222</v>
      </c>
      <c r="AL3083" t="s">
        <v>47</v>
      </c>
      <c r="AM3083">
        <v>1</v>
      </c>
      <c r="AN3083" s="2">
        <v>9781474405256</v>
      </c>
    </row>
    <row r="3084" spans="1:40" x14ac:dyDescent="0.3">
      <c r="A3084" t="s">
        <v>14517</v>
      </c>
      <c r="B3084" t="s">
        <v>1</v>
      </c>
      <c r="C3084" t="s">
        <v>14518</v>
      </c>
      <c r="D3084" t="s">
        <v>14519</v>
      </c>
      <c r="E3084" t="s">
        <v>14520</v>
      </c>
      <c r="F3084" t="s">
        <v>5</v>
      </c>
      <c r="G3084" t="s">
        <v>6</v>
      </c>
      <c r="L3084" t="s">
        <v>7</v>
      </c>
      <c r="M3084">
        <v>2020</v>
      </c>
      <c r="N3084" s="1">
        <v>44644</v>
      </c>
      <c r="O3084" t="s">
        <v>14521</v>
      </c>
      <c r="P3084">
        <v>1</v>
      </c>
      <c r="Q3084" t="s">
        <v>14522</v>
      </c>
      <c r="S3084">
        <v>415.95</v>
      </c>
      <c r="T3084">
        <v>470</v>
      </c>
      <c r="U3084">
        <v>360</v>
      </c>
      <c r="V3084" t="s">
        <v>42</v>
      </c>
      <c r="W3084" t="s">
        <v>290</v>
      </c>
      <c r="X3084" t="s">
        <v>290</v>
      </c>
      <c r="Y3084" t="s">
        <v>515</v>
      </c>
      <c r="AF3084" t="s">
        <v>13</v>
      </c>
      <c r="AG3084" t="str">
        <f>HYPERLINK("https://doi.org/10.1515/9781474469999")</f>
        <v>https://doi.org/10.1515/9781474469999</v>
      </c>
      <c r="AH3084" t="str">
        <f>HYPERLINK("http://www.degruyter.com/isbn/9781474469999")</f>
        <v>http://www.degruyter.com/isbn/9781474469999</v>
      </c>
      <c r="AI3084" t="s">
        <v>14</v>
      </c>
      <c r="AL3084" t="s">
        <v>47</v>
      </c>
      <c r="AM3084">
        <v>1</v>
      </c>
      <c r="AN3084" s="2">
        <v>9781474469982</v>
      </c>
    </row>
    <row r="3085" spans="1:40" x14ac:dyDescent="0.3">
      <c r="A3085" t="s">
        <v>14523</v>
      </c>
      <c r="B3085" t="s">
        <v>1</v>
      </c>
      <c r="C3085" t="s">
        <v>14524</v>
      </c>
      <c r="D3085" t="s">
        <v>14525</v>
      </c>
      <c r="E3085" t="s">
        <v>14526</v>
      </c>
      <c r="F3085" t="s">
        <v>5</v>
      </c>
      <c r="G3085" t="s">
        <v>6</v>
      </c>
      <c r="L3085" t="s">
        <v>7</v>
      </c>
      <c r="M3085">
        <v>2019</v>
      </c>
      <c r="N3085" s="1">
        <v>44644</v>
      </c>
      <c r="O3085" t="s">
        <v>14527</v>
      </c>
      <c r="P3085">
        <v>1</v>
      </c>
      <c r="Q3085" t="s">
        <v>14522</v>
      </c>
      <c r="S3085">
        <v>417.95</v>
      </c>
      <c r="T3085">
        <v>480</v>
      </c>
      <c r="U3085">
        <v>370</v>
      </c>
      <c r="V3085" t="s">
        <v>42</v>
      </c>
      <c r="W3085" t="s">
        <v>290</v>
      </c>
      <c r="X3085" t="s">
        <v>290</v>
      </c>
      <c r="Y3085" t="s">
        <v>515</v>
      </c>
      <c r="AF3085" t="s">
        <v>13</v>
      </c>
      <c r="AG3085" t="str">
        <f>HYPERLINK("https://doi.org/10.1515/9781474450652")</f>
        <v>https://doi.org/10.1515/9781474450652</v>
      </c>
      <c r="AH3085" t="str">
        <f>HYPERLINK("http://www.degruyter.com/isbn/9781474450652")</f>
        <v>http://www.degruyter.com/isbn/9781474450652</v>
      </c>
      <c r="AI3085" t="s">
        <v>280</v>
      </c>
      <c r="AL3085" t="s">
        <v>47</v>
      </c>
      <c r="AM3085">
        <v>1</v>
      </c>
      <c r="AN3085" s="2">
        <v>9781474450645</v>
      </c>
    </row>
    <row r="3086" spans="1:40" x14ac:dyDescent="0.3">
      <c r="A3086" t="s">
        <v>14528</v>
      </c>
      <c r="B3086" t="s">
        <v>1</v>
      </c>
      <c r="C3086" t="s">
        <v>14529</v>
      </c>
      <c r="D3086" t="s">
        <v>14193</v>
      </c>
      <c r="E3086" t="s">
        <v>14530</v>
      </c>
      <c r="F3086" t="s">
        <v>5</v>
      </c>
      <c r="G3086" t="s">
        <v>6</v>
      </c>
      <c r="L3086" t="s">
        <v>7</v>
      </c>
      <c r="M3086">
        <v>2022</v>
      </c>
      <c r="N3086" s="1">
        <v>44690</v>
      </c>
      <c r="O3086" t="s">
        <v>1730</v>
      </c>
      <c r="P3086">
        <v>1</v>
      </c>
      <c r="Q3086" t="s">
        <v>13460</v>
      </c>
      <c r="S3086">
        <v>243.95</v>
      </c>
      <c r="T3086">
        <v>280</v>
      </c>
      <c r="U3086">
        <v>210</v>
      </c>
      <c r="V3086" t="s">
        <v>20</v>
      </c>
      <c r="W3086" t="s">
        <v>21</v>
      </c>
      <c r="X3086" t="s">
        <v>458</v>
      </c>
      <c r="Y3086" t="s">
        <v>459</v>
      </c>
      <c r="AF3086" t="s">
        <v>13</v>
      </c>
      <c r="AG3086" t="str">
        <f>HYPERLINK("https://doi.org/10.1515/9781474486002")</f>
        <v>https://doi.org/10.1515/9781474486002</v>
      </c>
      <c r="AH3086" t="str">
        <f>HYPERLINK("http://www.degruyter.com/isbn/9781474486002")</f>
        <v>http://www.degruyter.com/isbn/9781474486002</v>
      </c>
      <c r="AI3086" t="s">
        <v>13908</v>
      </c>
      <c r="AJ3086" t="s">
        <v>35</v>
      </c>
      <c r="AM3086">
        <v>1</v>
      </c>
      <c r="AN3086" s="2">
        <v>9781474485982</v>
      </c>
    </row>
    <row r="3087" spans="1:40" x14ac:dyDescent="0.3">
      <c r="A3087" t="s">
        <v>14531</v>
      </c>
      <c r="B3087" t="s">
        <v>1</v>
      </c>
      <c r="C3087" t="s">
        <v>14532</v>
      </c>
      <c r="D3087" t="s">
        <v>14533</v>
      </c>
      <c r="E3087" t="s">
        <v>14534</v>
      </c>
      <c r="F3087" t="s">
        <v>5</v>
      </c>
      <c r="G3087" t="s">
        <v>6</v>
      </c>
      <c r="L3087" t="s">
        <v>7</v>
      </c>
      <c r="M3087">
        <v>2006</v>
      </c>
      <c r="N3087" s="1">
        <v>38838</v>
      </c>
      <c r="O3087" t="s">
        <v>14535</v>
      </c>
      <c r="P3087">
        <v>1</v>
      </c>
      <c r="Q3087" t="s">
        <v>14046</v>
      </c>
      <c r="S3087">
        <v>339.95</v>
      </c>
      <c r="T3087">
        <v>390</v>
      </c>
      <c r="U3087">
        <v>300</v>
      </c>
      <c r="V3087" t="s">
        <v>42</v>
      </c>
      <c r="W3087" t="s">
        <v>107</v>
      </c>
      <c r="X3087" t="s">
        <v>108</v>
      </c>
      <c r="Y3087" t="s">
        <v>952</v>
      </c>
      <c r="AF3087" t="s">
        <v>13</v>
      </c>
      <c r="AG3087" t="str">
        <f>HYPERLINK("https://doi.org/10.1515/9781474441995")</f>
        <v>https://doi.org/10.1515/9781474441995</v>
      </c>
      <c r="AH3087" t="str">
        <f>HYPERLINK("http://www.degruyter.com/isbn/9781474441995")</f>
        <v>http://www.degruyter.com/isbn/9781474441995</v>
      </c>
      <c r="AI3087" t="s">
        <v>68</v>
      </c>
      <c r="AL3087" t="s">
        <v>47</v>
      </c>
      <c r="AM3087">
        <v>1</v>
      </c>
      <c r="AN3087" s="2">
        <v>9780748618057</v>
      </c>
    </row>
    <row r="3088" spans="1:40" x14ac:dyDescent="0.3">
      <c r="A3088" t="s">
        <v>14536</v>
      </c>
      <c r="B3088" t="s">
        <v>1</v>
      </c>
      <c r="C3088" t="s">
        <v>14537</v>
      </c>
      <c r="D3088" t="s">
        <v>14538</v>
      </c>
      <c r="E3088" t="s">
        <v>14539</v>
      </c>
      <c r="F3088" t="s">
        <v>5</v>
      </c>
      <c r="G3088" t="s">
        <v>6</v>
      </c>
      <c r="L3088" t="s">
        <v>7</v>
      </c>
      <c r="M3088">
        <v>2020</v>
      </c>
      <c r="N3088" s="1">
        <v>44644</v>
      </c>
      <c r="O3088" t="s">
        <v>14540</v>
      </c>
      <c r="P3088">
        <v>1</v>
      </c>
      <c r="Q3088" t="s">
        <v>14065</v>
      </c>
      <c r="S3088">
        <v>217.95</v>
      </c>
      <c r="T3088">
        <v>250</v>
      </c>
      <c r="U3088">
        <v>190</v>
      </c>
      <c r="V3088" t="s">
        <v>42</v>
      </c>
      <c r="W3088" t="s">
        <v>116</v>
      </c>
      <c r="X3088" t="s">
        <v>116</v>
      </c>
      <c r="Y3088" t="s">
        <v>117</v>
      </c>
      <c r="AF3088" t="s">
        <v>13</v>
      </c>
      <c r="AG3088" t="str">
        <f>HYPERLINK("https://doi.org/10.1515/9781474461597")</f>
        <v>https://doi.org/10.1515/9781474461597</v>
      </c>
      <c r="AH3088" t="str">
        <f>HYPERLINK("http://www.degruyter.com/isbn/9781474461597")</f>
        <v>http://www.degruyter.com/isbn/9781474461597</v>
      </c>
      <c r="AI3088" t="s">
        <v>14</v>
      </c>
      <c r="AL3088" t="s">
        <v>47</v>
      </c>
      <c r="AM3088">
        <v>1</v>
      </c>
      <c r="AN3088" s="2">
        <v>9781474461573</v>
      </c>
    </row>
    <row r="3089" spans="1:40" x14ac:dyDescent="0.3">
      <c r="A3089" t="s">
        <v>14541</v>
      </c>
      <c r="B3089" t="s">
        <v>1</v>
      </c>
      <c r="C3089" t="s">
        <v>14542</v>
      </c>
      <c r="D3089" t="s">
        <v>14543</v>
      </c>
      <c r="E3089" t="s">
        <v>14544</v>
      </c>
      <c r="F3089" t="s">
        <v>5</v>
      </c>
      <c r="G3089" t="s">
        <v>6</v>
      </c>
      <c r="L3089" t="s">
        <v>7</v>
      </c>
      <c r="M3089">
        <v>2021</v>
      </c>
      <c r="N3089" s="1">
        <v>44644</v>
      </c>
      <c r="O3089" t="s">
        <v>14545</v>
      </c>
      <c r="P3089">
        <v>1</v>
      </c>
      <c r="Q3089" t="s">
        <v>13391</v>
      </c>
      <c r="S3089">
        <v>217.95</v>
      </c>
      <c r="T3089">
        <v>250</v>
      </c>
      <c r="U3089">
        <v>190</v>
      </c>
      <c r="V3089" t="s">
        <v>42</v>
      </c>
      <c r="W3089" t="s">
        <v>107</v>
      </c>
      <c r="X3089" t="s">
        <v>108</v>
      </c>
      <c r="Y3089" t="s">
        <v>221</v>
      </c>
      <c r="AF3089" t="s">
        <v>13</v>
      </c>
      <c r="AG3089" t="str">
        <f>HYPERLINK("https://doi.org/10.1515/9781474491969")</f>
        <v>https://doi.org/10.1515/9781474491969</v>
      </c>
      <c r="AH3089" t="str">
        <f>HYPERLINK("http://www.degruyter.com/isbn/9781474491969")</f>
        <v>http://www.degruyter.com/isbn/9781474491969</v>
      </c>
      <c r="AI3089" t="s">
        <v>1561</v>
      </c>
      <c r="AL3089" t="s">
        <v>47</v>
      </c>
      <c r="AM3089">
        <v>1</v>
      </c>
      <c r="AN3089" s="2">
        <v>9781474491945</v>
      </c>
    </row>
    <row r="3090" spans="1:40" x14ac:dyDescent="0.3">
      <c r="A3090" t="s">
        <v>14546</v>
      </c>
      <c r="B3090" t="s">
        <v>1</v>
      </c>
      <c r="C3090" t="s">
        <v>14547</v>
      </c>
      <c r="D3090" t="s">
        <v>14548</v>
      </c>
      <c r="E3090" t="s">
        <v>14549</v>
      </c>
      <c r="F3090" t="s">
        <v>5</v>
      </c>
      <c r="G3090" t="s">
        <v>6</v>
      </c>
      <c r="L3090" t="s">
        <v>7</v>
      </c>
      <c r="M3090">
        <v>2021</v>
      </c>
      <c r="N3090" s="1">
        <v>44656</v>
      </c>
      <c r="O3090" t="s">
        <v>14550</v>
      </c>
      <c r="P3090">
        <v>1</v>
      </c>
      <c r="Q3090" t="s">
        <v>14175</v>
      </c>
      <c r="S3090">
        <v>217.95</v>
      </c>
      <c r="T3090">
        <v>250</v>
      </c>
      <c r="U3090">
        <v>190</v>
      </c>
      <c r="V3090" t="s">
        <v>329</v>
      </c>
      <c r="W3090" t="s">
        <v>330</v>
      </c>
      <c r="X3090" t="s">
        <v>331</v>
      </c>
      <c r="Y3090" t="s">
        <v>4770</v>
      </c>
      <c r="AF3090" t="s">
        <v>13</v>
      </c>
      <c r="AG3090" t="str">
        <f>HYPERLINK("https://doi.org/10.1515/9781474475662")</f>
        <v>https://doi.org/10.1515/9781474475662</v>
      </c>
      <c r="AH3090" t="str">
        <f>HYPERLINK("http://www.degruyter.com/isbn/9781474475662")</f>
        <v>http://www.degruyter.com/isbn/9781474475662</v>
      </c>
      <c r="AI3090" t="s">
        <v>10174</v>
      </c>
      <c r="AL3090" t="s">
        <v>333</v>
      </c>
      <c r="AM3090">
        <v>1</v>
      </c>
      <c r="AN3090" s="2">
        <v>9781474475648</v>
      </c>
    </row>
    <row r="3091" spans="1:40" x14ac:dyDescent="0.3">
      <c r="A3091" t="s">
        <v>14551</v>
      </c>
      <c r="B3091" t="s">
        <v>1</v>
      </c>
      <c r="C3091" t="s">
        <v>14552</v>
      </c>
      <c r="D3091" t="s">
        <v>14553</v>
      </c>
      <c r="E3091" t="s">
        <v>14554</v>
      </c>
      <c r="F3091" t="s">
        <v>5</v>
      </c>
      <c r="G3091" t="s">
        <v>6</v>
      </c>
      <c r="L3091" t="s">
        <v>7</v>
      </c>
      <c r="M3091">
        <v>2016</v>
      </c>
      <c r="N3091" s="1">
        <v>42450</v>
      </c>
      <c r="O3091" t="s">
        <v>14555</v>
      </c>
      <c r="P3091">
        <v>1</v>
      </c>
      <c r="Q3091" t="s">
        <v>14556</v>
      </c>
      <c r="S3091">
        <v>204.95</v>
      </c>
      <c r="T3091">
        <v>230</v>
      </c>
      <c r="U3091">
        <v>186.5</v>
      </c>
      <c r="V3091" t="s">
        <v>42</v>
      </c>
      <c r="W3091" t="s">
        <v>116</v>
      </c>
      <c r="X3091" t="s">
        <v>116</v>
      </c>
      <c r="Y3091" t="s">
        <v>1129</v>
      </c>
      <c r="AF3091" t="s">
        <v>13</v>
      </c>
      <c r="AG3091" t="str">
        <f>HYPERLINK("https://doi.org/10.1515/9781399504164")</f>
        <v>https://doi.org/10.1515/9781399504164</v>
      </c>
      <c r="AH3091" t="str">
        <f>HYPERLINK("http://www.degruyter.com/isbn/9781399504164")</f>
        <v>http://www.degruyter.com/isbn/9781399504164</v>
      </c>
      <c r="AI3091" t="s">
        <v>180</v>
      </c>
      <c r="AL3091" t="s">
        <v>47</v>
      </c>
      <c r="AM3091">
        <v>1</v>
      </c>
      <c r="AN3091" s="2">
        <v>9780748685059</v>
      </c>
    </row>
    <row r="3092" spans="1:40" x14ac:dyDescent="0.3">
      <c r="A3092" t="s">
        <v>14557</v>
      </c>
      <c r="B3092" t="s">
        <v>1</v>
      </c>
      <c r="C3092" t="s">
        <v>14558</v>
      </c>
      <c r="D3092" t="s">
        <v>14559</v>
      </c>
      <c r="E3092" t="s">
        <v>14560</v>
      </c>
      <c r="F3092" t="s">
        <v>5</v>
      </c>
      <c r="G3092" t="s">
        <v>6</v>
      </c>
      <c r="L3092" t="s">
        <v>7</v>
      </c>
      <c r="M3092">
        <v>2021</v>
      </c>
      <c r="N3092" s="1">
        <v>44644</v>
      </c>
      <c r="O3092" t="s">
        <v>14561</v>
      </c>
      <c r="P3092">
        <v>1</v>
      </c>
      <c r="Q3092" t="s">
        <v>13749</v>
      </c>
      <c r="S3092">
        <v>217.95</v>
      </c>
      <c r="T3092">
        <v>250</v>
      </c>
      <c r="U3092">
        <v>190</v>
      </c>
      <c r="V3092" t="s">
        <v>42</v>
      </c>
      <c r="W3092" t="s">
        <v>107</v>
      </c>
      <c r="X3092" t="s">
        <v>108</v>
      </c>
      <c r="Y3092" t="s">
        <v>221</v>
      </c>
      <c r="AF3092" t="s">
        <v>13</v>
      </c>
      <c r="AG3092" t="str">
        <f>HYPERLINK("https://doi.org/10.1515/9781474475426")</f>
        <v>https://doi.org/10.1515/9781474475426</v>
      </c>
      <c r="AH3092" t="str">
        <f>HYPERLINK("http://www.degruyter.com/isbn/9781474475426")</f>
        <v>http://www.degruyter.com/isbn/9781474475426</v>
      </c>
      <c r="AI3092" t="s">
        <v>1561</v>
      </c>
      <c r="AL3092" t="s">
        <v>47</v>
      </c>
      <c r="AM3092">
        <v>1</v>
      </c>
      <c r="AN3092" s="2">
        <v>9781474475402</v>
      </c>
    </row>
    <row r="3093" spans="1:40" x14ac:dyDescent="0.3">
      <c r="A3093" t="s">
        <v>14562</v>
      </c>
      <c r="B3093" t="s">
        <v>1</v>
      </c>
      <c r="C3093" t="s">
        <v>14563</v>
      </c>
      <c r="E3093" t="s">
        <v>14564</v>
      </c>
      <c r="F3093" t="s">
        <v>5</v>
      </c>
      <c r="G3093" t="s">
        <v>6</v>
      </c>
      <c r="L3093" t="s">
        <v>7</v>
      </c>
      <c r="M3093">
        <v>2020</v>
      </c>
      <c r="N3093" s="1">
        <v>44644</v>
      </c>
      <c r="O3093" t="s">
        <v>14565</v>
      </c>
      <c r="P3093">
        <v>1</v>
      </c>
      <c r="Q3093" t="s">
        <v>14307</v>
      </c>
      <c r="S3093">
        <v>217.95</v>
      </c>
      <c r="T3093">
        <v>250</v>
      </c>
      <c r="U3093">
        <v>190</v>
      </c>
      <c r="V3093" t="s">
        <v>329</v>
      </c>
      <c r="W3093" t="s">
        <v>330</v>
      </c>
      <c r="X3093" t="s">
        <v>331</v>
      </c>
      <c r="Y3093" t="s">
        <v>332</v>
      </c>
      <c r="AF3093" t="s">
        <v>13</v>
      </c>
      <c r="AG3093" t="str">
        <f>HYPERLINK("https://doi.org/10.1515/9781474452571")</f>
        <v>https://doi.org/10.1515/9781474452571</v>
      </c>
      <c r="AH3093" t="str">
        <f>HYPERLINK("http://www.degruyter.com/isbn/9781474452571")</f>
        <v>http://www.degruyter.com/isbn/9781474452571</v>
      </c>
      <c r="AI3093" t="s">
        <v>14</v>
      </c>
      <c r="AL3093" t="s">
        <v>333</v>
      </c>
      <c r="AM3093">
        <v>1</v>
      </c>
      <c r="AN3093" s="2">
        <v>9781474452557</v>
      </c>
    </row>
    <row r="3094" spans="1:40" x14ac:dyDescent="0.3">
      <c r="A3094" t="s">
        <v>14566</v>
      </c>
      <c r="B3094" t="s">
        <v>1</v>
      </c>
      <c r="C3094" t="s">
        <v>14567</v>
      </c>
      <c r="E3094" t="s">
        <v>14568</v>
      </c>
      <c r="F3094" t="s">
        <v>5</v>
      </c>
      <c r="G3094" t="s">
        <v>6</v>
      </c>
      <c r="L3094" t="s">
        <v>7</v>
      </c>
      <c r="M3094">
        <v>2012</v>
      </c>
      <c r="N3094" s="1">
        <v>41183</v>
      </c>
      <c r="O3094" t="s">
        <v>14569</v>
      </c>
      <c r="P3094">
        <v>1</v>
      </c>
      <c r="Q3094" t="s">
        <v>14556</v>
      </c>
      <c r="S3094">
        <v>209.95</v>
      </c>
      <c r="T3094">
        <v>240</v>
      </c>
      <c r="U3094">
        <v>180</v>
      </c>
      <c r="V3094" t="s">
        <v>42</v>
      </c>
      <c r="W3094" t="s">
        <v>116</v>
      </c>
      <c r="X3094" t="s">
        <v>116</v>
      </c>
      <c r="Y3094" t="s">
        <v>1129</v>
      </c>
      <c r="AF3094" t="s">
        <v>13</v>
      </c>
      <c r="AG3094" t="str">
        <f>HYPERLINK("https://doi.org/10.1515/9781399503976")</f>
        <v>https://doi.org/10.1515/9781399503976</v>
      </c>
      <c r="AH3094" t="str">
        <f>HYPERLINK("http://www.degruyter.com/isbn/9781399503976")</f>
        <v>http://www.degruyter.com/isbn/9781399503976</v>
      </c>
      <c r="AI3094" t="s">
        <v>68</v>
      </c>
      <c r="AL3094" t="s">
        <v>47</v>
      </c>
      <c r="AM3094">
        <v>1</v>
      </c>
      <c r="AN3094" s="2">
        <v>9780748642748</v>
      </c>
    </row>
    <row r="3095" spans="1:40" x14ac:dyDescent="0.3">
      <c r="A3095" t="s">
        <v>14570</v>
      </c>
      <c r="B3095" t="s">
        <v>1</v>
      </c>
      <c r="C3095" t="s">
        <v>14571</v>
      </c>
      <c r="D3095" t="s">
        <v>14572</v>
      </c>
      <c r="E3095" t="s">
        <v>14573</v>
      </c>
      <c r="F3095" t="s">
        <v>5</v>
      </c>
      <c r="G3095" t="s">
        <v>6</v>
      </c>
      <c r="L3095" t="s">
        <v>7</v>
      </c>
      <c r="M3095">
        <v>2017</v>
      </c>
      <c r="N3095" s="1">
        <v>43094</v>
      </c>
      <c r="O3095" t="s">
        <v>14574</v>
      </c>
      <c r="P3095">
        <v>1</v>
      </c>
      <c r="Q3095" t="s">
        <v>14522</v>
      </c>
      <c r="S3095">
        <v>417.95</v>
      </c>
      <c r="T3095">
        <v>480</v>
      </c>
      <c r="U3095">
        <v>370</v>
      </c>
      <c r="V3095" t="s">
        <v>42</v>
      </c>
      <c r="W3095" t="s">
        <v>107</v>
      </c>
      <c r="X3095" t="s">
        <v>108</v>
      </c>
      <c r="Y3095" t="s">
        <v>109</v>
      </c>
      <c r="AF3095" t="s">
        <v>13</v>
      </c>
      <c r="AG3095" t="str">
        <f>HYPERLINK("https://doi.org/10.1515/9781474412544")</f>
        <v>https://doi.org/10.1515/9781474412544</v>
      </c>
      <c r="AH3095" t="str">
        <f>HYPERLINK("http://www.degruyter.com/isbn/9781474412544")</f>
        <v>http://www.degruyter.com/isbn/9781474412544</v>
      </c>
      <c r="AI3095" t="s">
        <v>222</v>
      </c>
      <c r="AL3095" t="s">
        <v>47</v>
      </c>
      <c r="AM3095">
        <v>1</v>
      </c>
      <c r="AN3095" s="2">
        <v>9781474412537</v>
      </c>
    </row>
    <row r="3096" spans="1:40" x14ac:dyDescent="0.3">
      <c r="A3096" t="s">
        <v>14575</v>
      </c>
      <c r="B3096" t="s">
        <v>1</v>
      </c>
      <c r="C3096" t="s">
        <v>14576</v>
      </c>
      <c r="E3096" t="s">
        <v>14577</v>
      </c>
      <c r="F3096" t="s">
        <v>5</v>
      </c>
      <c r="G3096" t="s">
        <v>6</v>
      </c>
      <c r="L3096" t="s">
        <v>7</v>
      </c>
      <c r="M3096">
        <v>2021</v>
      </c>
      <c r="N3096" s="1">
        <v>44770</v>
      </c>
      <c r="O3096" t="s">
        <v>564</v>
      </c>
      <c r="P3096">
        <v>1</v>
      </c>
      <c r="S3096">
        <v>217.95</v>
      </c>
      <c r="T3096">
        <v>250</v>
      </c>
      <c r="U3096">
        <v>190</v>
      </c>
      <c r="V3096" t="s">
        <v>98</v>
      </c>
      <c r="W3096" t="s">
        <v>99</v>
      </c>
      <c r="X3096" t="s">
        <v>2010</v>
      </c>
      <c r="Y3096" t="s">
        <v>2011</v>
      </c>
      <c r="AF3096" t="s">
        <v>13</v>
      </c>
      <c r="AG3096" t="str">
        <f>HYPERLINK("https://doi.org/10.1515/9780748682737")</f>
        <v>https://doi.org/10.1515/9780748682737</v>
      </c>
      <c r="AH3096" t="str">
        <f>HYPERLINK("http://www.degruyter.com/isbn/9780748682737")</f>
        <v>http://www.degruyter.com/isbn/9780748682737</v>
      </c>
      <c r="AI3096" t="s">
        <v>11238</v>
      </c>
      <c r="AL3096" t="s">
        <v>102</v>
      </c>
      <c r="AM3096">
        <v>1</v>
      </c>
      <c r="AN3096" s="2">
        <v>9780748682744</v>
      </c>
    </row>
    <row r="3097" spans="1:40" x14ac:dyDescent="0.3">
      <c r="A3097" t="s">
        <v>14578</v>
      </c>
      <c r="B3097" t="s">
        <v>1</v>
      </c>
      <c r="C3097" t="s">
        <v>14579</v>
      </c>
      <c r="D3097" t="s">
        <v>14580</v>
      </c>
      <c r="E3097" t="s">
        <v>14581</v>
      </c>
      <c r="F3097" t="s">
        <v>5</v>
      </c>
      <c r="G3097" t="s">
        <v>6</v>
      </c>
      <c r="L3097" t="s">
        <v>7</v>
      </c>
      <c r="M3097">
        <v>2021</v>
      </c>
      <c r="N3097" s="1">
        <v>44672</v>
      </c>
      <c r="O3097" t="s">
        <v>14582</v>
      </c>
      <c r="P3097">
        <v>1</v>
      </c>
      <c r="S3097">
        <v>243.95</v>
      </c>
      <c r="T3097">
        <v>280</v>
      </c>
      <c r="U3097">
        <v>210</v>
      </c>
      <c r="V3097" t="s">
        <v>89</v>
      </c>
      <c r="W3097" t="s">
        <v>90</v>
      </c>
      <c r="X3097" t="s">
        <v>91</v>
      </c>
      <c r="Y3097" t="s">
        <v>1914</v>
      </c>
      <c r="AF3097" t="s">
        <v>13</v>
      </c>
      <c r="AG3097" t="str">
        <f>HYPERLINK("https://doi.org/10.1515/9781474482240")</f>
        <v>https://doi.org/10.1515/9781474482240</v>
      </c>
      <c r="AH3097" t="str">
        <f>HYPERLINK("http://www.degruyter.com/isbn/9781474482240")</f>
        <v>http://www.degruyter.com/isbn/9781474482240</v>
      </c>
      <c r="AI3097" t="s">
        <v>10205</v>
      </c>
      <c r="AL3097" t="s">
        <v>83</v>
      </c>
      <c r="AM3097">
        <v>1</v>
      </c>
      <c r="AN3097" s="2">
        <v>9781474482226</v>
      </c>
    </row>
    <row r="3098" spans="1:40" x14ac:dyDescent="0.3">
      <c r="A3098" t="s">
        <v>14583</v>
      </c>
      <c r="B3098" t="s">
        <v>1</v>
      </c>
      <c r="C3098" t="s">
        <v>14584</v>
      </c>
      <c r="D3098" t="s">
        <v>14585</v>
      </c>
      <c r="E3098" t="s">
        <v>14586</v>
      </c>
      <c r="F3098" t="s">
        <v>5</v>
      </c>
      <c r="G3098" t="s">
        <v>6</v>
      </c>
      <c r="K3098" t="s">
        <v>923</v>
      </c>
      <c r="L3098" t="s">
        <v>7</v>
      </c>
      <c r="M3098">
        <v>2021</v>
      </c>
      <c r="N3098" s="1">
        <v>44537</v>
      </c>
      <c r="O3098" t="s">
        <v>14587</v>
      </c>
      <c r="P3098">
        <v>1</v>
      </c>
      <c r="V3098" t="s">
        <v>20</v>
      </c>
      <c r="W3098" t="s">
        <v>21</v>
      </c>
      <c r="X3098" t="s">
        <v>22</v>
      </c>
      <c r="Y3098" t="s">
        <v>23</v>
      </c>
      <c r="AF3098" t="s">
        <v>13</v>
      </c>
      <c r="AG3098" t="str">
        <f>HYPERLINK("https://doi.org/10.1515/9781474493093")</f>
        <v>https://doi.org/10.1515/9781474493093</v>
      </c>
      <c r="AH3098" t="str">
        <f>HYPERLINK("http://www.degruyter.com/isbn/9781474493093")</f>
        <v>http://www.degruyter.com/isbn/9781474493093</v>
      </c>
      <c r="AI3098" t="s">
        <v>110</v>
      </c>
      <c r="AM3098">
        <v>1</v>
      </c>
      <c r="AN3098" s="2"/>
    </row>
    <row r="3099" spans="1:40" x14ac:dyDescent="0.3">
      <c r="A3099" t="s">
        <v>14588</v>
      </c>
      <c r="B3099" t="s">
        <v>1</v>
      </c>
      <c r="C3099" t="s">
        <v>14589</v>
      </c>
      <c r="D3099" t="s">
        <v>14590</v>
      </c>
      <c r="E3099" t="s">
        <v>14591</v>
      </c>
      <c r="F3099" t="s">
        <v>5</v>
      </c>
      <c r="G3099" t="s">
        <v>6</v>
      </c>
      <c r="L3099" t="s">
        <v>7</v>
      </c>
      <c r="M3099">
        <v>2022</v>
      </c>
      <c r="N3099" s="1">
        <v>44690</v>
      </c>
      <c r="O3099" t="s">
        <v>14592</v>
      </c>
      <c r="P3099">
        <v>1</v>
      </c>
      <c r="S3099">
        <v>217.95</v>
      </c>
      <c r="T3099">
        <v>250</v>
      </c>
      <c r="U3099">
        <v>190</v>
      </c>
      <c r="V3099" t="s">
        <v>9</v>
      </c>
      <c r="W3099" t="s">
        <v>10</v>
      </c>
      <c r="X3099" t="s">
        <v>11</v>
      </c>
      <c r="Y3099" t="s">
        <v>52</v>
      </c>
      <c r="AF3099" t="s">
        <v>13</v>
      </c>
      <c r="AG3099" t="str">
        <f>HYPERLINK("https://doi.org/10.1515/9781474494632")</f>
        <v>https://doi.org/10.1515/9781474494632</v>
      </c>
      <c r="AH3099" t="str">
        <f>HYPERLINK("http://www.degruyter.com/isbn/9781474494632")</f>
        <v>http://www.degruyter.com/isbn/9781474494632</v>
      </c>
      <c r="AI3099" t="s">
        <v>13913</v>
      </c>
      <c r="AL3099" t="s">
        <v>15</v>
      </c>
      <c r="AM3099">
        <v>1</v>
      </c>
      <c r="AN3099" s="2">
        <v>9781474494618</v>
      </c>
    </row>
    <row r="3100" spans="1:40" x14ac:dyDescent="0.3">
      <c r="A3100" t="s">
        <v>14593</v>
      </c>
      <c r="B3100" t="s">
        <v>1</v>
      </c>
      <c r="C3100" t="s">
        <v>14594</v>
      </c>
      <c r="E3100" t="s">
        <v>14595</v>
      </c>
      <c r="F3100" t="s">
        <v>5</v>
      </c>
      <c r="G3100" t="s">
        <v>6</v>
      </c>
      <c r="L3100" t="s">
        <v>7</v>
      </c>
      <c r="M3100">
        <v>2021</v>
      </c>
      <c r="N3100" s="1">
        <v>44672</v>
      </c>
      <c r="O3100" t="s">
        <v>14596</v>
      </c>
      <c r="P3100">
        <v>1</v>
      </c>
      <c r="S3100">
        <v>217.95</v>
      </c>
      <c r="T3100">
        <v>250</v>
      </c>
      <c r="U3100">
        <v>190</v>
      </c>
      <c r="V3100" t="s">
        <v>9</v>
      </c>
      <c r="W3100" t="s">
        <v>10</v>
      </c>
      <c r="X3100" t="s">
        <v>11</v>
      </c>
      <c r="Y3100" t="s">
        <v>52</v>
      </c>
      <c r="AF3100" t="s">
        <v>13</v>
      </c>
      <c r="AG3100" t="str">
        <f>HYPERLINK("https://doi.org/10.1515/9781474461146")</f>
        <v>https://doi.org/10.1515/9781474461146</v>
      </c>
      <c r="AH3100" t="str">
        <f>HYPERLINK("http://www.degruyter.com/isbn/9781474461146")</f>
        <v>http://www.degruyter.com/isbn/9781474461146</v>
      </c>
      <c r="AI3100" t="s">
        <v>908</v>
      </c>
      <c r="AL3100" t="s">
        <v>15</v>
      </c>
      <c r="AM3100">
        <v>1</v>
      </c>
      <c r="AN3100" s="2">
        <v>9781474461122</v>
      </c>
    </row>
    <row r="3101" spans="1:40" x14ac:dyDescent="0.3">
      <c r="A3101" t="s">
        <v>14597</v>
      </c>
      <c r="B3101" t="s">
        <v>1</v>
      </c>
      <c r="C3101" t="s">
        <v>14598</v>
      </c>
      <c r="D3101" t="s">
        <v>14599</v>
      </c>
      <c r="E3101" t="s">
        <v>14600</v>
      </c>
      <c r="F3101" t="s">
        <v>5</v>
      </c>
      <c r="G3101" t="s">
        <v>6</v>
      </c>
      <c r="L3101" t="s">
        <v>7</v>
      </c>
      <c r="M3101">
        <v>2018</v>
      </c>
      <c r="N3101" s="1">
        <v>44656</v>
      </c>
      <c r="O3101" t="s">
        <v>14601</v>
      </c>
      <c r="P3101">
        <v>1</v>
      </c>
      <c r="Q3101" t="s">
        <v>14122</v>
      </c>
      <c r="S3101">
        <v>217.95</v>
      </c>
      <c r="T3101">
        <v>250</v>
      </c>
      <c r="U3101">
        <v>190</v>
      </c>
      <c r="V3101" t="s">
        <v>297</v>
      </c>
      <c r="W3101" t="s">
        <v>10736</v>
      </c>
      <c r="X3101" t="s">
        <v>10736</v>
      </c>
      <c r="Y3101" t="s">
        <v>10737</v>
      </c>
      <c r="AF3101" t="s">
        <v>13</v>
      </c>
      <c r="AG3101" t="str">
        <f>HYPERLINK("https://doi.org/10.1515/9781474435079?locatt=mode:legacy")</f>
        <v>https://doi.org/10.1515/9781474435079?locatt=mode:legacy</v>
      </c>
      <c r="AH3101" t="str">
        <f>HYPERLINK("http://www.degruyter.com/isbn/9781474435079")</f>
        <v>http://www.degruyter.com/isbn/9781474435079</v>
      </c>
      <c r="AI3101" t="s">
        <v>46</v>
      </c>
      <c r="AJ3101" t="s">
        <v>35</v>
      </c>
      <c r="AL3101" t="s">
        <v>718</v>
      </c>
      <c r="AM3101">
        <v>1</v>
      </c>
      <c r="AN3101" s="2">
        <v>9781474435055</v>
      </c>
    </row>
    <row r="3102" spans="1:40" x14ac:dyDescent="0.3">
      <c r="A3102" t="s">
        <v>14602</v>
      </c>
      <c r="B3102" t="s">
        <v>1</v>
      </c>
      <c r="C3102" t="s">
        <v>14603</v>
      </c>
      <c r="D3102" t="s">
        <v>14604</v>
      </c>
      <c r="E3102" t="s">
        <v>14450</v>
      </c>
      <c r="F3102" t="s">
        <v>5</v>
      </c>
      <c r="G3102" t="s">
        <v>6</v>
      </c>
      <c r="L3102" t="s">
        <v>7</v>
      </c>
      <c r="M3102">
        <v>2020</v>
      </c>
      <c r="N3102" s="1">
        <v>44644</v>
      </c>
      <c r="O3102" t="s">
        <v>14605</v>
      </c>
      <c r="P3102">
        <v>1</v>
      </c>
      <c r="Q3102" t="s">
        <v>14452</v>
      </c>
      <c r="R3102" s="3" t="s">
        <v>12418</v>
      </c>
      <c r="S3102">
        <v>521.95000000000005</v>
      </c>
      <c r="T3102">
        <v>600</v>
      </c>
      <c r="U3102">
        <v>450</v>
      </c>
      <c r="V3102" t="s">
        <v>42</v>
      </c>
      <c r="W3102" t="s">
        <v>107</v>
      </c>
      <c r="X3102" t="s">
        <v>108</v>
      </c>
      <c r="Y3102" t="s">
        <v>109</v>
      </c>
      <c r="AF3102" t="s">
        <v>13</v>
      </c>
      <c r="AG3102" t="str">
        <f>HYPERLINK("https://doi.org/10.1515/9781474424943")</f>
        <v>https://doi.org/10.1515/9781474424943</v>
      </c>
      <c r="AH3102" t="str">
        <f>HYPERLINK("http://www.degruyter.com/isbn/9781474424943")</f>
        <v>http://www.degruyter.com/isbn/9781474424943</v>
      </c>
      <c r="AI3102" t="s">
        <v>14453</v>
      </c>
      <c r="AL3102" t="s">
        <v>47</v>
      </c>
      <c r="AM3102">
        <v>1</v>
      </c>
      <c r="AN3102" s="2">
        <v>9781474424929</v>
      </c>
    </row>
    <row r="3103" spans="1:40" x14ac:dyDescent="0.3">
      <c r="A3103" t="s">
        <v>14606</v>
      </c>
      <c r="B3103" t="s">
        <v>1</v>
      </c>
      <c r="C3103" t="s">
        <v>14607</v>
      </c>
      <c r="D3103" t="s">
        <v>14608</v>
      </c>
      <c r="E3103" t="s">
        <v>14609</v>
      </c>
      <c r="F3103" t="s">
        <v>5</v>
      </c>
      <c r="G3103" t="s">
        <v>6</v>
      </c>
      <c r="L3103" t="s">
        <v>7</v>
      </c>
      <c r="M3103">
        <v>2021</v>
      </c>
      <c r="N3103" s="1">
        <v>44656</v>
      </c>
      <c r="O3103" t="s">
        <v>14610</v>
      </c>
      <c r="P3103">
        <v>1</v>
      </c>
      <c r="Q3103" t="s">
        <v>14383</v>
      </c>
      <c r="S3103">
        <v>415.95</v>
      </c>
      <c r="T3103">
        <v>470</v>
      </c>
      <c r="U3103">
        <v>360</v>
      </c>
      <c r="V3103" t="s">
        <v>79</v>
      </c>
      <c r="W3103" t="s">
        <v>734</v>
      </c>
      <c r="X3103" t="s">
        <v>734</v>
      </c>
      <c r="Y3103" t="s">
        <v>735</v>
      </c>
      <c r="AF3103" t="s">
        <v>13</v>
      </c>
      <c r="AG3103" t="str">
        <f>HYPERLINK("https://doi.org/10.1515/9781474416948")</f>
        <v>https://doi.org/10.1515/9781474416948</v>
      </c>
      <c r="AH3103" t="str">
        <f>HYPERLINK("http://www.degruyter.com/isbn/9781474416948")</f>
        <v>http://www.degruyter.com/isbn/9781474416948</v>
      </c>
      <c r="AI3103" t="s">
        <v>4630</v>
      </c>
      <c r="AL3103" t="s">
        <v>83</v>
      </c>
      <c r="AM3103">
        <v>1</v>
      </c>
      <c r="AN3103" s="2">
        <v>9781474416931</v>
      </c>
    </row>
    <row r="3104" spans="1:40" x14ac:dyDescent="0.3">
      <c r="A3104" t="s">
        <v>14611</v>
      </c>
      <c r="B3104" t="s">
        <v>1</v>
      </c>
      <c r="C3104" t="s">
        <v>14612</v>
      </c>
      <c r="D3104" t="s">
        <v>14613</v>
      </c>
      <c r="E3104" t="s">
        <v>14614</v>
      </c>
      <c r="F3104" t="s">
        <v>5</v>
      </c>
      <c r="G3104" t="s">
        <v>6</v>
      </c>
      <c r="L3104" t="s">
        <v>7</v>
      </c>
      <c r="M3104">
        <v>2018</v>
      </c>
      <c r="N3104" s="1">
        <v>44644</v>
      </c>
      <c r="O3104" t="s">
        <v>14615</v>
      </c>
      <c r="P3104">
        <v>1</v>
      </c>
      <c r="Q3104" t="s">
        <v>14522</v>
      </c>
      <c r="S3104">
        <v>417.95</v>
      </c>
      <c r="T3104">
        <v>480</v>
      </c>
      <c r="U3104">
        <v>370</v>
      </c>
      <c r="V3104" t="s">
        <v>20</v>
      </c>
      <c r="W3104" t="s">
        <v>21</v>
      </c>
      <c r="X3104" t="s">
        <v>22</v>
      </c>
      <c r="Y3104" t="s">
        <v>23</v>
      </c>
      <c r="AF3104" t="s">
        <v>13</v>
      </c>
      <c r="AG3104" t="str">
        <f>HYPERLINK("https://doi.org/10.1515/9781474419666")</f>
        <v>https://doi.org/10.1515/9781474419666</v>
      </c>
      <c r="AH3104" t="str">
        <f>HYPERLINK("http://www.degruyter.com/isbn/9781474419666")</f>
        <v>http://www.degruyter.com/isbn/9781474419666</v>
      </c>
      <c r="AI3104" t="s">
        <v>46</v>
      </c>
      <c r="AL3104" t="s">
        <v>15</v>
      </c>
      <c r="AM3104">
        <v>1</v>
      </c>
      <c r="AN3104" s="2">
        <v>9781474419659</v>
      </c>
    </row>
    <row r="3105" spans="1:40" x14ac:dyDescent="0.3">
      <c r="A3105" t="s">
        <v>14616</v>
      </c>
      <c r="B3105" t="s">
        <v>1</v>
      </c>
      <c r="C3105" t="s">
        <v>14617</v>
      </c>
      <c r="D3105" t="s">
        <v>14618</v>
      </c>
      <c r="E3105" t="s">
        <v>14619</v>
      </c>
      <c r="F3105" t="s">
        <v>5</v>
      </c>
      <c r="G3105" t="s">
        <v>6</v>
      </c>
      <c r="L3105" t="s">
        <v>7</v>
      </c>
      <c r="M3105">
        <v>2019</v>
      </c>
      <c r="N3105" s="1">
        <v>44644</v>
      </c>
      <c r="O3105" t="s">
        <v>14620</v>
      </c>
      <c r="P3105">
        <v>1</v>
      </c>
      <c r="Q3105" t="s">
        <v>14522</v>
      </c>
      <c r="S3105">
        <v>417.95</v>
      </c>
      <c r="T3105">
        <v>480</v>
      </c>
      <c r="U3105">
        <v>370</v>
      </c>
      <c r="V3105" t="s">
        <v>20</v>
      </c>
      <c r="W3105" t="s">
        <v>470</v>
      </c>
      <c r="X3105" t="s">
        <v>1269</v>
      </c>
      <c r="Y3105" t="s">
        <v>1270</v>
      </c>
      <c r="AF3105" t="s">
        <v>13</v>
      </c>
      <c r="AG3105" t="str">
        <f>HYPERLINK("https://doi.org/10.1515/9781474433921?locatt=mode:legacy")</f>
        <v>https://doi.org/10.1515/9781474433921?locatt=mode:legacy</v>
      </c>
      <c r="AH3105" t="str">
        <f>HYPERLINK("http://www.degruyter.com/isbn/9781474433921")</f>
        <v>http://www.degruyter.com/isbn/9781474433921</v>
      </c>
      <c r="AI3105" t="s">
        <v>280</v>
      </c>
      <c r="AL3105" t="s">
        <v>15</v>
      </c>
      <c r="AM3105">
        <v>1</v>
      </c>
      <c r="AN3105" s="2">
        <v>9781474433907</v>
      </c>
    </row>
    <row r="3106" spans="1:40" x14ac:dyDescent="0.3">
      <c r="A3106" t="s">
        <v>14621</v>
      </c>
      <c r="B3106" t="s">
        <v>1</v>
      </c>
      <c r="C3106" t="s">
        <v>14622</v>
      </c>
      <c r="E3106" t="s">
        <v>14623</v>
      </c>
      <c r="F3106" t="s">
        <v>5</v>
      </c>
      <c r="G3106" t="s">
        <v>6</v>
      </c>
      <c r="L3106" t="s">
        <v>7</v>
      </c>
      <c r="M3106">
        <v>2022</v>
      </c>
      <c r="N3106" s="1">
        <v>44672</v>
      </c>
      <c r="O3106" t="s">
        <v>5677</v>
      </c>
      <c r="P3106">
        <v>1</v>
      </c>
      <c r="S3106">
        <v>217.95</v>
      </c>
      <c r="T3106">
        <v>250</v>
      </c>
      <c r="U3106">
        <v>190</v>
      </c>
      <c r="V3106" t="s">
        <v>9</v>
      </c>
      <c r="W3106" t="s">
        <v>10</v>
      </c>
      <c r="X3106" t="s">
        <v>11</v>
      </c>
      <c r="Y3106" t="s">
        <v>52</v>
      </c>
      <c r="AF3106" t="s">
        <v>13</v>
      </c>
      <c r="AG3106" t="str">
        <f>HYPERLINK("https://doi.org/10.1515/9781474481045")</f>
        <v>https://doi.org/10.1515/9781474481045</v>
      </c>
      <c r="AH3106" t="str">
        <f>HYPERLINK("http://www.degruyter.com/isbn/9781474481045")</f>
        <v>http://www.degruyter.com/isbn/9781474481045</v>
      </c>
      <c r="AI3106" t="s">
        <v>13913</v>
      </c>
      <c r="AL3106" t="s">
        <v>15</v>
      </c>
      <c r="AM3106">
        <v>1</v>
      </c>
      <c r="AN3106" s="2">
        <v>9781474481021</v>
      </c>
    </row>
    <row r="3107" spans="1:40" x14ac:dyDescent="0.3">
      <c r="A3107" t="s">
        <v>14624</v>
      </c>
      <c r="B3107" t="s">
        <v>1</v>
      </c>
      <c r="C3107" t="s">
        <v>14625</v>
      </c>
      <c r="D3107" t="s">
        <v>14626</v>
      </c>
      <c r="E3107" t="s">
        <v>14627</v>
      </c>
      <c r="F3107" t="s">
        <v>5</v>
      </c>
      <c r="G3107" t="s">
        <v>6</v>
      </c>
      <c r="L3107" t="s">
        <v>7</v>
      </c>
      <c r="M3107">
        <v>2017</v>
      </c>
      <c r="N3107" s="1">
        <v>42914</v>
      </c>
      <c r="O3107" t="s">
        <v>14628</v>
      </c>
      <c r="P3107">
        <v>1</v>
      </c>
      <c r="Q3107" t="s">
        <v>13628</v>
      </c>
      <c r="S3107">
        <v>227.95</v>
      </c>
      <c r="T3107">
        <v>260</v>
      </c>
      <c r="U3107">
        <v>200</v>
      </c>
      <c r="V3107" t="s">
        <v>42</v>
      </c>
      <c r="W3107" t="s">
        <v>107</v>
      </c>
      <c r="X3107" t="s">
        <v>108</v>
      </c>
      <c r="Y3107" t="s">
        <v>109</v>
      </c>
      <c r="AF3107" t="s">
        <v>13</v>
      </c>
      <c r="AG3107" t="str">
        <f>HYPERLINK("https://doi.org/10.1515/9781474424479?locatt=mode:legacy")</f>
        <v>https://doi.org/10.1515/9781474424479?locatt=mode:legacy</v>
      </c>
      <c r="AH3107" t="str">
        <f>HYPERLINK("http://www.degruyter.com/isbn/9781474424479")</f>
        <v>http://www.degruyter.com/isbn/9781474424479</v>
      </c>
      <c r="AI3107" t="s">
        <v>222</v>
      </c>
      <c r="AL3107" t="s">
        <v>47</v>
      </c>
      <c r="AM3107">
        <v>1</v>
      </c>
      <c r="AN3107" s="2">
        <v>9781474424462</v>
      </c>
    </row>
    <row r="3108" spans="1:40" x14ac:dyDescent="0.3">
      <c r="A3108" t="s">
        <v>14629</v>
      </c>
      <c r="B3108" t="s">
        <v>1</v>
      </c>
      <c r="C3108" t="s">
        <v>14630</v>
      </c>
      <c r="D3108" t="s">
        <v>7731</v>
      </c>
      <c r="E3108" t="s">
        <v>14631</v>
      </c>
      <c r="F3108" t="s">
        <v>5</v>
      </c>
      <c r="G3108" t="s">
        <v>6</v>
      </c>
      <c r="L3108" t="s">
        <v>7</v>
      </c>
      <c r="M3108">
        <v>2022</v>
      </c>
      <c r="N3108" s="1">
        <v>44742</v>
      </c>
      <c r="O3108" t="s">
        <v>14632</v>
      </c>
      <c r="P3108">
        <v>1</v>
      </c>
      <c r="S3108">
        <v>243.95</v>
      </c>
      <c r="T3108">
        <v>280</v>
      </c>
      <c r="U3108">
        <v>210</v>
      </c>
      <c r="V3108" t="s">
        <v>79</v>
      </c>
      <c r="W3108" t="s">
        <v>123</v>
      </c>
      <c r="X3108" t="s">
        <v>123</v>
      </c>
      <c r="Y3108" t="s">
        <v>124</v>
      </c>
      <c r="AF3108" t="s">
        <v>13</v>
      </c>
      <c r="AG3108" t="str">
        <f>HYPERLINK("https://doi.org/10.1515/9781474486729")</f>
        <v>https://doi.org/10.1515/9781474486729</v>
      </c>
      <c r="AH3108" t="str">
        <f>HYPERLINK("http://www.degruyter.com/isbn/9781474486729")</f>
        <v>http://www.degruyter.com/isbn/9781474486729</v>
      </c>
      <c r="AI3108" t="s">
        <v>14633</v>
      </c>
      <c r="AL3108" t="s">
        <v>83</v>
      </c>
      <c r="AM3108">
        <v>1</v>
      </c>
      <c r="AN3108" s="2">
        <v>9781474486699</v>
      </c>
    </row>
    <row r="3109" spans="1:40" x14ac:dyDescent="0.3">
      <c r="A3109" t="s">
        <v>14634</v>
      </c>
      <c r="B3109" t="s">
        <v>1</v>
      </c>
      <c r="C3109" t="s">
        <v>14635</v>
      </c>
      <c r="D3109" t="s">
        <v>14636</v>
      </c>
      <c r="E3109" t="s">
        <v>14637</v>
      </c>
      <c r="F3109" t="s">
        <v>5</v>
      </c>
      <c r="G3109" t="s">
        <v>6</v>
      </c>
      <c r="L3109" t="s">
        <v>7</v>
      </c>
      <c r="M3109">
        <v>2022</v>
      </c>
      <c r="N3109" s="1">
        <v>44672</v>
      </c>
      <c r="O3109" t="s">
        <v>12929</v>
      </c>
      <c r="P3109">
        <v>1</v>
      </c>
      <c r="S3109">
        <v>217.95</v>
      </c>
      <c r="T3109">
        <v>250</v>
      </c>
      <c r="U3109">
        <v>190</v>
      </c>
      <c r="V3109" t="s">
        <v>42</v>
      </c>
      <c r="W3109" t="s">
        <v>107</v>
      </c>
      <c r="X3109" t="s">
        <v>108</v>
      </c>
      <c r="Y3109" t="s">
        <v>109</v>
      </c>
      <c r="AF3109" t="s">
        <v>13</v>
      </c>
      <c r="AG3109" t="str">
        <f>HYPERLINK("https://doi.org/10.1515/9781474489829")</f>
        <v>https://doi.org/10.1515/9781474489829</v>
      </c>
      <c r="AH3109" t="str">
        <f>HYPERLINK("http://www.degruyter.com/isbn/9781474489829")</f>
        <v>http://www.degruyter.com/isbn/9781474489829</v>
      </c>
      <c r="AI3109" t="s">
        <v>14638</v>
      </c>
      <c r="AL3109" t="s">
        <v>47</v>
      </c>
      <c r="AM3109">
        <v>1</v>
      </c>
      <c r="AN3109" s="2">
        <v>9781474489805</v>
      </c>
    </row>
    <row r="3110" spans="1:40" x14ac:dyDescent="0.3">
      <c r="A3110" t="s">
        <v>14639</v>
      </c>
      <c r="B3110" t="s">
        <v>1</v>
      </c>
      <c r="C3110" t="s">
        <v>14640</v>
      </c>
      <c r="E3110" t="s">
        <v>14641</v>
      </c>
      <c r="F3110" t="s">
        <v>5</v>
      </c>
      <c r="G3110" t="s">
        <v>6</v>
      </c>
      <c r="L3110" t="s">
        <v>7</v>
      </c>
      <c r="M3110">
        <v>2018</v>
      </c>
      <c r="N3110" s="1">
        <v>44644</v>
      </c>
      <c r="O3110" t="s">
        <v>14642</v>
      </c>
      <c r="P3110">
        <v>1</v>
      </c>
      <c r="Q3110" t="s">
        <v>13749</v>
      </c>
      <c r="S3110">
        <v>227.95</v>
      </c>
      <c r="T3110">
        <v>260</v>
      </c>
      <c r="U3110">
        <v>200</v>
      </c>
      <c r="V3110" t="s">
        <v>42</v>
      </c>
      <c r="W3110" t="s">
        <v>107</v>
      </c>
      <c r="X3110" t="s">
        <v>108</v>
      </c>
      <c r="Y3110" t="s">
        <v>221</v>
      </c>
      <c r="AF3110" t="s">
        <v>13</v>
      </c>
      <c r="AG3110" t="str">
        <f>HYPERLINK("https://doi.org/10.1515/9781474432863")</f>
        <v>https://doi.org/10.1515/9781474432863</v>
      </c>
      <c r="AH3110" t="str">
        <f>HYPERLINK("http://www.degruyter.com/isbn/9781474432863")</f>
        <v>http://www.degruyter.com/isbn/9781474432863</v>
      </c>
      <c r="AI3110" t="s">
        <v>46</v>
      </c>
      <c r="AL3110" t="s">
        <v>47</v>
      </c>
      <c r="AM3110">
        <v>1</v>
      </c>
      <c r="AN3110" s="2">
        <v>9781474432832</v>
      </c>
    </row>
    <row r="3111" spans="1:40" x14ac:dyDescent="0.3">
      <c r="A3111" t="s">
        <v>14643</v>
      </c>
      <c r="B3111" t="s">
        <v>1</v>
      </c>
      <c r="C3111" t="s">
        <v>14644</v>
      </c>
      <c r="E3111" t="s">
        <v>14645</v>
      </c>
      <c r="F3111" t="s">
        <v>5</v>
      </c>
      <c r="G3111" t="s">
        <v>6</v>
      </c>
      <c r="L3111" t="s">
        <v>7</v>
      </c>
      <c r="M3111">
        <v>2022</v>
      </c>
      <c r="N3111" s="1">
        <v>44712</v>
      </c>
      <c r="O3111" t="s">
        <v>14646</v>
      </c>
      <c r="P3111">
        <v>1</v>
      </c>
      <c r="S3111">
        <v>217.95</v>
      </c>
      <c r="T3111">
        <v>250</v>
      </c>
      <c r="U3111">
        <v>190</v>
      </c>
      <c r="V3111" t="s">
        <v>42</v>
      </c>
      <c r="W3111" t="s">
        <v>107</v>
      </c>
      <c r="X3111" t="s">
        <v>108</v>
      </c>
      <c r="Y3111" t="s">
        <v>221</v>
      </c>
      <c r="AF3111" t="s">
        <v>13</v>
      </c>
      <c r="AG3111" t="str">
        <f>HYPERLINK("https://doi.org/10.1515/9781474484428")</f>
        <v>https://doi.org/10.1515/9781474484428</v>
      </c>
      <c r="AH3111" t="str">
        <f>HYPERLINK("http://www.degruyter.com/isbn/9781474484428")</f>
        <v>http://www.degruyter.com/isbn/9781474484428</v>
      </c>
      <c r="AI3111" t="s">
        <v>14638</v>
      </c>
      <c r="AL3111" t="s">
        <v>47</v>
      </c>
      <c r="AM3111">
        <v>1</v>
      </c>
      <c r="AN3111" s="2">
        <v>9781474484404</v>
      </c>
    </row>
    <row r="3112" spans="1:40" x14ac:dyDescent="0.3">
      <c r="A3112" t="s">
        <v>14647</v>
      </c>
      <c r="B3112" t="s">
        <v>1</v>
      </c>
      <c r="C3112" t="s">
        <v>14648</v>
      </c>
      <c r="E3112" t="s">
        <v>14649</v>
      </c>
      <c r="F3112" t="s">
        <v>5</v>
      </c>
      <c r="G3112" t="s">
        <v>6</v>
      </c>
      <c r="L3112" t="s">
        <v>7</v>
      </c>
      <c r="M3112">
        <v>2022</v>
      </c>
      <c r="N3112" s="1">
        <v>44690</v>
      </c>
      <c r="O3112" t="s">
        <v>14650</v>
      </c>
      <c r="P3112">
        <v>1</v>
      </c>
      <c r="S3112">
        <v>217.95</v>
      </c>
      <c r="T3112">
        <v>250</v>
      </c>
      <c r="U3112">
        <v>190</v>
      </c>
      <c r="V3112" t="s">
        <v>98</v>
      </c>
      <c r="W3112" t="s">
        <v>99</v>
      </c>
      <c r="X3112" t="s">
        <v>386</v>
      </c>
      <c r="Y3112" t="s">
        <v>387</v>
      </c>
      <c r="AF3112" t="s">
        <v>13</v>
      </c>
      <c r="AG3112" t="str">
        <f>HYPERLINK("https://doi.org/10.1515/9781474455565")</f>
        <v>https://doi.org/10.1515/9781474455565</v>
      </c>
      <c r="AH3112" t="str">
        <f>HYPERLINK("http://www.degruyter.com/isbn/9781474455565")</f>
        <v>http://www.degruyter.com/isbn/9781474455565</v>
      </c>
      <c r="AI3112" t="s">
        <v>14651</v>
      </c>
      <c r="AL3112" t="s">
        <v>102</v>
      </c>
      <c r="AM3112">
        <v>1</v>
      </c>
      <c r="AN3112" s="2">
        <v>9781474455541</v>
      </c>
    </row>
    <row r="3113" spans="1:40" x14ac:dyDescent="0.3">
      <c r="A3113" t="s">
        <v>14652</v>
      </c>
      <c r="B3113" t="s">
        <v>1</v>
      </c>
      <c r="C3113" t="s">
        <v>14653</v>
      </c>
      <c r="E3113" t="s">
        <v>14654</v>
      </c>
      <c r="F3113" t="s">
        <v>5</v>
      </c>
      <c r="G3113" t="s">
        <v>6</v>
      </c>
      <c r="L3113" t="s">
        <v>7</v>
      </c>
      <c r="M3113">
        <v>2022</v>
      </c>
      <c r="N3113" s="1">
        <v>44693</v>
      </c>
      <c r="O3113" t="s">
        <v>14655</v>
      </c>
      <c r="P3113">
        <v>1</v>
      </c>
      <c r="S3113">
        <v>380.95</v>
      </c>
      <c r="T3113">
        <v>430</v>
      </c>
      <c r="U3113">
        <v>330</v>
      </c>
      <c r="V3113" t="s">
        <v>20</v>
      </c>
      <c r="W3113" t="s">
        <v>21</v>
      </c>
      <c r="X3113" t="s">
        <v>22</v>
      </c>
      <c r="Y3113" t="s">
        <v>23</v>
      </c>
      <c r="AF3113" t="s">
        <v>13</v>
      </c>
      <c r="AG3113" t="str">
        <f>HYPERLINK("https://doi.org/10.1515/9781474447140")</f>
        <v>https://doi.org/10.1515/9781474447140</v>
      </c>
      <c r="AH3113" t="str">
        <f>HYPERLINK("http://www.degruyter.com/isbn/9781474447140")</f>
        <v>http://www.degruyter.com/isbn/9781474447140</v>
      </c>
      <c r="AI3113" t="s">
        <v>14656</v>
      </c>
      <c r="AL3113" t="s">
        <v>15</v>
      </c>
      <c r="AM3113">
        <v>1</v>
      </c>
      <c r="AN3113" s="2">
        <v>9781474447126</v>
      </c>
    </row>
    <row r="3114" spans="1:40" x14ac:dyDescent="0.3">
      <c r="A3114" t="s">
        <v>14657</v>
      </c>
      <c r="B3114" t="s">
        <v>1</v>
      </c>
      <c r="C3114" t="s">
        <v>14658</v>
      </c>
      <c r="D3114" t="s">
        <v>14659</v>
      </c>
      <c r="E3114" t="s">
        <v>14660</v>
      </c>
      <c r="F3114" t="s">
        <v>5</v>
      </c>
      <c r="G3114" t="s">
        <v>6</v>
      </c>
      <c r="L3114" t="s">
        <v>7</v>
      </c>
      <c r="M3114">
        <v>2022</v>
      </c>
      <c r="N3114" s="1">
        <v>44742</v>
      </c>
      <c r="O3114" t="s">
        <v>14661</v>
      </c>
      <c r="P3114">
        <v>1</v>
      </c>
      <c r="S3114">
        <v>253.95</v>
      </c>
      <c r="T3114">
        <v>290</v>
      </c>
      <c r="U3114">
        <v>220</v>
      </c>
      <c r="V3114" t="s">
        <v>98</v>
      </c>
      <c r="W3114" t="s">
        <v>99</v>
      </c>
      <c r="X3114" t="s">
        <v>100</v>
      </c>
      <c r="Y3114" t="s">
        <v>14662</v>
      </c>
      <c r="AF3114" t="s">
        <v>13</v>
      </c>
      <c r="AG3114" t="str">
        <f>HYPERLINK("https://doi.org/10.1515/9781474488143")</f>
        <v>https://doi.org/10.1515/9781474488143</v>
      </c>
      <c r="AH3114" t="str">
        <f>HYPERLINK("http://www.degruyter.com/isbn/9781474488143")</f>
        <v>http://www.degruyter.com/isbn/9781474488143</v>
      </c>
      <c r="AI3114" t="s">
        <v>14651</v>
      </c>
      <c r="AL3114" t="s">
        <v>102</v>
      </c>
      <c r="AM3114">
        <v>1</v>
      </c>
      <c r="AN3114" s="2">
        <v>9781474488129</v>
      </c>
    </row>
    <row r="3115" spans="1:40" x14ac:dyDescent="0.3">
      <c r="A3115" t="s">
        <v>14663</v>
      </c>
      <c r="B3115" t="s">
        <v>1</v>
      </c>
      <c r="C3115" t="s">
        <v>14664</v>
      </c>
      <c r="D3115" t="s">
        <v>14665</v>
      </c>
      <c r="E3115" t="s">
        <v>14666</v>
      </c>
      <c r="F3115" t="s">
        <v>5</v>
      </c>
      <c r="G3115" t="s">
        <v>6</v>
      </c>
      <c r="L3115" t="s">
        <v>7</v>
      </c>
      <c r="M3115">
        <v>2021</v>
      </c>
      <c r="N3115" s="1">
        <v>44672</v>
      </c>
      <c r="O3115" t="s">
        <v>14667</v>
      </c>
      <c r="P3115">
        <v>1</v>
      </c>
      <c r="S3115">
        <v>243.95</v>
      </c>
      <c r="T3115">
        <v>280</v>
      </c>
      <c r="U3115">
        <v>210</v>
      </c>
      <c r="V3115" t="s">
        <v>20</v>
      </c>
      <c r="W3115" t="s">
        <v>21</v>
      </c>
      <c r="X3115" t="s">
        <v>839</v>
      </c>
      <c r="Y3115" t="s">
        <v>1850</v>
      </c>
      <c r="AF3115" t="s">
        <v>13</v>
      </c>
      <c r="AG3115" t="str">
        <f>HYPERLINK("https://doi.org/10.1515/9781474488075")</f>
        <v>https://doi.org/10.1515/9781474488075</v>
      </c>
      <c r="AH3115" t="str">
        <f>HYPERLINK("http://www.degruyter.com/isbn/9781474488075")</f>
        <v>http://www.degruyter.com/isbn/9781474488075</v>
      </c>
      <c r="AI3115" t="s">
        <v>473</v>
      </c>
      <c r="AL3115" t="s">
        <v>15</v>
      </c>
      <c r="AM3115">
        <v>1</v>
      </c>
      <c r="AN3115" s="2">
        <v>9781474488044</v>
      </c>
    </row>
    <row r="3116" spans="1:40" x14ac:dyDescent="0.3">
      <c r="A3116" t="s">
        <v>14668</v>
      </c>
      <c r="B3116" t="s">
        <v>1</v>
      </c>
      <c r="C3116" t="s">
        <v>14669</v>
      </c>
      <c r="D3116" t="s">
        <v>14670</v>
      </c>
      <c r="E3116" t="s">
        <v>14671</v>
      </c>
      <c r="F3116" t="s">
        <v>5</v>
      </c>
      <c r="G3116" t="s">
        <v>6</v>
      </c>
      <c r="L3116" t="s">
        <v>7</v>
      </c>
      <c r="M3116">
        <v>2021</v>
      </c>
      <c r="N3116" s="1">
        <v>44672</v>
      </c>
      <c r="O3116" t="s">
        <v>14672</v>
      </c>
      <c r="P3116">
        <v>1</v>
      </c>
      <c r="S3116">
        <v>227.95</v>
      </c>
      <c r="T3116">
        <v>260</v>
      </c>
      <c r="U3116">
        <v>200</v>
      </c>
      <c r="V3116" t="s">
        <v>20</v>
      </c>
      <c r="W3116" t="s">
        <v>21</v>
      </c>
      <c r="X3116" t="s">
        <v>22</v>
      </c>
      <c r="Y3116" t="s">
        <v>23</v>
      </c>
      <c r="AF3116" t="s">
        <v>13</v>
      </c>
      <c r="AG3116" t="str">
        <f>HYPERLINK("https://doi.org/10.1515/9781474427326")</f>
        <v>https://doi.org/10.1515/9781474427326</v>
      </c>
      <c r="AH3116" t="str">
        <f>HYPERLINK("http://www.degruyter.com/isbn/9781474427326")</f>
        <v>http://www.degruyter.com/isbn/9781474427326</v>
      </c>
      <c r="AI3116" t="s">
        <v>473</v>
      </c>
      <c r="AL3116" t="s">
        <v>15</v>
      </c>
      <c r="AM3116">
        <v>1</v>
      </c>
      <c r="AN3116" s="2">
        <v>9781474427302</v>
      </c>
    </row>
    <row r="3117" spans="1:40" x14ac:dyDescent="0.3">
      <c r="A3117" t="s">
        <v>14673</v>
      </c>
      <c r="B3117" t="s">
        <v>1</v>
      </c>
      <c r="C3117" t="s">
        <v>14674</v>
      </c>
      <c r="D3117" t="s">
        <v>14675</v>
      </c>
      <c r="E3117" t="s">
        <v>14676</v>
      </c>
      <c r="F3117" t="s">
        <v>5</v>
      </c>
      <c r="G3117" t="s">
        <v>6</v>
      </c>
      <c r="L3117" t="s">
        <v>7</v>
      </c>
      <c r="M3117">
        <v>2021</v>
      </c>
      <c r="N3117" s="1">
        <v>44672</v>
      </c>
      <c r="O3117" t="s">
        <v>14677</v>
      </c>
      <c r="P3117">
        <v>1</v>
      </c>
      <c r="Q3117" t="s">
        <v>7086</v>
      </c>
      <c r="S3117">
        <v>227.95</v>
      </c>
      <c r="T3117">
        <v>260</v>
      </c>
      <c r="U3117">
        <v>200</v>
      </c>
      <c r="V3117" t="s">
        <v>20</v>
      </c>
      <c r="W3117" t="s">
        <v>21</v>
      </c>
      <c r="X3117" t="s">
        <v>458</v>
      </c>
      <c r="Y3117" t="s">
        <v>459</v>
      </c>
      <c r="AF3117" t="s">
        <v>13</v>
      </c>
      <c r="AG3117" t="str">
        <f>HYPERLINK("https://doi.org/10.1515/9781474455411")</f>
        <v>https://doi.org/10.1515/9781474455411</v>
      </c>
      <c r="AH3117" t="str">
        <f>HYPERLINK("http://www.degruyter.com/isbn/9781474455411")</f>
        <v>http://www.degruyter.com/isbn/9781474455411</v>
      </c>
      <c r="AI3117" t="s">
        <v>473</v>
      </c>
      <c r="AL3117" t="s">
        <v>15</v>
      </c>
      <c r="AM3117">
        <v>1</v>
      </c>
      <c r="AN3117" s="2">
        <v>9781474455381</v>
      </c>
    </row>
    <row r="3118" spans="1:40" x14ac:dyDescent="0.3">
      <c r="A3118" t="s">
        <v>14678</v>
      </c>
      <c r="B3118" t="s">
        <v>1</v>
      </c>
      <c r="C3118" t="s">
        <v>14679</v>
      </c>
      <c r="D3118" t="s">
        <v>14680</v>
      </c>
      <c r="E3118" t="s">
        <v>14681</v>
      </c>
      <c r="F3118" t="s">
        <v>5</v>
      </c>
      <c r="G3118" t="s">
        <v>6</v>
      </c>
      <c r="K3118" t="s">
        <v>12972</v>
      </c>
      <c r="L3118" t="s">
        <v>7</v>
      </c>
      <c r="M3118">
        <v>2021</v>
      </c>
      <c r="N3118" s="1">
        <v>44448</v>
      </c>
      <c r="O3118" t="s">
        <v>14682</v>
      </c>
      <c r="P3118">
        <v>1</v>
      </c>
      <c r="Q3118" t="s">
        <v>7059</v>
      </c>
      <c r="V3118" t="s">
        <v>9</v>
      </c>
      <c r="W3118" t="s">
        <v>10</v>
      </c>
      <c r="X3118" t="s">
        <v>11</v>
      </c>
      <c r="Y3118" t="s">
        <v>52</v>
      </c>
      <c r="AF3118" t="s">
        <v>13</v>
      </c>
      <c r="AG3118" t="str">
        <f>HYPERLINK("https://doi.org/10.1515/9781474445917")</f>
        <v>https://doi.org/10.1515/9781474445917</v>
      </c>
      <c r="AH3118" t="str">
        <f>HYPERLINK("http://www.degruyter.com/isbn/9781474445917")</f>
        <v>http://www.degruyter.com/isbn/9781474445917</v>
      </c>
      <c r="AI3118" t="s">
        <v>908</v>
      </c>
      <c r="AM3118">
        <v>1</v>
      </c>
      <c r="AN3118" s="2"/>
    </row>
    <row r="3119" spans="1:40" x14ac:dyDescent="0.3">
      <c r="A3119" t="s">
        <v>14683</v>
      </c>
      <c r="B3119" t="s">
        <v>1</v>
      </c>
      <c r="C3119" t="s">
        <v>14684</v>
      </c>
      <c r="D3119" t="s">
        <v>14685</v>
      </c>
      <c r="E3119" t="s">
        <v>14686</v>
      </c>
      <c r="F3119" t="s">
        <v>5</v>
      </c>
      <c r="G3119" t="s">
        <v>6</v>
      </c>
      <c r="L3119" t="s">
        <v>7</v>
      </c>
      <c r="M3119">
        <v>2021</v>
      </c>
      <c r="N3119" s="1">
        <v>44672</v>
      </c>
      <c r="O3119" t="s">
        <v>14687</v>
      </c>
      <c r="P3119">
        <v>1</v>
      </c>
      <c r="Q3119" t="s">
        <v>14688</v>
      </c>
      <c r="S3119">
        <v>217.95</v>
      </c>
      <c r="T3119">
        <v>250</v>
      </c>
      <c r="U3119">
        <v>190</v>
      </c>
      <c r="V3119" t="s">
        <v>58</v>
      </c>
      <c r="W3119" t="s">
        <v>59</v>
      </c>
      <c r="X3119" t="s">
        <v>278</v>
      </c>
      <c r="Y3119" t="s">
        <v>932</v>
      </c>
      <c r="AF3119" t="s">
        <v>13</v>
      </c>
      <c r="AG3119" t="str">
        <f>HYPERLINK("https://doi.org/10.1515/9781474491730")</f>
        <v>https://doi.org/10.1515/9781474491730</v>
      </c>
      <c r="AH3119" t="str">
        <f>HYPERLINK("http://www.degruyter.com/isbn/9781474491730")</f>
        <v>http://www.degruyter.com/isbn/9781474491730</v>
      </c>
      <c r="AI3119" t="s">
        <v>5150</v>
      </c>
      <c r="AL3119" t="s">
        <v>62</v>
      </c>
      <c r="AM3119">
        <v>1</v>
      </c>
      <c r="AN3119" s="2">
        <v>9781474491709</v>
      </c>
    </row>
    <row r="3120" spans="1:40" x14ac:dyDescent="0.3">
      <c r="A3120" t="s">
        <v>14689</v>
      </c>
      <c r="B3120" t="s">
        <v>1</v>
      </c>
      <c r="C3120" t="s">
        <v>14690</v>
      </c>
      <c r="E3120" t="s">
        <v>14691</v>
      </c>
      <c r="F3120" t="s">
        <v>5</v>
      </c>
      <c r="G3120" t="s">
        <v>6</v>
      </c>
      <c r="L3120" t="s">
        <v>7</v>
      </c>
      <c r="M3120">
        <v>2022</v>
      </c>
      <c r="N3120" s="1">
        <v>44672</v>
      </c>
      <c r="O3120" t="s">
        <v>14692</v>
      </c>
      <c r="P3120">
        <v>1</v>
      </c>
      <c r="S3120">
        <v>217.95</v>
      </c>
      <c r="T3120">
        <v>250</v>
      </c>
      <c r="U3120">
        <v>190</v>
      </c>
      <c r="V3120" t="s">
        <v>9</v>
      </c>
      <c r="W3120" t="s">
        <v>10</v>
      </c>
      <c r="X3120" t="s">
        <v>11</v>
      </c>
      <c r="Y3120" t="s">
        <v>52</v>
      </c>
      <c r="AF3120" t="s">
        <v>13</v>
      </c>
      <c r="AG3120" t="str">
        <f>HYPERLINK("https://doi.org/10.1515/9781474483476")</f>
        <v>https://doi.org/10.1515/9781474483476</v>
      </c>
      <c r="AH3120" t="str">
        <f>HYPERLINK("http://www.degruyter.com/isbn/9781474483476")</f>
        <v>http://www.degruyter.com/isbn/9781474483476</v>
      </c>
      <c r="AI3120" t="s">
        <v>14693</v>
      </c>
      <c r="AL3120" t="s">
        <v>15</v>
      </c>
      <c r="AM3120">
        <v>1</v>
      </c>
      <c r="AN3120" s="2">
        <v>9781474483452</v>
      </c>
    </row>
    <row r="3121" spans="1:40" x14ac:dyDescent="0.3">
      <c r="A3121" t="s">
        <v>14694</v>
      </c>
      <c r="B3121" t="s">
        <v>1</v>
      </c>
      <c r="C3121" t="s">
        <v>14695</v>
      </c>
      <c r="D3121" t="s">
        <v>14696</v>
      </c>
      <c r="E3121" t="s">
        <v>14697</v>
      </c>
      <c r="F3121" t="s">
        <v>5</v>
      </c>
      <c r="G3121" t="s">
        <v>6</v>
      </c>
      <c r="L3121" t="s">
        <v>7</v>
      </c>
      <c r="M3121">
        <v>2022</v>
      </c>
      <c r="N3121" s="1">
        <v>44672</v>
      </c>
      <c r="O3121" t="s">
        <v>14698</v>
      </c>
      <c r="P3121">
        <v>1</v>
      </c>
      <c r="Q3121" t="s">
        <v>8607</v>
      </c>
      <c r="S3121">
        <v>227.95</v>
      </c>
      <c r="T3121">
        <v>260</v>
      </c>
      <c r="U3121">
        <v>200</v>
      </c>
      <c r="V3121" t="s">
        <v>20</v>
      </c>
      <c r="W3121" t="s">
        <v>470</v>
      </c>
      <c r="X3121" t="s">
        <v>3249</v>
      </c>
      <c r="Y3121" t="s">
        <v>3250</v>
      </c>
      <c r="AF3121" t="s">
        <v>13</v>
      </c>
      <c r="AG3121" t="str">
        <f>HYPERLINK("https://doi.org/10.1515/9781474492058")</f>
        <v>https://doi.org/10.1515/9781474492058</v>
      </c>
      <c r="AH3121" t="str">
        <f>HYPERLINK("http://www.degruyter.com/isbn/9781474492058")</f>
        <v>http://www.degruyter.com/isbn/9781474492058</v>
      </c>
      <c r="AI3121" t="s">
        <v>14656</v>
      </c>
      <c r="AL3121" t="s">
        <v>15</v>
      </c>
      <c r="AM3121">
        <v>1</v>
      </c>
      <c r="AN3121" s="2">
        <v>9781474492027</v>
      </c>
    </row>
    <row r="3122" spans="1:40" x14ac:dyDescent="0.3">
      <c r="A3122" t="s">
        <v>14699</v>
      </c>
      <c r="B3122" t="s">
        <v>1</v>
      </c>
      <c r="C3122" t="s">
        <v>14700</v>
      </c>
      <c r="D3122" t="s">
        <v>14701</v>
      </c>
      <c r="E3122" t="s">
        <v>14702</v>
      </c>
      <c r="F3122" t="s">
        <v>5</v>
      </c>
      <c r="G3122" t="s">
        <v>6</v>
      </c>
      <c r="L3122" t="s">
        <v>7</v>
      </c>
      <c r="M3122">
        <v>2022</v>
      </c>
      <c r="N3122" s="1">
        <v>44672</v>
      </c>
      <c r="O3122" t="s">
        <v>14703</v>
      </c>
      <c r="P3122">
        <v>1</v>
      </c>
      <c r="S3122">
        <v>243.95</v>
      </c>
      <c r="T3122">
        <v>280</v>
      </c>
      <c r="U3122">
        <v>210</v>
      </c>
      <c r="V3122" t="s">
        <v>329</v>
      </c>
      <c r="W3122" t="s">
        <v>330</v>
      </c>
      <c r="X3122" t="s">
        <v>331</v>
      </c>
      <c r="Y3122" t="s">
        <v>332</v>
      </c>
      <c r="AF3122" t="s">
        <v>13</v>
      </c>
      <c r="AG3122" t="str">
        <f>HYPERLINK("https://doi.org/10.1515/9781474493604")</f>
        <v>https://doi.org/10.1515/9781474493604</v>
      </c>
      <c r="AH3122" t="str">
        <f>HYPERLINK("http://www.degruyter.com/isbn/9781474493604")</f>
        <v>http://www.degruyter.com/isbn/9781474493604</v>
      </c>
      <c r="AI3122" t="s">
        <v>14704</v>
      </c>
      <c r="AL3122" t="s">
        <v>333</v>
      </c>
      <c r="AM3122">
        <v>1</v>
      </c>
      <c r="AN3122" s="2">
        <v>9781474493581</v>
      </c>
    </row>
    <row r="3123" spans="1:40" x14ac:dyDescent="0.3">
      <c r="A3123" t="s">
        <v>14705</v>
      </c>
      <c r="B3123" t="s">
        <v>1</v>
      </c>
      <c r="C3123" t="s">
        <v>14706</v>
      </c>
      <c r="D3123" t="s">
        <v>14707</v>
      </c>
      <c r="E3123" t="s">
        <v>14708</v>
      </c>
      <c r="F3123" t="s">
        <v>5</v>
      </c>
      <c r="G3123" t="s">
        <v>6</v>
      </c>
      <c r="L3123" t="s">
        <v>7</v>
      </c>
      <c r="M3123">
        <v>2022</v>
      </c>
      <c r="N3123" s="1">
        <v>44677</v>
      </c>
      <c r="O3123" t="s">
        <v>14709</v>
      </c>
      <c r="P3123">
        <v>1</v>
      </c>
      <c r="S3123">
        <v>191.95</v>
      </c>
      <c r="T3123">
        <v>220</v>
      </c>
      <c r="U3123">
        <v>170</v>
      </c>
      <c r="V3123" t="s">
        <v>79</v>
      </c>
      <c r="W3123" t="s">
        <v>734</v>
      </c>
      <c r="X3123" t="s">
        <v>734</v>
      </c>
      <c r="Y3123" t="s">
        <v>735</v>
      </c>
      <c r="AF3123" t="s">
        <v>13</v>
      </c>
      <c r="AG3123" t="str">
        <f>HYPERLINK("https://doi.org/10.1515/9781474488839")</f>
        <v>https://doi.org/10.1515/9781474488839</v>
      </c>
      <c r="AH3123" t="str">
        <f>HYPERLINK("http://www.degruyter.com/isbn/9781474488839")</f>
        <v>http://www.degruyter.com/isbn/9781474488839</v>
      </c>
      <c r="AI3123" t="s">
        <v>14633</v>
      </c>
      <c r="AL3123" t="s">
        <v>83</v>
      </c>
      <c r="AM3123">
        <v>1</v>
      </c>
      <c r="AN3123" s="2">
        <v>9781474488808</v>
      </c>
    </row>
    <row r="3124" spans="1:40" x14ac:dyDescent="0.3">
      <c r="A3124" t="s">
        <v>14710</v>
      </c>
      <c r="B3124" t="s">
        <v>1</v>
      </c>
      <c r="C3124" t="s">
        <v>14711</v>
      </c>
      <c r="D3124" t="s">
        <v>14712</v>
      </c>
      <c r="E3124" t="s">
        <v>14713</v>
      </c>
      <c r="F3124" t="s">
        <v>5</v>
      </c>
      <c r="G3124" t="s">
        <v>6</v>
      </c>
      <c r="L3124" t="s">
        <v>7</v>
      </c>
      <c r="M3124">
        <v>2022</v>
      </c>
      <c r="N3124" s="1">
        <v>44672</v>
      </c>
      <c r="O3124" t="s">
        <v>14714</v>
      </c>
      <c r="P3124">
        <v>1</v>
      </c>
      <c r="Q3124" t="s">
        <v>8081</v>
      </c>
      <c r="S3124">
        <v>217.95</v>
      </c>
      <c r="T3124">
        <v>250</v>
      </c>
      <c r="U3124">
        <v>190</v>
      </c>
      <c r="V3124" t="s">
        <v>20</v>
      </c>
      <c r="W3124" t="s">
        <v>21</v>
      </c>
      <c r="X3124" t="s">
        <v>22</v>
      </c>
      <c r="Y3124" t="s">
        <v>23</v>
      </c>
      <c r="AF3124" t="s">
        <v>13</v>
      </c>
      <c r="AG3124" t="str">
        <f>HYPERLINK("https://doi.org/10.1515/9781474491686")</f>
        <v>https://doi.org/10.1515/9781474491686</v>
      </c>
      <c r="AH3124" t="str">
        <f>HYPERLINK("http://www.degruyter.com/isbn/9781474491686")</f>
        <v>http://www.degruyter.com/isbn/9781474491686</v>
      </c>
      <c r="AI3124" t="s">
        <v>14656</v>
      </c>
      <c r="AL3124" t="s">
        <v>15</v>
      </c>
      <c r="AM3124">
        <v>1</v>
      </c>
      <c r="AN3124" s="2">
        <v>9781474491662</v>
      </c>
    </row>
    <row r="3125" spans="1:40" x14ac:dyDescent="0.3">
      <c r="A3125" t="s">
        <v>14715</v>
      </c>
      <c r="B3125" t="s">
        <v>1</v>
      </c>
      <c r="C3125" t="s">
        <v>14716</v>
      </c>
      <c r="E3125" t="s">
        <v>14717</v>
      </c>
      <c r="F3125" t="s">
        <v>5</v>
      </c>
      <c r="G3125" t="s">
        <v>6</v>
      </c>
      <c r="L3125" t="s">
        <v>7</v>
      </c>
      <c r="M3125">
        <v>2022</v>
      </c>
      <c r="N3125" s="1">
        <v>44672</v>
      </c>
      <c r="O3125" t="s">
        <v>14718</v>
      </c>
      <c r="P3125">
        <v>1</v>
      </c>
      <c r="S3125">
        <v>217.95</v>
      </c>
      <c r="T3125">
        <v>250</v>
      </c>
      <c r="U3125">
        <v>190</v>
      </c>
      <c r="V3125" t="s">
        <v>42</v>
      </c>
      <c r="W3125" t="s">
        <v>107</v>
      </c>
      <c r="X3125" t="s">
        <v>108</v>
      </c>
      <c r="Y3125" t="s">
        <v>221</v>
      </c>
      <c r="AF3125" t="s">
        <v>13</v>
      </c>
      <c r="AG3125" t="str">
        <f>HYPERLINK("https://doi.org/10.1515/9781474497282")</f>
        <v>https://doi.org/10.1515/9781474497282</v>
      </c>
      <c r="AH3125" t="str">
        <f>HYPERLINK("http://www.degruyter.com/isbn/9781474497282")</f>
        <v>http://www.degruyter.com/isbn/9781474497282</v>
      </c>
      <c r="AI3125" t="s">
        <v>14638</v>
      </c>
      <c r="AL3125" t="s">
        <v>47</v>
      </c>
      <c r="AM3125">
        <v>1</v>
      </c>
      <c r="AN3125" s="2">
        <v>9781474497268</v>
      </c>
    </row>
    <row r="3126" spans="1:40" x14ac:dyDescent="0.3">
      <c r="A3126" t="s">
        <v>14719</v>
      </c>
      <c r="B3126" t="s">
        <v>1</v>
      </c>
      <c r="C3126" t="s">
        <v>14720</v>
      </c>
      <c r="D3126" t="s">
        <v>14721</v>
      </c>
      <c r="E3126" t="s">
        <v>14722</v>
      </c>
      <c r="F3126" t="s">
        <v>5</v>
      </c>
      <c r="G3126" t="s">
        <v>6</v>
      </c>
      <c r="L3126" t="s">
        <v>7</v>
      </c>
      <c r="M3126">
        <v>2022</v>
      </c>
      <c r="N3126" s="1">
        <v>44672</v>
      </c>
      <c r="O3126" t="s">
        <v>14723</v>
      </c>
      <c r="P3126">
        <v>1</v>
      </c>
      <c r="S3126">
        <v>217.95</v>
      </c>
      <c r="T3126">
        <v>250</v>
      </c>
      <c r="U3126">
        <v>190</v>
      </c>
      <c r="V3126" t="s">
        <v>42</v>
      </c>
      <c r="W3126" t="s">
        <v>740</v>
      </c>
      <c r="X3126" t="s">
        <v>741</v>
      </c>
      <c r="Y3126" t="s">
        <v>742</v>
      </c>
      <c r="AF3126" t="s">
        <v>13</v>
      </c>
      <c r="AG3126" t="str">
        <f>HYPERLINK("https://doi.org/10.1515/9781474488426")</f>
        <v>https://doi.org/10.1515/9781474488426</v>
      </c>
      <c r="AH3126" t="str">
        <f>HYPERLINK("http://www.degruyter.com/isbn/9781474488426")</f>
        <v>http://www.degruyter.com/isbn/9781474488426</v>
      </c>
      <c r="AI3126" t="s">
        <v>14638</v>
      </c>
      <c r="AL3126" t="s">
        <v>47</v>
      </c>
      <c r="AM3126">
        <v>1</v>
      </c>
      <c r="AN3126" s="2">
        <v>9781474488402</v>
      </c>
    </row>
    <row r="3127" spans="1:40" x14ac:dyDescent="0.3">
      <c r="A3127" t="s">
        <v>14724</v>
      </c>
      <c r="B3127" t="s">
        <v>1</v>
      </c>
      <c r="C3127" t="s">
        <v>14725</v>
      </c>
      <c r="D3127" t="s">
        <v>14726</v>
      </c>
      <c r="E3127" t="s">
        <v>14727</v>
      </c>
      <c r="F3127" t="s">
        <v>5</v>
      </c>
      <c r="G3127" t="s">
        <v>6</v>
      </c>
      <c r="L3127" t="s">
        <v>7</v>
      </c>
      <c r="M3127">
        <v>2022</v>
      </c>
      <c r="N3127" s="1">
        <v>44672</v>
      </c>
      <c r="O3127" t="s">
        <v>14728</v>
      </c>
      <c r="P3127">
        <v>1</v>
      </c>
      <c r="S3127">
        <v>95</v>
      </c>
      <c r="T3127">
        <v>104.99</v>
      </c>
      <c r="U3127">
        <v>86.5</v>
      </c>
      <c r="V3127" t="s">
        <v>20</v>
      </c>
      <c r="W3127" t="s">
        <v>21</v>
      </c>
      <c r="X3127" t="s">
        <v>22</v>
      </c>
      <c r="Y3127" t="s">
        <v>23</v>
      </c>
      <c r="AF3127" t="s">
        <v>13</v>
      </c>
      <c r="AG3127" t="str">
        <f>HYPERLINK("https://doi.org/10.1515/9781399500463")</f>
        <v>https://doi.org/10.1515/9781399500463</v>
      </c>
      <c r="AH3127" t="str">
        <f>HYPERLINK("http://www.degruyter.com/isbn/9781399500463")</f>
        <v>http://www.degruyter.com/isbn/9781399500463</v>
      </c>
      <c r="AI3127" t="s">
        <v>14656</v>
      </c>
      <c r="AL3127" t="s">
        <v>15</v>
      </c>
      <c r="AM3127">
        <v>1</v>
      </c>
      <c r="AN3127" s="2">
        <v>9781399500449</v>
      </c>
    </row>
    <row r="3128" spans="1:40" x14ac:dyDescent="0.3">
      <c r="A3128" t="s">
        <v>14729</v>
      </c>
      <c r="B3128" t="s">
        <v>1</v>
      </c>
      <c r="C3128" t="s">
        <v>14730</v>
      </c>
      <c r="E3128" t="s">
        <v>14731</v>
      </c>
      <c r="F3128" t="s">
        <v>5</v>
      </c>
      <c r="G3128" t="s">
        <v>6</v>
      </c>
      <c r="L3128" t="s">
        <v>7</v>
      </c>
      <c r="M3128">
        <v>2022</v>
      </c>
      <c r="N3128" s="1">
        <v>44672</v>
      </c>
      <c r="O3128" t="s">
        <v>14732</v>
      </c>
      <c r="P3128">
        <v>1</v>
      </c>
      <c r="S3128">
        <v>217.95</v>
      </c>
      <c r="T3128">
        <v>250</v>
      </c>
      <c r="U3128">
        <v>190</v>
      </c>
      <c r="V3128" t="s">
        <v>42</v>
      </c>
      <c r="W3128" t="s">
        <v>116</v>
      </c>
      <c r="X3128" t="s">
        <v>116</v>
      </c>
      <c r="Y3128" t="s">
        <v>117</v>
      </c>
      <c r="AF3128" t="s">
        <v>13</v>
      </c>
      <c r="AG3128" t="str">
        <f>HYPERLINK("https://doi.org/10.1515/9781474490023")</f>
        <v>https://doi.org/10.1515/9781474490023</v>
      </c>
      <c r="AH3128" t="str">
        <f>HYPERLINK("http://www.degruyter.com/isbn/9781474490023")</f>
        <v>http://www.degruyter.com/isbn/9781474490023</v>
      </c>
      <c r="AI3128" t="s">
        <v>14638</v>
      </c>
      <c r="AL3128" t="s">
        <v>47</v>
      </c>
      <c r="AM3128">
        <v>1</v>
      </c>
      <c r="AN3128" s="2">
        <v>9781474490009</v>
      </c>
    </row>
    <row r="3129" spans="1:40" x14ac:dyDescent="0.3">
      <c r="A3129" t="s">
        <v>14733</v>
      </c>
      <c r="B3129" t="s">
        <v>1</v>
      </c>
      <c r="C3129" t="s">
        <v>14734</v>
      </c>
      <c r="D3129" t="s">
        <v>14735</v>
      </c>
      <c r="E3129" t="s">
        <v>14736</v>
      </c>
      <c r="F3129" t="s">
        <v>5</v>
      </c>
      <c r="G3129" t="s">
        <v>6</v>
      </c>
      <c r="L3129" t="s">
        <v>7</v>
      </c>
      <c r="M3129">
        <v>2022</v>
      </c>
      <c r="N3129" s="1">
        <v>44672</v>
      </c>
      <c r="O3129" t="s">
        <v>14737</v>
      </c>
      <c r="P3129">
        <v>1</v>
      </c>
      <c r="S3129">
        <v>217.95</v>
      </c>
      <c r="T3129">
        <v>250</v>
      </c>
      <c r="U3129">
        <v>190</v>
      </c>
      <c r="V3129" t="s">
        <v>42</v>
      </c>
      <c r="W3129" t="s">
        <v>43</v>
      </c>
      <c r="X3129" t="s">
        <v>1061</v>
      </c>
      <c r="Y3129" t="s">
        <v>14738</v>
      </c>
      <c r="AF3129" t="s">
        <v>13</v>
      </c>
      <c r="AG3129" t="str">
        <f>HYPERLINK("https://doi.org/10.1515/9781474494168")</f>
        <v>https://doi.org/10.1515/9781474494168</v>
      </c>
      <c r="AH3129" t="str">
        <f>HYPERLINK("http://www.degruyter.com/isbn/9781474494168")</f>
        <v>http://www.degruyter.com/isbn/9781474494168</v>
      </c>
      <c r="AI3129" t="s">
        <v>14638</v>
      </c>
      <c r="AL3129" t="s">
        <v>47</v>
      </c>
      <c r="AM3129">
        <v>1</v>
      </c>
      <c r="AN3129" s="2">
        <v>9781474494144</v>
      </c>
    </row>
    <row r="3130" spans="1:40" x14ac:dyDescent="0.3">
      <c r="A3130" t="s">
        <v>14739</v>
      </c>
      <c r="B3130" t="s">
        <v>1</v>
      </c>
      <c r="C3130" t="s">
        <v>14740</v>
      </c>
      <c r="E3130" t="s">
        <v>14741</v>
      </c>
      <c r="F3130" t="s">
        <v>5</v>
      </c>
      <c r="G3130" t="s">
        <v>6</v>
      </c>
      <c r="L3130" t="s">
        <v>7</v>
      </c>
      <c r="M3130">
        <v>2022</v>
      </c>
      <c r="N3130" s="1">
        <v>44742</v>
      </c>
      <c r="O3130" t="s">
        <v>14742</v>
      </c>
      <c r="P3130">
        <v>1</v>
      </c>
      <c r="Q3130" t="s">
        <v>6987</v>
      </c>
      <c r="S3130">
        <v>217.95</v>
      </c>
      <c r="T3130">
        <v>250</v>
      </c>
      <c r="U3130">
        <v>190</v>
      </c>
      <c r="V3130" t="s">
        <v>9</v>
      </c>
      <c r="W3130" t="s">
        <v>10</v>
      </c>
      <c r="X3130" t="s">
        <v>11</v>
      </c>
      <c r="Y3130" t="s">
        <v>52</v>
      </c>
      <c r="AF3130" t="s">
        <v>13</v>
      </c>
      <c r="AG3130" t="str">
        <f>HYPERLINK("https://doi.org/10.1515/9781474460828")</f>
        <v>https://doi.org/10.1515/9781474460828</v>
      </c>
      <c r="AH3130" t="str">
        <f>HYPERLINK("http://www.degruyter.com/isbn/9781474460828")</f>
        <v>http://www.degruyter.com/isbn/9781474460828</v>
      </c>
      <c r="AI3130" t="s">
        <v>14693</v>
      </c>
      <c r="AL3130" t="s">
        <v>15</v>
      </c>
      <c r="AM3130">
        <v>1</v>
      </c>
      <c r="AN3130" s="2">
        <v>9781474460804</v>
      </c>
    </row>
    <row r="3131" spans="1:40" x14ac:dyDescent="0.3">
      <c r="A3131" t="s">
        <v>14743</v>
      </c>
      <c r="B3131" t="s">
        <v>1</v>
      </c>
      <c r="C3131" t="s">
        <v>14744</v>
      </c>
      <c r="D3131" t="s">
        <v>14745</v>
      </c>
      <c r="E3131" t="s">
        <v>14746</v>
      </c>
      <c r="F3131" t="s">
        <v>5</v>
      </c>
      <c r="G3131" t="s">
        <v>6</v>
      </c>
      <c r="L3131" t="s">
        <v>7</v>
      </c>
      <c r="M3131">
        <v>2021</v>
      </c>
      <c r="N3131" s="1">
        <v>44672</v>
      </c>
      <c r="O3131" t="s">
        <v>14747</v>
      </c>
      <c r="P3131">
        <v>1</v>
      </c>
      <c r="Q3131" t="s">
        <v>13880</v>
      </c>
      <c r="S3131">
        <v>217.95</v>
      </c>
      <c r="T3131">
        <v>250</v>
      </c>
      <c r="U3131">
        <v>190</v>
      </c>
      <c r="V3131" t="s">
        <v>79</v>
      </c>
      <c r="W3131" t="s">
        <v>762</v>
      </c>
      <c r="X3131" t="s">
        <v>762</v>
      </c>
      <c r="Y3131" t="s">
        <v>763</v>
      </c>
      <c r="AF3131" t="s">
        <v>13</v>
      </c>
      <c r="AG3131" t="str">
        <f>HYPERLINK("https://doi.org/10.1515/9781474480130")</f>
        <v>https://doi.org/10.1515/9781474480130</v>
      </c>
      <c r="AH3131" t="str">
        <f>HYPERLINK("http://www.degruyter.com/isbn/9781474480130")</f>
        <v>http://www.degruyter.com/isbn/9781474480130</v>
      </c>
      <c r="AI3131" t="s">
        <v>4630</v>
      </c>
      <c r="AL3131" t="s">
        <v>83</v>
      </c>
      <c r="AM3131">
        <v>1</v>
      </c>
      <c r="AN3131" s="2">
        <v>9781474480116</v>
      </c>
    </row>
    <row r="3132" spans="1:40" x14ac:dyDescent="0.3">
      <c r="A3132" t="s">
        <v>14748</v>
      </c>
      <c r="B3132" t="s">
        <v>1</v>
      </c>
      <c r="C3132" t="s">
        <v>14749</v>
      </c>
      <c r="D3132" t="s">
        <v>14750</v>
      </c>
      <c r="E3132" t="s">
        <v>14751</v>
      </c>
      <c r="F3132" t="s">
        <v>5</v>
      </c>
      <c r="G3132" t="s">
        <v>6</v>
      </c>
      <c r="L3132" t="s">
        <v>7</v>
      </c>
      <c r="M3132">
        <v>2022</v>
      </c>
      <c r="N3132" s="1">
        <v>44712</v>
      </c>
      <c r="O3132" t="s">
        <v>14752</v>
      </c>
      <c r="P3132">
        <v>1</v>
      </c>
      <c r="Q3132" t="s">
        <v>6539</v>
      </c>
      <c r="S3132">
        <v>217.95</v>
      </c>
      <c r="T3132">
        <v>250</v>
      </c>
      <c r="U3132">
        <v>190</v>
      </c>
      <c r="V3132" t="s">
        <v>42</v>
      </c>
      <c r="W3132" t="s">
        <v>43</v>
      </c>
      <c r="X3132" t="s">
        <v>6163</v>
      </c>
      <c r="Y3132" t="s">
        <v>117</v>
      </c>
      <c r="AF3132" t="s">
        <v>13</v>
      </c>
      <c r="AG3132" t="str">
        <f>HYPERLINK("https://doi.org/10.1515/9781474476225")</f>
        <v>https://doi.org/10.1515/9781474476225</v>
      </c>
      <c r="AH3132" t="str">
        <f>HYPERLINK("http://www.degruyter.com/isbn/9781474476225")</f>
        <v>http://www.degruyter.com/isbn/9781474476225</v>
      </c>
      <c r="AI3132" t="s">
        <v>14638</v>
      </c>
      <c r="AL3132" t="s">
        <v>47</v>
      </c>
      <c r="AM3132">
        <v>1</v>
      </c>
      <c r="AN3132" s="2">
        <v>9781474476201</v>
      </c>
    </row>
    <row r="3133" spans="1:40" x14ac:dyDescent="0.3">
      <c r="A3133" t="s">
        <v>14753</v>
      </c>
      <c r="B3133" t="s">
        <v>1</v>
      </c>
      <c r="C3133" t="s">
        <v>14754</v>
      </c>
      <c r="E3133" t="s">
        <v>14755</v>
      </c>
      <c r="F3133" t="s">
        <v>5</v>
      </c>
      <c r="G3133" t="s">
        <v>6</v>
      </c>
      <c r="L3133" t="s">
        <v>7</v>
      </c>
      <c r="M3133">
        <v>2022</v>
      </c>
      <c r="N3133" s="1">
        <v>44690</v>
      </c>
      <c r="O3133" t="s">
        <v>4961</v>
      </c>
      <c r="P3133">
        <v>1</v>
      </c>
      <c r="S3133">
        <v>227.95</v>
      </c>
      <c r="T3133">
        <v>260</v>
      </c>
      <c r="U3133">
        <v>200</v>
      </c>
      <c r="V3133" t="s">
        <v>42</v>
      </c>
      <c r="W3133" t="s">
        <v>107</v>
      </c>
      <c r="X3133" t="s">
        <v>108</v>
      </c>
      <c r="Y3133" t="s">
        <v>109</v>
      </c>
      <c r="AF3133" t="s">
        <v>13</v>
      </c>
      <c r="AG3133" t="str">
        <f>HYPERLINK("https://doi.org/10.1515/9781474454414")</f>
        <v>https://doi.org/10.1515/9781474454414</v>
      </c>
      <c r="AH3133" t="str">
        <f>HYPERLINK("http://www.degruyter.com/isbn/9781474454414")</f>
        <v>http://www.degruyter.com/isbn/9781474454414</v>
      </c>
      <c r="AI3133" t="s">
        <v>14638</v>
      </c>
      <c r="AL3133" t="s">
        <v>47</v>
      </c>
      <c r="AM3133">
        <v>1</v>
      </c>
      <c r="AN3133" s="2">
        <v>9781474454391</v>
      </c>
    </row>
    <row r="3134" spans="1:40" x14ac:dyDescent="0.3">
      <c r="A3134" t="s">
        <v>14756</v>
      </c>
      <c r="B3134" t="s">
        <v>1</v>
      </c>
      <c r="C3134" t="s">
        <v>14757</v>
      </c>
      <c r="E3134" t="s">
        <v>14758</v>
      </c>
      <c r="F3134" t="s">
        <v>5</v>
      </c>
      <c r="G3134" t="s">
        <v>6</v>
      </c>
      <c r="L3134" t="s">
        <v>7</v>
      </c>
      <c r="M3134">
        <v>2022</v>
      </c>
      <c r="N3134" s="1">
        <v>44773</v>
      </c>
      <c r="O3134" t="s">
        <v>14759</v>
      </c>
      <c r="P3134">
        <v>1</v>
      </c>
      <c r="S3134">
        <v>217.95</v>
      </c>
      <c r="T3134">
        <v>250</v>
      </c>
      <c r="U3134">
        <v>190</v>
      </c>
      <c r="V3134" t="s">
        <v>79</v>
      </c>
      <c r="W3134" t="s">
        <v>783</v>
      </c>
      <c r="X3134" t="s">
        <v>783</v>
      </c>
      <c r="Y3134" t="s">
        <v>784</v>
      </c>
      <c r="AF3134" t="s">
        <v>13</v>
      </c>
      <c r="AG3134" t="str">
        <f>HYPERLINK("https://doi.org/10.1515/9781474498081")</f>
        <v>https://doi.org/10.1515/9781474498081</v>
      </c>
      <c r="AH3134" t="str">
        <f>HYPERLINK("http://www.degruyter.com/isbn/9781474498081")</f>
        <v>http://www.degruyter.com/isbn/9781474498081</v>
      </c>
      <c r="AI3134" t="s">
        <v>14633</v>
      </c>
      <c r="AL3134" t="s">
        <v>83</v>
      </c>
      <c r="AM3134">
        <v>1</v>
      </c>
      <c r="AN3134" s="2">
        <v>9781474498067</v>
      </c>
    </row>
    <row r="3135" spans="1:40" x14ac:dyDescent="0.3">
      <c r="A3135" t="s">
        <v>14760</v>
      </c>
      <c r="B3135" t="s">
        <v>1</v>
      </c>
      <c r="C3135" t="s">
        <v>14761</v>
      </c>
      <c r="D3135" t="s">
        <v>14762</v>
      </c>
      <c r="E3135" t="s">
        <v>14763</v>
      </c>
      <c r="F3135" t="s">
        <v>5</v>
      </c>
      <c r="G3135" t="s">
        <v>6</v>
      </c>
      <c r="L3135" t="s">
        <v>7</v>
      </c>
      <c r="M3135">
        <v>2022</v>
      </c>
      <c r="N3135" s="1">
        <v>44729</v>
      </c>
      <c r="O3135" t="s">
        <v>13235</v>
      </c>
      <c r="P3135">
        <v>1</v>
      </c>
      <c r="Q3135" t="s">
        <v>6729</v>
      </c>
      <c r="S3135">
        <v>217.95</v>
      </c>
      <c r="T3135">
        <v>250</v>
      </c>
      <c r="U3135">
        <v>190</v>
      </c>
      <c r="V3135" t="s">
        <v>79</v>
      </c>
      <c r="W3135" t="s">
        <v>4974</v>
      </c>
      <c r="X3135" t="s">
        <v>4975</v>
      </c>
      <c r="Y3135" t="s">
        <v>4976</v>
      </c>
      <c r="AF3135" t="s">
        <v>13</v>
      </c>
      <c r="AG3135" t="str">
        <f>HYPERLINK("https://doi.org/10.1515/9781474492454")</f>
        <v>https://doi.org/10.1515/9781474492454</v>
      </c>
      <c r="AH3135" t="str">
        <f>HYPERLINK("http://www.degruyter.com/isbn/9781474492454")</f>
        <v>http://www.degruyter.com/isbn/9781474492454</v>
      </c>
      <c r="AI3135" t="s">
        <v>14633</v>
      </c>
      <c r="AL3135" t="s">
        <v>83</v>
      </c>
      <c r="AM3135">
        <v>1</v>
      </c>
      <c r="AN3135" s="2">
        <v>9781474492423</v>
      </c>
    </row>
    <row r="3136" spans="1:40" x14ac:dyDescent="0.3">
      <c r="A3136" t="s">
        <v>14764</v>
      </c>
      <c r="B3136" t="s">
        <v>1</v>
      </c>
      <c r="C3136" t="s">
        <v>14765</v>
      </c>
      <c r="E3136" t="s">
        <v>14766</v>
      </c>
      <c r="F3136" t="s">
        <v>5</v>
      </c>
      <c r="G3136" t="s">
        <v>6</v>
      </c>
      <c r="K3136" t="s">
        <v>4259</v>
      </c>
      <c r="L3136" t="s">
        <v>7</v>
      </c>
      <c r="M3136">
        <v>2022</v>
      </c>
      <c r="N3136" s="1">
        <v>44678</v>
      </c>
      <c r="O3136" t="s">
        <v>14767</v>
      </c>
      <c r="P3136">
        <v>1</v>
      </c>
      <c r="V3136" t="s">
        <v>297</v>
      </c>
      <c r="W3136" t="s">
        <v>4243</v>
      </c>
      <c r="X3136" t="s">
        <v>4243</v>
      </c>
      <c r="Y3136" t="s">
        <v>4244</v>
      </c>
      <c r="AF3136" t="s">
        <v>13</v>
      </c>
      <c r="AG3136" t="str">
        <f>HYPERLINK("https://doi.org/10.1515/9781474459341")</f>
        <v>https://doi.org/10.1515/9781474459341</v>
      </c>
      <c r="AH3136" t="str">
        <f>HYPERLINK("http://www.degruyter.com/isbn/9781474459341")</f>
        <v>http://www.degruyter.com/isbn/9781474459341</v>
      </c>
      <c r="AI3136" t="s">
        <v>14768</v>
      </c>
      <c r="AM3136">
        <v>1</v>
      </c>
      <c r="AN3136" s="2"/>
    </row>
    <row r="3137" spans="1:40" x14ac:dyDescent="0.3">
      <c r="A3137" t="s">
        <v>14769</v>
      </c>
      <c r="B3137" t="s">
        <v>1</v>
      </c>
      <c r="C3137" t="s">
        <v>14770</v>
      </c>
      <c r="E3137" t="s">
        <v>14771</v>
      </c>
      <c r="F3137" t="s">
        <v>5</v>
      </c>
      <c r="G3137" t="s">
        <v>6</v>
      </c>
      <c r="L3137" t="s">
        <v>7</v>
      </c>
      <c r="M3137">
        <v>2022</v>
      </c>
      <c r="N3137" s="1">
        <v>44773</v>
      </c>
      <c r="O3137" t="s">
        <v>802</v>
      </c>
      <c r="P3137">
        <v>1</v>
      </c>
      <c r="Q3137" t="s">
        <v>7655</v>
      </c>
      <c r="S3137">
        <v>217.95</v>
      </c>
      <c r="T3137">
        <v>250</v>
      </c>
      <c r="U3137">
        <v>190</v>
      </c>
      <c r="V3137" t="s">
        <v>9</v>
      </c>
      <c r="W3137" t="s">
        <v>10</v>
      </c>
      <c r="X3137" t="s">
        <v>11</v>
      </c>
      <c r="Y3137" t="s">
        <v>52</v>
      </c>
      <c r="AF3137" t="s">
        <v>13</v>
      </c>
      <c r="AG3137" t="str">
        <f>HYPERLINK("https://doi.org/10.1515/9781399505659")</f>
        <v>https://doi.org/10.1515/9781399505659</v>
      </c>
      <c r="AH3137" t="str">
        <f>HYPERLINK("http://www.degruyter.com/isbn/9781399505659")</f>
        <v>http://www.degruyter.com/isbn/9781399505659</v>
      </c>
      <c r="AI3137" t="s">
        <v>14693</v>
      </c>
      <c r="AL3137" t="s">
        <v>15</v>
      </c>
      <c r="AM3137">
        <v>1</v>
      </c>
      <c r="AN3137" s="2">
        <v>9781399505635</v>
      </c>
    </row>
    <row r="3138" spans="1:40" x14ac:dyDescent="0.3">
      <c r="A3138" t="s">
        <v>14772</v>
      </c>
      <c r="B3138" t="s">
        <v>1</v>
      </c>
      <c r="C3138" t="s">
        <v>14773</v>
      </c>
      <c r="D3138" t="s">
        <v>14774</v>
      </c>
      <c r="E3138" t="s">
        <v>14775</v>
      </c>
      <c r="F3138" t="s">
        <v>5</v>
      </c>
      <c r="G3138" t="s">
        <v>6</v>
      </c>
      <c r="L3138" t="s">
        <v>7</v>
      </c>
      <c r="M3138">
        <v>2022</v>
      </c>
      <c r="N3138" s="1">
        <v>44690</v>
      </c>
      <c r="O3138" t="s">
        <v>14776</v>
      </c>
      <c r="P3138">
        <v>1</v>
      </c>
      <c r="Q3138" t="s">
        <v>7194</v>
      </c>
      <c r="S3138">
        <v>217.95</v>
      </c>
      <c r="T3138">
        <v>250</v>
      </c>
      <c r="U3138">
        <v>190</v>
      </c>
      <c r="V3138" t="s">
        <v>42</v>
      </c>
      <c r="W3138" t="s">
        <v>1379</v>
      </c>
      <c r="X3138" t="s">
        <v>1380</v>
      </c>
      <c r="Y3138" t="s">
        <v>1381</v>
      </c>
      <c r="AF3138" t="s">
        <v>13</v>
      </c>
      <c r="AG3138" t="str">
        <f>HYPERLINK("https://doi.org/10.1515/9781474490528")</f>
        <v>https://doi.org/10.1515/9781474490528</v>
      </c>
      <c r="AH3138" t="str">
        <f>HYPERLINK("http://www.degruyter.com/isbn/9781474490528")</f>
        <v>http://www.degruyter.com/isbn/9781474490528</v>
      </c>
      <c r="AI3138" t="s">
        <v>14638</v>
      </c>
      <c r="AL3138" t="s">
        <v>47</v>
      </c>
      <c r="AM3138">
        <v>1</v>
      </c>
      <c r="AN3138" s="2">
        <v>9781474490504</v>
      </c>
    </row>
    <row r="3139" spans="1:40" x14ac:dyDescent="0.3">
      <c r="A3139" t="s">
        <v>14777</v>
      </c>
      <c r="B3139" t="s">
        <v>1</v>
      </c>
      <c r="C3139" t="s">
        <v>14778</v>
      </c>
      <c r="E3139" t="s">
        <v>14779</v>
      </c>
      <c r="F3139" t="s">
        <v>5</v>
      </c>
      <c r="G3139" t="s">
        <v>6</v>
      </c>
      <c r="L3139" t="s">
        <v>7</v>
      </c>
      <c r="M3139">
        <v>2022</v>
      </c>
      <c r="N3139" s="1">
        <v>44729</v>
      </c>
      <c r="O3139" t="s">
        <v>14780</v>
      </c>
      <c r="P3139">
        <v>1</v>
      </c>
      <c r="S3139">
        <v>217.95</v>
      </c>
      <c r="T3139">
        <v>250</v>
      </c>
      <c r="U3139">
        <v>190</v>
      </c>
      <c r="V3139" t="s">
        <v>20</v>
      </c>
      <c r="W3139" t="s">
        <v>21</v>
      </c>
      <c r="X3139" t="s">
        <v>458</v>
      </c>
      <c r="Y3139" t="s">
        <v>459</v>
      </c>
      <c r="AF3139" t="s">
        <v>13</v>
      </c>
      <c r="AG3139" t="str">
        <f>HYPERLINK("https://doi.org/10.1515/9781474489430")</f>
        <v>https://doi.org/10.1515/9781474489430</v>
      </c>
      <c r="AH3139" t="str">
        <f>HYPERLINK("http://www.degruyter.com/isbn/9781474489430")</f>
        <v>http://www.degruyter.com/isbn/9781474489430</v>
      </c>
      <c r="AI3139" t="s">
        <v>14656</v>
      </c>
      <c r="AL3139" t="s">
        <v>15</v>
      </c>
      <c r="AM3139">
        <v>1</v>
      </c>
      <c r="AN3139" s="2">
        <v>9781474489409</v>
      </c>
    </row>
    <row r="3140" spans="1:40" x14ac:dyDescent="0.3">
      <c r="A3140" t="s">
        <v>14781</v>
      </c>
      <c r="B3140" t="s">
        <v>1</v>
      </c>
      <c r="C3140" t="s">
        <v>14782</v>
      </c>
      <c r="E3140" t="s">
        <v>14783</v>
      </c>
      <c r="F3140" t="s">
        <v>5</v>
      </c>
      <c r="G3140" t="s">
        <v>6</v>
      </c>
      <c r="L3140" t="s">
        <v>7</v>
      </c>
      <c r="M3140">
        <v>2022</v>
      </c>
      <c r="N3140" s="1">
        <v>44729</v>
      </c>
      <c r="O3140" t="s">
        <v>14784</v>
      </c>
      <c r="P3140">
        <v>1</v>
      </c>
      <c r="S3140">
        <v>217.95</v>
      </c>
      <c r="T3140">
        <v>250</v>
      </c>
      <c r="U3140">
        <v>190</v>
      </c>
      <c r="V3140" t="s">
        <v>268</v>
      </c>
      <c r="W3140" t="s">
        <v>269</v>
      </c>
      <c r="X3140" t="s">
        <v>269</v>
      </c>
      <c r="Y3140" t="s">
        <v>1095</v>
      </c>
      <c r="AF3140" t="s">
        <v>13</v>
      </c>
      <c r="AG3140" t="str">
        <f>HYPERLINK("https://doi.org/10.1515/9781474466325")</f>
        <v>https://doi.org/10.1515/9781474466325</v>
      </c>
      <c r="AH3140" t="str">
        <f>HYPERLINK("http://www.degruyter.com/isbn/9781474466325")</f>
        <v>http://www.degruyter.com/isbn/9781474466325</v>
      </c>
      <c r="AI3140" t="s">
        <v>14785</v>
      </c>
      <c r="AL3140" t="s">
        <v>272</v>
      </c>
      <c r="AM3140">
        <v>1</v>
      </c>
      <c r="AN3140" s="2">
        <v>9781474466301</v>
      </c>
    </row>
    <row r="3141" spans="1:40" x14ac:dyDescent="0.3">
      <c r="A3141" t="s">
        <v>14786</v>
      </c>
      <c r="B3141" t="s">
        <v>1</v>
      </c>
      <c r="C3141" t="s">
        <v>14787</v>
      </c>
      <c r="D3141" t="s">
        <v>14788</v>
      </c>
      <c r="E3141" t="s">
        <v>14789</v>
      </c>
      <c r="F3141" t="s">
        <v>5</v>
      </c>
      <c r="G3141" t="s">
        <v>6</v>
      </c>
      <c r="L3141" t="s">
        <v>7</v>
      </c>
      <c r="M3141">
        <v>2022</v>
      </c>
      <c r="N3141" s="1">
        <v>44672</v>
      </c>
      <c r="O3141" t="s">
        <v>14790</v>
      </c>
      <c r="P3141">
        <v>1</v>
      </c>
      <c r="Q3141" t="s">
        <v>6659</v>
      </c>
      <c r="S3141">
        <v>243.95</v>
      </c>
      <c r="T3141">
        <v>280</v>
      </c>
      <c r="U3141">
        <v>210</v>
      </c>
      <c r="V3141" t="s">
        <v>20</v>
      </c>
      <c r="W3141" t="s">
        <v>21</v>
      </c>
      <c r="X3141" t="s">
        <v>22</v>
      </c>
      <c r="Y3141" t="s">
        <v>23</v>
      </c>
      <c r="AF3141" t="s">
        <v>13</v>
      </c>
      <c r="AG3141" t="str">
        <f>HYPERLINK("https://doi.org/10.1515/9781474488785")</f>
        <v>https://doi.org/10.1515/9781474488785</v>
      </c>
      <c r="AH3141" t="str">
        <f>HYPERLINK("http://www.degruyter.com/isbn/9781474488785")</f>
        <v>http://www.degruyter.com/isbn/9781474488785</v>
      </c>
      <c r="AI3141" t="s">
        <v>14656</v>
      </c>
      <c r="AL3141" t="s">
        <v>15</v>
      </c>
      <c r="AM3141">
        <v>1</v>
      </c>
      <c r="AN3141" s="2">
        <v>9781474488761</v>
      </c>
    </row>
    <row r="3142" spans="1:40" x14ac:dyDescent="0.3">
      <c r="A3142" t="s">
        <v>14791</v>
      </c>
      <c r="B3142" t="s">
        <v>1</v>
      </c>
      <c r="C3142" t="s">
        <v>14792</v>
      </c>
      <c r="D3142" t="s">
        <v>14793</v>
      </c>
      <c r="E3142" t="s">
        <v>14794</v>
      </c>
      <c r="F3142" t="s">
        <v>5</v>
      </c>
      <c r="G3142" t="s">
        <v>6</v>
      </c>
      <c r="L3142" t="s">
        <v>7</v>
      </c>
      <c r="M3142">
        <v>2022</v>
      </c>
      <c r="N3142" s="1">
        <v>44690</v>
      </c>
      <c r="O3142" t="s">
        <v>14795</v>
      </c>
      <c r="P3142">
        <v>1</v>
      </c>
      <c r="Q3142" t="s">
        <v>7009</v>
      </c>
      <c r="S3142">
        <v>243.95</v>
      </c>
      <c r="T3142">
        <v>280</v>
      </c>
      <c r="U3142">
        <v>210</v>
      </c>
      <c r="V3142" t="s">
        <v>329</v>
      </c>
      <c r="W3142" t="s">
        <v>330</v>
      </c>
      <c r="X3142" t="s">
        <v>331</v>
      </c>
      <c r="Y3142" t="s">
        <v>1035</v>
      </c>
      <c r="AF3142" t="s">
        <v>13</v>
      </c>
      <c r="AG3142" t="str">
        <f>HYPERLINK("https://doi.org/10.1515/9780748636792")</f>
        <v>https://doi.org/10.1515/9780748636792</v>
      </c>
      <c r="AH3142" t="str">
        <f>HYPERLINK("http://www.degruyter.com/isbn/9780748636792")</f>
        <v>http://www.degruyter.com/isbn/9780748636792</v>
      </c>
      <c r="AI3142" t="s">
        <v>14704</v>
      </c>
      <c r="AL3142" t="s">
        <v>333</v>
      </c>
      <c r="AM3142">
        <v>1</v>
      </c>
      <c r="AN3142" s="2">
        <v>9780748636778</v>
      </c>
    </row>
    <row r="3143" spans="1:40" x14ac:dyDescent="0.3">
      <c r="A3143">
        <v>294108</v>
      </c>
      <c r="B3143" t="s">
        <v>1</v>
      </c>
      <c r="C3143" t="s">
        <v>14796</v>
      </c>
      <c r="D3143" t="s">
        <v>186</v>
      </c>
      <c r="E3143" t="s">
        <v>14796</v>
      </c>
      <c r="F3143" t="s">
        <v>5</v>
      </c>
      <c r="G3143" t="s">
        <v>6</v>
      </c>
      <c r="L3143" t="s">
        <v>7</v>
      </c>
      <c r="M3143">
        <v>2024</v>
      </c>
      <c r="N3143" s="1">
        <v>45292</v>
      </c>
      <c r="P3143">
        <v>1</v>
      </c>
      <c r="V3143" t="s">
        <v>187</v>
      </c>
      <c r="W3143" t="s">
        <v>187</v>
      </c>
      <c r="X3143" t="s">
        <v>187</v>
      </c>
      <c r="Y3143" t="s">
        <v>188</v>
      </c>
      <c r="AF3143" t="s">
        <v>189</v>
      </c>
      <c r="AL3143" t="s">
        <v>638</v>
      </c>
      <c r="AM3143">
        <v>1</v>
      </c>
      <c r="AN3143" s="2"/>
    </row>
    <row r="3144" spans="1:40" x14ac:dyDescent="0.3">
      <c r="A3144" t="s">
        <v>14797</v>
      </c>
      <c r="B3144" t="s">
        <v>1</v>
      </c>
      <c r="C3144" t="s">
        <v>14798</v>
      </c>
      <c r="E3144" t="s">
        <v>14799</v>
      </c>
      <c r="F3144" t="s">
        <v>5</v>
      </c>
      <c r="G3144" t="s">
        <v>6</v>
      </c>
      <c r="L3144" t="s">
        <v>7</v>
      </c>
      <c r="M3144">
        <v>2022</v>
      </c>
      <c r="N3144" s="1">
        <v>44773</v>
      </c>
      <c r="O3144" t="s">
        <v>14800</v>
      </c>
      <c r="P3144">
        <v>1</v>
      </c>
      <c r="Q3144" t="s">
        <v>6987</v>
      </c>
      <c r="S3144">
        <v>217.95</v>
      </c>
      <c r="T3144">
        <v>250</v>
      </c>
      <c r="U3144">
        <v>190</v>
      </c>
      <c r="V3144" t="s">
        <v>9</v>
      </c>
      <c r="W3144" t="s">
        <v>10</v>
      </c>
      <c r="X3144" t="s">
        <v>11</v>
      </c>
      <c r="Y3144" t="s">
        <v>52</v>
      </c>
      <c r="AF3144" t="s">
        <v>13</v>
      </c>
      <c r="AG3144" t="str">
        <f>HYPERLINK("https://doi.org/10.1515/9781474476430")</f>
        <v>https://doi.org/10.1515/9781474476430</v>
      </c>
      <c r="AH3144" t="str">
        <f>HYPERLINK("http://www.degruyter.com/isbn/9781474476430")</f>
        <v>http://www.degruyter.com/isbn/9781474476430</v>
      </c>
      <c r="AI3144" t="s">
        <v>14693</v>
      </c>
      <c r="AL3144" t="s">
        <v>15</v>
      </c>
      <c r="AM3144">
        <v>1</v>
      </c>
      <c r="AN3144" s="2">
        <v>9781474476416</v>
      </c>
    </row>
    <row r="3145" spans="1:40" x14ac:dyDescent="0.3">
      <c r="A3145" t="s">
        <v>14801</v>
      </c>
      <c r="B3145" t="s">
        <v>1</v>
      </c>
      <c r="C3145" t="s">
        <v>14802</v>
      </c>
      <c r="D3145" t="s">
        <v>14803</v>
      </c>
      <c r="E3145" t="s">
        <v>14804</v>
      </c>
      <c r="F3145" t="s">
        <v>5</v>
      </c>
      <c r="G3145" t="s">
        <v>6</v>
      </c>
      <c r="L3145" t="s">
        <v>7</v>
      </c>
      <c r="M3145">
        <v>2022</v>
      </c>
      <c r="N3145" s="1">
        <v>44712</v>
      </c>
      <c r="O3145" t="s">
        <v>14805</v>
      </c>
      <c r="P3145">
        <v>1</v>
      </c>
      <c r="S3145">
        <v>217.95</v>
      </c>
      <c r="T3145">
        <v>250</v>
      </c>
      <c r="U3145">
        <v>190</v>
      </c>
      <c r="V3145" t="s">
        <v>9</v>
      </c>
      <c r="W3145" t="s">
        <v>10</v>
      </c>
      <c r="X3145" t="s">
        <v>11</v>
      </c>
      <c r="Y3145" t="s">
        <v>52</v>
      </c>
      <c r="AF3145" t="s">
        <v>13</v>
      </c>
      <c r="AG3145" t="str">
        <f>HYPERLINK("https://doi.org/10.1515/9781474493802")</f>
        <v>https://doi.org/10.1515/9781474493802</v>
      </c>
      <c r="AH3145" t="str">
        <f>HYPERLINK("http://www.degruyter.com/isbn/9781474493802")</f>
        <v>http://www.degruyter.com/isbn/9781474493802</v>
      </c>
      <c r="AI3145" t="s">
        <v>14693</v>
      </c>
      <c r="AL3145" t="s">
        <v>15</v>
      </c>
      <c r="AM3145">
        <v>1</v>
      </c>
      <c r="AN3145" s="2">
        <v>9781474493789</v>
      </c>
    </row>
    <row r="3146" spans="1:40" x14ac:dyDescent="0.3">
      <c r="A3146" t="s">
        <v>14806</v>
      </c>
      <c r="B3146" t="s">
        <v>1</v>
      </c>
      <c r="C3146" t="s">
        <v>14807</v>
      </c>
      <c r="E3146" t="s">
        <v>14808</v>
      </c>
      <c r="F3146" t="s">
        <v>5</v>
      </c>
      <c r="G3146" t="s">
        <v>6</v>
      </c>
      <c r="L3146" t="s">
        <v>7</v>
      </c>
      <c r="M3146">
        <v>2022</v>
      </c>
      <c r="N3146" s="1">
        <v>44690</v>
      </c>
      <c r="O3146" t="s">
        <v>14809</v>
      </c>
      <c r="P3146">
        <v>1</v>
      </c>
      <c r="Q3146" t="s">
        <v>10252</v>
      </c>
      <c r="S3146">
        <v>243.95</v>
      </c>
      <c r="T3146">
        <v>280</v>
      </c>
      <c r="U3146">
        <v>210</v>
      </c>
      <c r="V3146" t="s">
        <v>79</v>
      </c>
      <c r="W3146" t="s">
        <v>783</v>
      </c>
      <c r="X3146" t="s">
        <v>783</v>
      </c>
      <c r="Y3146" t="s">
        <v>784</v>
      </c>
      <c r="AF3146" t="s">
        <v>13</v>
      </c>
      <c r="AG3146" t="str">
        <f>HYPERLINK("https://doi.org/10.1515/9781474457729")</f>
        <v>https://doi.org/10.1515/9781474457729</v>
      </c>
      <c r="AH3146" t="str">
        <f>HYPERLINK("http://www.degruyter.com/isbn/9781474457729")</f>
        <v>http://www.degruyter.com/isbn/9781474457729</v>
      </c>
      <c r="AI3146" t="s">
        <v>14633</v>
      </c>
      <c r="AJ3146" t="s">
        <v>35</v>
      </c>
      <c r="AM3146">
        <v>1</v>
      </c>
      <c r="AN3146" s="2">
        <v>9781474457699</v>
      </c>
    </row>
    <row r="3147" spans="1:40" x14ac:dyDescent="0.3">
      <c r="A3147" t="s">
        <v>14810</v>
      </c>
      <c r="B3147" t="s">
        <v>1</v>
      </c>
      <c r="C3147" t="s">
        <v>14811</v>
      </c>
      <c r="D3147" t="s">
        <v>14812</v>
      </c>
      <c r="E3147" t="s">
        <v>14813</v>
      </c>
      <c r="F3147" t="s">
        <v>5</v>
      </c>
      <c r="G3147" t="s">
        <v>6</v>
      </c>
      <c r="L3147" t="s">
        <v>7</v>
      </c>
      <c r="M3147">
        <v>2022</v>
      </c>
      <c r="N3147" s="1">
        <v>44742</v>
      </c>
      <c r="O3147" t="s">
        <v>14814</v>
      </c>
      <c r="P3147">
        <v>1</v>
      </c>
      <c r="Q3147" t="s">
        <v>6829</v>
      </c>
      <c r="S3147">
        <v>217.95</v>
      </c>
      <c r="T3147">
        <v>250</v>
      </c>
      <c r="U3147">
        <v>190</v>
      </c>
      <c r="V3147" t="s">
        <v>9</v>
      </c>
      <c r="W3147" t="s">
        <v>10</v>
      </c>
      <c r="X3147" t="s">
        <v>11</v>
      </c>
      <c r="Y3147" t="s">
        <v>52</v>
      </c>
      <c r="AF3147" t="s">
        <v>13</v>
      </c>
      <c r="AG3147" t="str">
        <f>HYPERLINK("https://doi.org/10.1515/9781474485203")</f>
        <v>https://doi.org/10.1515/9781474485203</v>
      </c>
      <c r="AH3147" t="str">
        <f>HYPERLINK("http://www.degruyter.com/isbn/9781474485203")</f>
        <v>http://www.degruyter.com/isbn/9781474485203</v>
      </c>
      <c r="AI3147" t="s">
        <v>14693</v>
      </c>
      <c r="AL3147" t="s">
        <v>15</v>
      </c>
      <c r="AM3147">
        <v>1</v>
      </c>
      <c r="AN3147" s="2">
        <v>9781474485180</v>
      </c>
    </row>
    <row r="3148" spans="1:40" x14ac:dyDescent="0.3">
      <c r="A3148" t="s">
        <v>14815</v>
      </c>
      <c r="B3148" t="s">
        <v>1</v>
      </c>
      <c r="C3148" t="s">
        <v>14816</v>
      </c>
      <c r="D3148" t="s">
        <v>14817</v>
      </c>
      <c r="E3148" t="s">
        <v>14818</v>
      </c>
      <c r="F3148" t="s">
        <v>5</v>
      </c>
      <c r="G3148" t="s">
        <v>6</v>
      </c>
      <c r="L3148" t="s">
        <v>7</v>
      </c>
      <c r="M3148">
        <v>2022</v>
      </c>
      <c r="N3148" s="1">
        <v>44690</v>
      </c>
      <c r="O3148" t="s">
        <v>11899</v>
      </c>
      <c r="P3148">
        <v>1</v>
      </c>
      <c r="S3148">
        <v>227.95</v>
      </c>
      <c r="T3148">
        <v>260</v>
      </c>
      <c r="U3148">
        <v>200</v>
      </c>
      <c r="V3148" t="s">
        <v>329</v>
      </c>
      <c r="W3148" t="s">
        <v>330</v>
      </c>
      <c r="X3148" t="s">
        <v>331</v>
      </c>
      <c r="Y3148" t="s">
        <v>332</v>
      </c>
      <c r="AF3148" t="s">
        <v>13</v>
      </c>
      <c r="AG3148" t="str">
        <f>HYPERLINK("https://doi.org/10.1515/9781474459969")</f>
        <v>https://doi.org/10.1515/9781474459969</v>
      </c>
      <c r="AH3148" t="str">
        <f>HYPERLINK("http://www.degruyter.com/isbn/9781474459969")</f>
        <v>http://www.degruyter.com/isbn/9781474459969</v>
      </c>
      <c r="AI3148" t="s">
        <v>14819</v>
      </c>
      <c r="AL3148" t="s">
        <v>333</v>
      </c>
      <c r="AM3148">
        <v>1</v>
      </c>
      <c r="AN3148" s="2">
        <v>9781474459945</v>
      </c>
    </row>
    <row r="3149" spans="1:40" x14ac:dyDescent="0.3">
      <c r="A3149" t="s">
        <v>14820</v>
      </c>
      <c r="B3149" t="s">
        <v>1</v>
      </c>
      <c r="C3149" t="s">
        <v>14821</v>
      </c>
      <c r="D3149" t="s">
        <v>14822</v>
      </c>
      <c r="E3149" t="s">
        <v>14823</v>
      </c>
      <c r="F3149" t="s">
        <v>5</v>
      </c>
      <c r="G3149" t="s">
        <v>6</v>
      </c>
      <c r="L3149" t="s">
        <v>7</v>
      </c>
      <c r="M3149">
        <v>2022</v>
      </c>
      <c r="N3149" s="1">
        <v>44712</v>
      </c>
      <c r="O3149" t="s">
        <v>14824</v>
      </c>
      <c r="P3149">
        <v>1</v>
      </c>
      <c r="Q3149" t="s">
        <v>7728</v>
      </c>
      <c r="S3149">
        <v>217.95</v>
      </c>
      <c r="T3149">
        <v>250</v>
      </c>
      <c r="U3149">
        <v>190</v>
      </c>
      <c r="V3149" t="s">
        <v>42</v>
      </c>
      <c r="W3149" t="s">
        <v>43</v>
      </c>
      <c r="X3149" t="s">
        <v>178</v>
      </c>
      <c r="Y3149" t="s">
        <v>1745</v>
      </c>
      <c r="AF3149" t="s">
        <v>13</v>
      </c>
      <c r="AG3149" t="str">
        <f>HYPERLINK("https://doi.org/10.1515/9781474493567")</f>
        <v>https://doi.org/10.1515/9781474493567</v>
      </c>
      <c r="AH3149" t="str">
        <f>HYPERLINK("http://www.degruyter.com/isbn/9781474493567")</f>
        <v>http://www.degruyter.com/isbn/9781474493567</v>
      </c>
      <c r="AI3149" t="s">
        <v>14638</v>
      </c>
      <c r="AL3149" t="s">
        <v>47</v>
      </c>
      <c r="AM3149">
        <v>1</v>
      </c>
      <c r="AN3149" s="2">
        <v>9781474493543</v>
      </c>
    </row>
    <row r="3150" spans="1:40" x14ac:dyDescent="0.3">
      <c r="A3150" t="s">
        <v>14825</v>
      </c>
      <c r="B3150" t="s">
        <v>1</v>
      </c>
      <c r="C3150" t="s">
        <v>14826</v>
      </c>
      <c r="D3150" t="s">
        <v>14827</v>
      </c>
      <c r="E3150" t="s">
        <v>14828</v>
      </c>
      <c r="F3150" t="s">
        <v>5</v>
      </c>
      <c r="G3150" t="s">
        <v>6</v>
      </c>
      <c r="L3150" t="s">
        <v>7</v>
      </c>
      <c r="M3150">
        <v>2022</v>
      </c>
      <c r="N3150" s="1">
        <v>44712</v>
      </c>
      <c r="O3150" t="s">
        <v>7391</v>
      </c>
      <c r="P3150">
        <v>1</v>
      </c>
      <c r="Q3150" t="s">
        <v>7019</v>
      </c>
      <c r="S3150">
        <v>217.95</v>
      </c>
      <c r="T3150">
        <v>250</v>
      </c>
      <c r="U3150">
        <v>190</v>
      </c>
      <c r="V3150" t="s">
        <v>20</v>
      </c>
      <c r="W3150" t="s">
        <v>21</v>
      </c>
      <c r="X3150" t="s">
        <v>22</v>
      </c>
      <c r="Y3150" t="s">
        <v>23</v>
      </c>
      <c r="AF3150" t="s">
        <v>13</v>
      </c>
      <c r="AG3150" t="str">
        <f>HYPERLINK("https://doi.org/10.1515/9781474481908")</f>
        <v>https://doi.org/10.1515/9781474481908</v>
      </c>
      <c r="AH3150" t="str">
        <f>HYPERLINK("http://www.degruyter.com/isbn/9781474481908")</f>
        <v>http://www.degruyter.com/isbn/9781474481908</v>
      </c>
      <c r="AI3150" t="s">
        <v>14656</v>
      </c>
      <c r="AL3150" t="s">
        <v>15</v>
      </c>
      <c r="AM3150">
        <v>1</v>
      </c>
      <c r="AN3150" s="2">
        <v>9781474481885</v>
      </c>
    </row>
    <row r="3151" spans="1:40" x14ac:dyDescent="0.3">
      <c r="A3151" t="s">
        <v>14829</v>
      </c>
      <c r="B3151" t="s">
        <v>1</v>
      </c>
      <c r="C3151" t="s">
        <v>14830</v>
      </c>
      <c r="E3151" t="s">
        <v>14831</v>
      </c>
      <c r="F3151" t="s">
        <v>5</v>
      </c>
      <c r="G3151" t="s">
        <v>6</v>
      </c>
      <c r="L3151" t="s">
        <v>7</v>
      </c>
      <c r="M3151">
        <v>2022</v>
      </c>
      <c r="N3151" s="1">
        <v>44804</v>
      </c>
      <c r="O3151" t="s">
        <v>14832</v>
      </c>
      <c r="P3151">
        <v>1</v>
      </c>
      <c r="Q3151" t="s">
        <v>7019</v>
      </c>
      <c r="S3151">
        <v>209.95</v>
      </c>
      <c r="T3151">
        <v>240</v>
      </c>
      <c r="U3151">
        <v>180</v>
      </c>
      <c r="V3151" t="s">
        <v>42</v>
      </c>
      <c r="W3151" t="s">
        <v>107</v>
      </c>
      <c r="X3151" t="s">
        <v>108</v>
      </c>
      <c r="Y3151" t="s">
        <v>109</v>
      </c>
      <c r="AF3151" t="s">
        <v>13</v>
      </c>
      <c r="AG3151" t="str">
        <f>HYPERLINK("https://doi.org/10.1515/9781474498241")</f>
        <v>https://doi.org/10.1515/9781474498241</v>
      </c>
      <c r="AH3151" t="str">
        <f>HYPERLINK("http://www.degruyter.com/isbn/9781474498241")</f>
        <v>http://www.degruyter.com/isbn/9781474498241</v>
      </c>
      <c r="AI3151" t="s">
        <v>14638</v>
      </c>
      <c r="AL3151" t="s">
        <v>47</v>
      </c>
      <c r="AM3151">
        <v>1</v>
      </c>
      <c r="AN3151" s="2">
        <v>9781474498227</v>
      </c>
    </row>
    <row r="3152" spans="1:40" x14ac:dyDescent="0.3">
      <c r="A3152" t="s">
        <v>14833</v>
      </c>
      <c r="B3152" t="s">
        <v>1</v>
      </c>
      <c r="C3152" t="s">
        <v>14834</v>
      </c>
      <c r="D3152" t="s">
        <v>14835</v>
      </c>
      <c r="E3152" t="s">
        <v>14836</v>
      </c>
      <c r="F3152" t="s">
        <v>5</v>
      </c>
      <c r="G3152" t="s">
        <v>6</v>
      </c>
      <c r="L3152" t="s">
        <v>7</v>
      </c>
      <c r="M3152">
        <v>2022</v>
      </c>
      <c r="N3152" s="1">
        <v>44712</v>
      </c>
      <c r="O3152" t="s">
        <v>14837</v>
      </c>
      <c r="P3152">
        <v>1</v>
      </c>
      <c r="Q3152" t="s">
        <v>6659</v>
      </c>
      <c r="S3152">
        <v>243.95</v>
      </c>
      <c r="T3152">
        <v>280</v>
      </c>
      <c r="U3152">
        <v>210</v>
      </c>
      <c r="V3152" t="s">
        <v>268</v>
      </c>
      <c r="W3152" t="s">
        <v>269</v>
      </c>
      <c r="X3152" t="s">
        <v>269</v>
      </c>
      <c r="Y3152" t="s">
        <v>14838</v>
      </c>
      <c r="AF3152" t="s">
        <v>13</v>
      </c>
      <c r="AG3152" t="str">
        <f>HYPERLINK("https://doi.org/10.1515/9781474458733")</f>
        <v>https://doi.org/10.1515/9781474458733</v>
      </c>
      <c r="AH3152" t="str">
        <f>HYPERLINK("http://www.degruyter.com/isbn/9781474458733")</f>
        <v>http://www.degruyter.com/isbn/9781474458733</v>
      </c>
      <c r="AI3152" t="s">
        <v>14839</v>
      </c>
      <c r="AL3152" t="s">
        <v>272</v>
      </c>
      <c r="AM3152">
        <v>1</v>
      </c>
      <c r="AN3152" s="2">
        <v>9781474458726</v>
      </c>
    </row>
    <row r="3153" spans="1:40" x14ac:dyDescent="0.3">
      <c r="A3153" t="s">
        <v>14840</v>
      </c>
      <c r="B3153" t="s">
        <v>1</v>
      </c>
      <c r="C3153" t="s">
        <v>14841</v>
      </c>
      <c r="D3153" t="s">
        <v>14842</v>
      </c>
      <c r="E3153" t="s">
        <v>14843</v>
      </c>
      <c r="F3153" t="s">
        <v>5</v>
      </c>
      <c r="G3153" t="s">
        <v>6</v>
      </c>
      <c r="L3153" t="s">
        <v>7</v>
      </c>
      <c r="M3153">
        <v>2022</v>
      </c>
      <c r="N3153" s="1">
        <v>44742</v>
      </c>
      <c r="O3153" t="s">
        <v>14844</v>
      </c>
      <c r="P3153">
        <v>1</v>
      </c>
      <c r="Q3153" t="s">
        <v>7283</v>
      </c>
      <c r="S3153">
        <v>217.95</v>
      </c>
      <c r="T3153">
        <v>250</v>
      </c>
      <c r="U3153">
        <v>190</v>
      </c>
      <c r="V3153" t="s">
        <v>9</v>
      </c>
      <c r="W3153" t="s">
        <v>10</v>
      </c>
      <c r="X3153" t="s">
        <v>11</v>
      </c>
      <c r="Y3153" t="s">
        <v>52</v>
      </c>
      <c r="AF3153" t="s">
        <v>13</v>
      </c>
      <c r="AG3153" t="str">
        <f>HYPERLINK("https://doi.org/10.1515/9781474486477")</f>
        <v>https://doi.org/10.1515/9781474486477</v>
      </c>
      <c r="AH3153" t="str">
        <f>HYPERLINK("http://www.degruyter.com/isbn/9781474486477")</f>
        <v>http://www.degruyter.com/isbn/9781474486477</v>
      </c>
      <c r="AI3153" t="s">
        <v>14693</v>
      </c>
      <c r="AL3153" t="s">
        <v>15</v>
      </c>
      <c r="AM3153">
        <v>1</v>
      </c>
      <c r="AN3153" s="2">
        <v>9781474486453</v>
      </c>
    </row>
    <row r="3154" spans="1:40" x14ac:dyDescent="0.3">
      <c r="A3154" t="s">
        <v>14845</v>
      </c>
      <c r="B3154" t="s">
        <v>1</v>
      </c>
      <c r="C3154" t="s">
        <v>14846</v>
      </c>
      <c r="E3154" t="s">
        <v>14847</v>
      </c>
      <c r="F3154" t="s">
        <v>5</v>
      </c>
      <c r="G3154" t="s">
        <v>6</v>
      </c>
      <c r="L3154" t="s">
        <v>7</v>
      </c>
      <c r="M3154">
        <v>2022</v>
      </c>
      <c r="N3154" s="1">
        <v>44742</v>
      </c>
      <c r="O3154" t="s">
        <v>14848</v>
      </c>
      <c r="P3154">
        <v>1</v>
      </c>
      <c r="Q3154" t="s">
        <v>6606</v>
      </c>
      <c r="S3154">
        <v>209.95</v>
      </c>
      <c r="T3154">
        <v>240</v>
      </c>
      <c r="U3154">
        <v>180</v>
      </c>
      <c r="V3154" t="s">
        <v>79</v>
      </c>
      <c r="W3154" t="s">
        <v>783</v>
      </c>
      <c r="X3154" t="s">
        <v>783</v>
      </c>
      <c r="Y3154" t="s">
        <v>784</v>
      </c>
      <c r="AF3154" t="s">
        <v>13</v>
      </c>
      <c r="AG3154" t="str">
        <f>HYPERLINK("https://doi.org/10.1515/9781474476119")</f>
        <v>https://doi.org/10.1515/9781474476119</v>
      </c>
      <c r="AH3154" t="str">
        <f>HYPERLINK("http://www.degruyter.com/isbn/9781474476119")</f>
        <v>http://www.degruyter.com/isbn/9781474476119</v>
      </c>
      <c r="AI3154" t="s">
        <v>14633</v>
      </c>
      <c r="AL3154" t="s">
        <v>83</v>
      </c>
      <c r="AM3154">
        <v>1</v>
      </c>
      <c r="AN3154" s="2">
        <v>9781474476089</v>
      </c>
    </row>
    <row r="3155" spans="1:40" x14ac:dyDescent="0.3">
      <c r="A3155" t="s">
        <v>14849</v>
      </c>
      <c r="B3155" t="s">
        <v>1</v>
      </c>
      <c r="C3155" t="s">
        <v>14850</v>
      </c>
      <c r="E3155" t="s">
        <v>14851</v>
      </c>
      <c r="F3155" t="s">
        <v>5</v>
      </c>
      <c r="G3155" t="s">
        <v>6</v>
      </c>
      <c r="L3155" t="s">
        <v>7</v>
      </c>
      <c r="M3155">
        <v>2022</v>
      </c>
      <c r="N3155" s="1">
        <v>44672</v>
      </c>
      <c r="O3155" t="s">
        <v>14852</v>
      </c>
      <c r="P3155">
        <v>1</v>
      </c>
      <c r="Q3155" t="s">
        <v>13125</v>
      </c>
      <c r="S3155">
        <v>217.95</v>
      </c>
      <c r="T3155">
        <v>250</v>
      </c>
      <c r="U3155">
        <v>190</v>
      </c>
      <c r="V3155" t="s">
        <v>58</v>
      </c>
      <c r="W3155" t="s">
        <v>59</v>
      </c>
      <c r="X3155" t="s">
        <v>60</v>
      </c>
      <c r="Y3155" t="s">
        <v>73</v>
      </c>
      <c r="AF3155" t="s">
        <v>13</v>
      </c>
      <c r="AG3155" t="str">
        <f>HYPERLINK("https://doi.org/10.1515/9781474479547")</f>
        <v>https://doi.org/10.1515/9781474479547</v>
      </c>
      <c r="AH3155" t="str">
        <f>HYPERLINK("http://www.degruyter.com/isbn/9781474479547")</f>
        <v>http://www.degruyter.com/isbn/9781474479547</v>
      </c>
      <c r="AI3155" t="s">
        <v>14853</v>
      </c>
      <c r="AL3155" t="s">
        <v>62</v>
      </c>
      <c r="AM3155">
        <v>1</v>
      </c>
      <c r="AN3155" s="2">
        <v>9781474479523</v>
      </c>
    </row>
    <row r="3156" spans="1:40" x14ac:dyDescent="0.3">
      <c r="A3156" t="s">
        <v>14854</v>
      </c>
      <c r="B3156" t="s">
        <v>1</v>
      </c>
      <c r="C3156" t="s">
        <v>14855</v>
      </c>
      <c r="D3156" t="s">
        <v>14856</v>
      </c>
      <c r="E3156" t="s">
        <v>14857</v>
      </c>
      <c r="F3156" t="s">
        <v>5</v>
      </c>
      <c r="G3156" t="s">
        <v>6</v>
      </c>
      <c r="K3156" t="s">
        <v>4259</v>
      </c>
      <c r="L3156" t="s">
        <v>7</v>
      </c>
      <c r="M3156">
        <v>2022</v>
      </c>
      <c r="N3156" s="1">
        <v>44585</v>
      </c>
      <c r="O3156" t="s">
        <v>14858</v>
      </c>
      <c r="P3156">
        <v>1</v>
      </c>
      <c r="Q3156" t="s">
        <v>12974</v>
      </c>
      <c r="V3156" t="s">
        <v>297</v>
      </c>
      <c r="W3156" t="s">
        <v>1925</v>
      </c>
      <c r="X3156" t="s">
        <v>1925</v>
      </c>
      <c r="Y3156" t="s">
        <v>1926</v>
      </c>
      <c r="AF3156" t="s">
        <v>13</v>
      </c>
      <c r="AG3156" t="str">
        <f>HYPERLINK("https://doi.org/10.1515/9781474491884")</f>
        <v>https://doi.org/10.1515/9781474491884</v>
      </c>
      <c r="AH3156" t="str">
        <f>HYPERLINK("http://www.degruyter.com/isbn/9781474491884")</f>
        <v>http://www.degruyter.com/isbn/9781474491884</v>
      </c>
      <c r="AI3156" t="s">
        <v>14656</v>
      </c>
      <c r="AM3156">
        <v>1</v>
      </c>
      <c r="AN3156" s="2"/>
    </row>
    <row r="3157" spans="1:40" x14ac:dyDescent="0.3">
      <c r="A3157" t="s">
        <v>14859</v>
      </c>
      <c r="B3157" t="s">
        <v>1</v>
      </c>
      <c r="C3157" t="s">
        <v>14860</v>
      </c>
      <c r="D3157" t="s">
        <v>14861</v>
      </c>
      <c r="E3157" t="s">
        <v>14862</v>
      </c>
      <c r="F3157" t="s">
        <v>5</v>
      </c>
      <c r="G3157" t="s">
        <v>6</v>
      </c>
      <c r="L3157" t="s">
        <v>7</v>
      </c>
      <c r="M3157">
        <v>2022</v>
      </c>
      <c r="N3157" s="1">
        <v>44690</v>
      </c>
      <c r="O3157" t="s">
        <v>14863</v>
      </c>
      <c r="P3157">
        <v>1</v>
      </c>
      <c r="S3157">
        <v>217.95</v>
      </c>
      <c r="T3157">
        <v>250</v>
      </c>
      <c r="U3157">
        <v>190</v>
      </c>
      <c r="V3157" t="s">
        <v>20</v>
      </c>
      <c r="W3157" t="s">
        <v>21</v>
      </c>
      <c r="X3157" t="s">
        <v>4875</v>
      </c>
      <c r="Y3157" t="s">
        <v>4876</v>
      </c>
      <c r="AF3157" t="s">
        <v>13</v>
      </c>
      <c r="AG3157" t="str">
        <f>HYPERLINK("https://doi.org/10.1515/9781474495028")</f>
        <v>https://doi.org/10.1515/9781474495028</v>
      </c>
      <c r="AH3157" t="str">
        <f>HYPERLINK("http://www.degruyter.com/isbn/9781474495028")</f>
        <v>http://www.degruyter.com/isbn/9781474495028</v>
      </c>
      <c r="AI3157" t="s">
        <v>14656</v>
      </c>
      <c r="AL3157" t="s">
        <v>15</v>
      </c>
      <c r="AM3157">
        <v>1</v>
      </c>
      <c r="AN3157" s="2">
        <v>9781474495004</v>
      </c>
    </row>
    <row r="3158" spans="1:40" x14ac:dyDescent="0.3">
      <c r="A3158" t="s">
        <v>14864</v>
      </c>
      <c r="B3158" t="s">
        <v>1</v>
      </c>
      <c r="C3158" t="s">
        <v>14865</v>
      </c>
      <c r="D3158" t="s">
        <v>14866</v>
      </c>
      <c r="E3158" t="s">
        <v>14867</v>
      </c>
      <c r="F3158" t="s">
        <v>5</v>
      </c>
      <c r="G3158" t="s">
        <v>6</v>
      </c>
      <c r="L3158" t="s">
        <v>7</v>
      </c>
      <c r="M3158">
        <v>2022</v>
      </c>
      <c r="N3158" s="1">
        <v>44742</v>
      </c>
      <c r="O3158" t="s">
        <v>14868</v>
      </c>
      <c r="P3158">
        <v>1</v>
      </c>
      <c r="Q3158" t="s">
        <v>6899</v>
      </c>
      <c r="S3158">
        <v>227.95</v>
      </c>
      <c r="T3158">
        <v>260</v>
      </c>
      <c r="U3158">
        <v>200</v>
      </c>
      <c r="V3158" t="s">
        <v>329</v>
      </c>
      <c r="W3158" t="s">
        <v>330</v>
      </c>
      <c r="X3158" t="s">
        <v>331</v>
      </c>
      <c r="Y3158" t="s">
        <v>4770</v>
      </c>
      <c r="AF3158" t="s">
        <v>13</v>
      </c>
      <c r="AG3158" t="str">
        <f>HYPERLINK("https://doi.org/10.1515/9781474415262")</f>
        <v>https://doi.org/10.1515/9781474415262</v>
      </c>
      <c r="AH3158" t="str">
        <f>HYPERLINK("http://www.degruyter.com/isbn/9781474415262")</f>
        <v>http://www.degruyter.com/isbn/9781474415262</v>
      </c>
      <c r="AI3158" t="s">
        <v>14704</v>
      </c>
      <c r="AL3158" t="s">
        <v>333</v>
      </c>
      <c r="AM3158">
        <v>1</v>
      </c>
      <c r="AN3158" s="2">
        <v>9781474415255</v>
      </c>
    </row>
    <row r="3159" spans="1:40" x14ac:dyDescent="0.3">
      <c r="A3159" t="s">
        <v>14869</v>
      </c>
      <c r="B3159" t="s">
        <v>1</v>
      </c>
      <c r="C3159" t="s">
        <v>14870</v>
      </c>
      <c r="D3159" t="s">
        <v>14871</v>
      </c>
      <c r="E3159" t="s">
        <v>14872</v>
      </c>
      <c r="F3159" t="s">
        <v>5</v>
      </c>
      <c r="G3159" t="s">
        <v>6</v>
      </c>
      <c r="L3159" t="s">
        <v>7</v>
      </c>
      <c r="M3159">
        <v>2022</v>
      </c>
      <c r="N3159" s="1">
        <v>44798</v>
      </c>
      <c r="O3159" t="s">
        <v>14873</v>
      </c>
      <c r="P3159">
        <v>1</v>
      </c>
      <c r="Q3159" t="s">
        <v>9122</v>
      </c>
      <c r="S3159">
        <v>279.95</v>
      </c>
      <c r="T3159">
        <v>320</v>
      </c>
      <c r="U3159">
        <v>240</v>
      </c>
      <c r="V3159" t="s">
        <v>305</v>
      </c>
      <c r="W3159" t="s">
        <v>2566</v>
      </c>
      <c r="X3159" t="s">
        <v>10944</v>
      </c>
      <c r="Y3159" t="s">
        <v>10945</v>
      </c>
      <c r="AF3159" t="s">
        <v>13</v>
      </c>
      <c r="AG3159" t="str">
        <f>HYPERLINK("https://doi.org/10.1515/9781474499606")</f>
        <v>https://doi.org/10.1515/9781474499606</v>
      </c>
      <c r="AH3159" t="str">
        <f>HYPERLINK("http://www.degruyter.com/isbn/9781474499606")</f>
        <v>http://www.degruyter.com/isbn/9781474499606</v>
      </c>
      <c r="AI3159" t="s">
        <v>14768</v>
      </c>
      <c r="AL3159" t="s">
        <v>308</v>
      </c>
      <c r="AM3159">
        <v>1</v>
      </c>
      <c r="AN3159" s="2">
        <v>9781474499583</v>
      </c>
    </row>
    <row r="3160" spans="1:40" x14ac:dyDescent="0.3">
      <c r="A3160" t="s">
        <v>14874</v>
      </c>
      <c r="B3160" t="s">
        <v>1</v>
      </c>
      <c r="C3160" t="s">
        <v>14875</v>
      </c>
      <c r="E3160" t="s">
        <v>14876</v>
      </c>
      <c r="F3160" t="s">
        <v>5</v>
      </c>
      <c r="G3160" t="s">
        <v>6</v>
      </c>
      <c r="L3160" t="s">
        <v>7</v>
      </c>
      <c r="M3160">
        <v>2022</v>
      </c>
      <c r="N3160" s="1">
        <v>44690</v>
      </c>
      <c r="O3160" t="s">
        <v>14877</v>
      </c>
      <c r="P3160">
        <v>1</v>
      </c>
      <c r="Q3160" t="s">
        <v>10408</v>
      </c>
      <c r="S3160">
        <v>217.95</v>
      </c>
      <c r="T3160">
        <v>250</v>
      </c>
      <c r="U3160">
        <v>190</v>
      </c>
      <c r="V3160" t="s">
        <v>9</v>
      </c>
      <c r="W3160" t="s">
        <v>10</v>
      </c>
      <c r="X3160" t="s">
        <v>596</v>
      </c>
      <c r="Y3160" t="s">
        <v>14878</v>
      </c>
      <c r="AF3160" t="s">
        <v>13</v>
      </c>
      <c r="AG3160" t="str">
        <f>HYPERLINK("https://doi.org/10.1515/9781474462839")</f>
        <v>https://doi.org/10.1515/9781474462839</v>
      </c>
      <c r="AH3160" t="str">
        <f>HYPERLINK("http://www.degruyter.com/isbn/9781474462839")</f>
        <v>http://www.degruyter.com/isbn/9781474462839</v>
      </c>
      <c r="AI3160" t="s">
        <v>14693</v>
      </c>
      <c r="AL3160" t="s">
        <v>15</v>
      </c>
      <c r="AM3160">
        <v>1</v>
      </c>
      <c r="AN3160" s="2">
        <v>9781474462815</v>
      </c>
    </row>
    <row r="3161" spans="1:40" x14ac:dyDescent="0.3">
      <c r="A3161" t="s">
        <v>14879</v>
      </c>
      <c r="B3161" t="s">
        <v>1</v>
      </c>
      <c r="C3161" t="s">
        <v>14880</v>
      </c>
      <c r="E3161" t="s">
        <v>14881</v>
      </c>
      <c r="F3161" t="s">
        <v>5</v>
      </c>
      <c r="G3161" t="s">
        <v>6</v>
      </c>
      <c r="L3161" t="s">
        <v>7</v>
      </c>
      <c r="M3161">
        <v>2022</v>
      </c>
      <c r="N3161" s="1">
        <v>44693</v>
      </c>
      <c r="O3161" t="s">
        <v>177</v>
      </c>
      <c r="P3161">
        <v>1</v>
      </c>
      <c r="S3161">
        <v>217.95</v>
      </c>
      <c r="T3161">
        <v>250</v>
      </c>
      <c r="U3161">
        <v>190</v>
      </c>
      <c r="V3161" t="s">
        <v>42</v>
      </c>
      <c r="W3161" t="s">
        <v>107</v>
      </c>
      <c r="X3161" t="s">
        <v>108</v>
      </c>
      <c r="Y3161" t="s">
        <v>109</v>
      </c>
      <c r="AF3161" t="s">
        <v>13</v>
      </c>
      <c r="AG3161" t="str">
        <f>HYPERLINK("https://doi.org/10.1515/9781474499842")</f>
        <v>https://doi.org/10.1515/9781474499842</v>
      </c>
      <c r="AH3161" t="str">
        <f>HYPERLINK("http://www.degruyter.com/isbn/9781474499842")</f>
        <v>http://www.degruyter.com/isbn/9781474499842</v>
      </c>
      <c r="AI3161" t="s">
        <v>14638</v>
      </c>
      <c r="AL3161" t="s">
        <v>47</v>
      </c>
      <c r="AM3161">
        <v>1</v>
      </c>
      <c r="AN3161" s="2">
        <v>9781474499828</v>
      </c>
    </row>
    <row r="3162" spans="1:40" x14ac:dyDescent="0.3">
      <c r="A3162" t="s">
        <v>14882</v>
      </c>
      <c r="B3162" t="s">
        <v>1</v>
      </c>
      <c r="C3162" t="s">
        <v>14883</v>
      </c>
      <c r="D3162" t="s">
        <v>14884</v>
      </c>
      <c r="E3162" t="s">
        <v>14885</v>
      </c>
      <c r="F3162" t="s">
        <v>5</v>
      </c>
      <c r="G3162" t="s">
        <v>6</v>
      </c>
      <c r="L3162" t="s">
        <v>7</v>
      </c>
      <c r="M3162">
        <v>2022</v>
      </c>
      <c r="N3162" s="1">
        <v>44672</v>
      </c>
      <c r="O3162" t="s">
        <v>14886</v>
      </c>
      <c r="P3162">
        <v>1</v>
      </c>
      <c r="Q3162" t="s">
        <v>12961</v>
      </c>
      <c r="S3162">
        <v>217.95</v>
      </c>
      <c r="T3162">
        <v>250</v>
      </c>
      <c r="U3162">
        <v>190</v>
      </c>
      <c r="V3162" t="s">
        <v>20</v>
      </c>
      <c r="W3162" t="s">
        <v>21</v>
      </c>
      <c r="X3162" t="s">
        <v>458</v>
      </c>
      <c r="Y3162" t="s">
        <v>459</v>
      </c>
      <c r="AF3162" t="s">
        <v>13</v>
      </c>
      <c r="AG3162" t="str">
        <f>HYPERLINK("https://doi.org/10.1515/9781474451710")</f>
        <v>https://doi.org/10.1515/9781474451710</v>
      </c>
      <c r="AH3162" t="str">
        <f>HYPERLINK("http://www.degruyter.com/isbn/9781474451710")</f>
        <v>http://www.degruyter.com/isbn/9781474451710</v>
      </c>
      <c r="AI3162" t="s">
        <v>14656</v>
      </c>
      <c r="AL3162" t="s">
        <v>15</v>
      </c>
      <c r="AM3162">
        <v>1</v>
      </c>
      <c r="AN3162" s="2">
        <v>9781474451680</v>
      </c>
    </row>
    <row r="3163" spans="1:40" x14ac:dyDescent="0.3">
      <c r="A3163" t="s">
        <v>14887</v>
      </c>
      <c r="B3163" t="s">
        <v>1</v>
      </c>
      <c r="C3163" t="s">
        <v>14888</v>
      </c>
      <c r="D3163" t="s">
        <v>14889</v>
      </c>
      <c r="E3163" t="s">
        <v>14890</v>
      </c>
      <c r="F3163" t="s">
        <v>5</v>
      </c>
      <c r="G3163" t="s">
        <v>6</v>
      </c>
      <c r="L3163" t="s">
        <v>7</v>
      </c>
      <c r="M3163">
        <v>2022</v>
      </c>
      <c r="N3163" s="1">
        <v>44729</v>
      </c>
      <c r="O3163" t="s">
        <v>14891</v>
      </c>
      <c r="P3163">
        <v>1</v>
      </c>
      <c r="Q3163" t="s">
        <v>8607</v>
      </c>
      <c r="S3163">
        <v>227.95</v>
      </c>
      <c r="T3163">
        <v>260</v>
      </c>
      <c r="U3163">
        <v>200</v>
      </c>
      <c r="V3163" t="s">
        <v>20</v>
      </c>
      <c r="W3163" t="s">
        <v>21</v>
      </c>
      <c r="X3163" t="s">
        <v>4875</v>
      </c>
      <c r="Y3163" t="s">
        <v>5044</v>
      </c>
      <c r="AF3163" t="s">
        <v>13</v>
      </c>
      <c r="AG3163" t="str">
        <f>HYPERLINK("https://doi.org/10.1515/9781399500067")</f>
        <v>https://doi.org/10.1515/9781399500067</v>
      </c>
      <c r="AH3163" t="str">
        <f>HYPERLINK("http://www.degruyter.com/isbn/9781399500067")</f>
        <v>http://www.degruyter.com/isbn/9781399500067</v>
      </c>
      <c r="AI3163" t="s">
        <v>14656</v>
      </c>
      <c r="AL3163" t="s">
        <v>15</v>
      </c>
      <c r="AM3163">
        <v>1</v>
      </c>
      <c r="AN3163" s="2">
        <v>9781399500043</v>
      </c>
    </row>
    <row r="3164" spans="1:40" x14ac:dyDescent="0.3">
      <c r="A3164" t="s">
        <v>14892</v>
      </c>
      <c r="B3164" t="s">
        <v>1</v>
      </c>
      <c r="C3164" t="s">
        <v>14893</v>
      </c>
      <c r="E3164" t="s">
        <v>14894</v>
      </c>
      <c r="F3164" t="s">
        <v>5</v>
      </c>
      <c r="G3164" t="s">
        <v>6</v>
      </c>
      <c r="L3164" t="s">
        <v>7</v>
      </c>
      <c r="M3164">
        <v>2022</v>
      </c>
      <c r="N3164" s="1">
        <v>44773</v>
      </c>
      <c r="O3164" t="s">
        <v>14895</v>
      </c>
      <c r="P3164">
        <v>1</v>
      </c>
      <c r="Q3164" t="s">
        <v>7283</v>
      </c>
      <c r="S3164">
        <v>227.95</v>
      </c>
      <c r="T3164">
        <v>260</v>
      </c>
      <c r="U3164">
        <v>200</v>
      </c>
      <c r="V3164" t="s">
        <v>9</v>
      </c>
      <c r="W3164" t="s">
        <v>10</v>
      </c>
      <c r="X3164" t="s">
        <v>11</v>
      </c>
      <c r="Y3164" t="s">
        <v>52</v>
      </c>
      <c r="AF3164" t="s">
        <v>13</v>
      </c>
      <c r="AG3164" t="str">
        <f>HYPERLINK("https://doi.org/10.1515/9781474453004")</f>
        <v>https://doi.org/10.1515/9781474453004</v>
      </c>
      <c r="AH3164" t="str">
        <f>HYPERLINK("http://www.degruyter.com/isbn/9781474453004")</f>
        <v>http://www.degruyter.com/isbn/9781474453004</v>
      </c>
      <c r="AI3164" t="s">
        <v>14693</v>
      </c>
      <c r="AL3164" t="s">
        <v>15</v>
      </c>
      <c r="AM3164">
        <v>1</v>
      </c>
      <c r="AN3164" s="2">
        <v>9781474452984</v>
      </c>
    </row>
    <row r="3165" spans="1:40" x14ac:dyDescent="0.3">
      <c r="A3165" t="s">
        <v>14896</v>
      </c>
      <c r="B3165" t="s">
        <v>1</v>
      </c>
      <c r="C3165" t="s">
        <v>14897</v>
      </c>
      <c r="D3165" t="s">
        <v>14898</v>
      </c>
      <c r="E3165" t="s">
        <v>14899</v>
      </c>
      <c r="F3165" t="s">
        <v>5</v>
      </c>
      <c r="G3165" t="s">
        <v>6</v>
      </c>
      <c r="L3165" t="s">
        <v>7</v>
      </c>
      <c r="M3165">
        <v>2022</v>
      </c>
      <c r="N3165" s="1">
        <v>44773</v>
      </c>
      <c r="O3165" t="s">
        <v>9927</v>
      </c>
      <c r="P3165">
        <v>1</v>
      </c>
      <c r="S3165">
        <v>217.95</v>
      </c>
      <c r="T3165">
        <v>250</v>
      </c>
      <c r="U3165">
        <v>190</v>
      </c>
      <c r="V3165" t="s">
        <v>20</v>
      </c>
      <c r="W3165" t="s">
        <v>470</v>
      </c>
      <c r="X3165" t="s">
        <v>14900</v>
      </c>
      <c r="Y3165" t="s">
        <v>14901</v>
      </c>
      <c r="AF3165" t="s">
        <v>13</v>
      </c>
      <c r="AG3165" t="str">
        <f>HYPERLINK("https://doi.org/10.1515/9781474443456")</f>
        <v>https://doi.org/10.1515/9781474443456</v>
      </c>
      <c r="AH3165" t="str">
        <f>HYPERLINK("http://www.degruyter.com/isbn/9781474443456")</f>
        <v>http://www.degruyter.com/isbn/9781474443456</v>
      </c>
      <c r="AI3165" t="s">
        <v>14656</v>
      </c>
      <c r="AL3165" t="s">
        <v>15</v>
      </c>
      <c r="AM3165">
        <v>1</v>
      </c>
      <c r="AN3165" s="2">
        <v>9781474443432</v>
      </c>
    </row>
    <row r="3166" spans="1:40" x14ac:dyDescent="0.3">
      <c r="A3166" t="s">
        <v>14902</v>
      </c>
      <c r="B3166" t="s">
        <v>1</v>
      </c>
      <c r="C3166" t="s">
        <v>14903</v>
      </c>
      <c r="D3166" t="s">
        <v>14904</v>
      </c>
      <c r="E3166" t="s">
        <v>14905</v>
      </c>
      <c r="F3166" t="s">
        <v>5</v>
      </c>
      <c r="G3166" t="s">
        <v>6</v>
      </c>
      <c r="L3166" t="s">
        <v>7</v>
      </c>
      <c r="M3166">
        <v>2022</v>
      </c>
      <c r="N3166" s="1">
        <v>44672</v>
      </c>
      <c r="O3166" t="s">
        <v>14906</v>
      </c>
      <c r="P3166">
        <v>1</v>
      </c>
      <c r="Q3166" t="s">
        <v>6622</v>
      </c>
      <c r="S3166">
        <v>243.95</v>
      </c>
      <c r="T3166">
        <v>280</v>
      </c>
      <c r="U3166">
        <v>210</v>
      </c>
      <c r="V3166" t="s">
        <v>1325</v>
      </c>
      <c r="W3166" t="s">
        <v>5954</v>
      </c>
      <c r="X3166" t="s">
        <v>5954</v>
      </c>
      <c r="Y3166" t="s">
        <v>14907</v>
      </c>
      <c r="AF3166" t="s">
        <v>13</v>
      </c>
      <c r="AG3166" t="str">
        <f>HYPERLINK("https://doi.org/10.1515/9781474490412")</f>
        <v>https://doi.org/10.1515/9781474490412</v>
      </c>
      <c r="AH3166" t="str">
        <f>HYPERLINK("http://www.degruyter.com/isbn/9781474490412")</f>
        <v>http://www.degruyter.com/isbn/9781474490412</v>
      </c>
      <c r="AI3166" t="s">
        <v>14908</v>
      </c>
      <c r="AL3166" t="s">
        <v>1328</v>
      </c>
      <c r="AM3166">
        <v>1</v>
      </c>
      <c r="AN3166" s="2">
        <v>9781474490382</v>
      </c>
    </row>
    <row r="3167" spans="1:40" x14ac:dyDescent="0.3">
      <c r="A3167" t="s">
        <v>14909</v>
      </c>
      <c r="B3167" t="s">
        <v>1</v>
      </c>
      <c r="C3167" t="s">
        <v>14910</v>
      </c>
      <c r="D3167" t="s">
        <v>14911</v>
      </c>
      <c r="E3167" t="s">
        <v>14912</v>
      </c>
      <c r="F3167" t="s">
        <v>5</v>
      </c>
      <c r="G3167" t="s">
        <v>6</v>
      </c>
      <c r="L3167" t="s">
        <v>7</v>
      </c>
      <c r="M3167">
        <v>2022</v>
      </c>
      <c r="N3167" s="1">
        <v>44804</v>
      </c>
      <c r="O3167" t="s">
        <v>14913</v>
      </c>
      <c r="P3167">
        <v>1</v>
      </c>
      <c r="Q3167" t="s">
        <v>7019</v>
      </c>
      <c r="S3167">
        <v>217.95</v>
      </c>
      <c r="T3167">
        <v>250</v>
      </c>
      <c r="U3167">
        <v>190</v>
      </c>
      <c r="V3167" t="s">
        <v>42</v>
      </c>
      <c r="W3167" t="s">
        <v>107</v>
      </c>
      <c r="X3167" t="s">
        <v>108</v>
      </c>
      <c r="Y3167" t="s">
        <v>109</v>
      </c>
      <c r="AF3167" t="s">
        <v>13</v>
      </c>
      <c r="AG3167" t="str">
        <f>HYPERLINK("https://doi.org/10.1515/9781399503112")</f>
        <v>https://doi.org/10.1515/9781399503112</v>
      </c>
      <c r="AH3167" t="str">
        <f>HYPERLINK("http://www.degruyter.com/isbn/9781399503112")</f>
        <v>http://www.degruyter.com/isbn/9781399503112</v>
      </c>
      <c r="AI3167" t="s">
        <v>14638</v>
      </c>
      <c r="AL3167" t="s">
        <v>47</v>
      </c>
      <c r="AM3167">
        <v>1</v>
      </c>
      <c r="AN3167" s="2">
        <v>9781399503099</v>
      </c>
    </row>
    <row r="3168" spans="1:40" x14ac:dyDescent="0.3">
      <c r="A3168" t="s">
        <v>14914</v>
      </c>
      <c r="B3168" t="s">
        <v>1</v>
      </c>
      <c r="C3168" t="s">
        <v>14915</v>
      </c>
      <c r="E3168" t="s">
        <v>14916</v>
      </c>
      <c r="F3168" t="s">
        <v>5</v>
      </c>
      <c r="G3168" t="s">
        <v>6</v>
      </c>
      <c r="K3168" t="s">
        <v>923</v>
      </c>
      <c r="L3168" t="s">
        <v>7</v>
      </c>
      <c r="M3168">
        <v>2022</v>
      </c>
      <c r="N3168" s="1">
        <v>44678</v>
      </c>
      <c r="O3168" t="s">
        <v>14917</v>
      </c>
      <c r="P3168">
        <v>1</v>
      </c>
      <c r="V3168" t="s">
        <v>268</v>
      </c>
      <c r="W3168" t="s">
        <v>2337</v>
      </c>
      <c r="X3168" t="s">
        <v>2337</v>
      </c>
      <c r="Y3168" t="s">
        <v>2338</v>
      </c>
      <c r="AF3168" t="s">
        <v>13</v>
      </c>
      <c r="AG3168" t="str">
        <f>HYPERLINK("https://doi.org/10.1515/9781474478168")</f>
        <v>https://doi.org/10.1515/9781474478168</v>
      </c>
      <c r="AH3168" t="str">
        <f>HYPERLINK("http://www.degruyter.com/isbn/9781474478168")</f>
        <v>http://www.degruyter.com/isbn/9781474478168</v>
      </c>
      <c r="AI3168" t="s">
        <v>14704</v>
      </c>
      <c r="AM3168">
        <v>1</v>
      </c>
      <c r="AN3168" s="2"/>
    </row>
    <row r="3169" spans="1:40" x14ac:dyDescent="0.3">
      <c r="A3169" t="s">
        <v>14918</v>
      </c>
      <c r="B3169" t="s">
        <v>1</v>
      </c>
      <c r="C3169" t="s">
        <v>14919</v>
      </c>
      <c r="D3169" t="s">
        <v>14920</v>
      </c>
      <c r="E3169" t="s">
        <v>14921</v>
      </c>
      <c r="F3169" t="s">
        <v>5</v>
      </c>
      <c r="G3169" t="s">
        <v>6</v>
      </c>
      <c r="L3169" t="s">
        <v>7</v>
      </c>
      <c r="M3169">
        <v>2022</v>
      </c>
      <c r="N3169" s="1">
        <v>44672</v>
      </c>
      <c r="O3169" t="s">
        <v>14922</v>
      </c>
      <c r="P3169">
        <v>1</v>
      </c>
      <c r="Q3169" t="s">
        <v>8054</v>
      </c>
      <c r="S3169">
        <v>217.95</v>
      </c>
      <c r="T3169">
        <v>250</v>
      </c>
      <c r="U3169">
        <v>190</v>
      </c>
      <c r="V3169" t="s">
        <v>20</v>
      </c>
      <c r="W3169" t="s">
        <v>470</v>
      </c>
      <c r="X3169" t="s">
        <v>2114</v>
      </c>
      <c r="Y3169" t="s">
        <v>14923</v>
      </c>
      <c r="AF3169" t="s">
        <v>13</v>
      </c>
      <c r="AG3169" t="str">
        <f>HYPERLINK("https://doi.org/10.1515/9781474479622")</f>
        <v>https://doi.org/10.1515/9781474479622</v>
      </c>
      <c r="AH3169" t="str">
        <f>HYPERLINK("http://www.degruyter.com/isbn/9781474479622")</f>
        <v>http://www.degruyter.com/isbn/9781474479622</v>
      </c>
      <c r="AI3169" t="s">
        <v>14656</v>
      </c>
      <c r="AL3169" t="s">
        <v>15</v>
      </c>
      <c r="AM3169">
        <v>1</v>
      </c>
      <c r="AN3169" s="2">
        <v>9781474479608</v>
      </c>
    </row>
    <row r="3170" spans="1:40" x14ac:dyDescent="0.3">
      <c r="A3170" t="s">
        <v>14924</v>
      </c>
      <c r="B3170" t="s">
        <v>1</v>
      </c>
      <c r="C3170" t="s">
        <v>14925</v>
      </c>
      <c r="D3170" t="s">
        <v>14926</v>
      </c>
      <c r="E3170" t="s">
        <v>14927</v>
      </c>
      <c r="F3170" t="s">
        <v>5</v>
      </c>
      <c r="G3170" t="s">
        <v>6</v>
      </c>
      <c r="L3170" t="s">
        <v>7</v>
      </c>
      <c r="M3170">
        <v>2022</v>
      </c>
      <c r="N3170" s="1">
        <v>44742</v>
      </c>
      <c r="O3170" t="s">
        <v>2447</v>
      </c>
      <c r="P3170">
        <v>1</v>
      </c>
      <c r="S3170">
        <v>227.95</v>
      </c>
      <c r="T3170">
        <v>260</v>
      </c>
      <c r="U3170">
        <v>200</v>
      </c>
      <c r="V3170" t="s">
        <v>9</v>
      </c>
      <c r="W3170" t="s">
        <v>10</v>
      </c>
      <c r="X3170" t="s">
        <v>11</v>
      </c>
      <c r="Y3170" t="s">
        <v>52</v>
      </c>
      <c r="AF3170" t="s">
        <v>13</v>
      </c>
      <c r="AG3170" t="str">
        <f>HYPERLINK("https://doi.org/10.1515/9781474454490")</f>
        <v>https://doi.org/10.1515/9781474454490</v>
      </c>
      <c r="AH3170" t="str">
        <f>HYPERLINK("http://www.degruyter.com/isbn/9781474454490")</f>
        <v>http://www.degruyter.com/isbn/9781474454490</v>
      </c>
      <c r="AI3170" t="s">
        <v>14693</v>
      </c>
      <c r="AL3170" t="s">
        <v>15</v>
      </c>
      <c r="AM3170">
        <v>1</v>
      </c>
      <c r="AN3170" s="2">
        <v>9781474454476</v>
      </c>
    </row>
    <row r="3171" spans="1:40" x14ac:dyDescent="0.3">
      <c r="A3171" t="s">
        <v>14928</v>
      </c>
      <c r="B3171" t="s">
        <v>1</v>
      </c>
      <c r="C3171" t="s">
        <v>14929</v>
      </c>
      <c r="E3171" t="s">
        <v>14930</v>
      </c>
      <c r="F3171" t="s">
        <v>5</v>
      </c>
      <c r="G3171" t="s">
        <v>6</v>
      </c>
      <c r="L3171" t="s">
        <v>7</v>
      </c>
      <c r="M3171">
        <v>2022</v>
      </c>
      <c r="N3171" s="1">
        <v>44672</v>
      </c>
      <c r="O3171" t="s">
        <v>14931</v>
      </c>
      <c r="P3171">
        <v>1</v>
      </c>
      <c r="S3171">
        <v>487.95</v>
      </c>
      <c r="T3171">
        <v>560</v>
      </c>
      <c r="U3171">
        <v>430</v>
      </c>
      <c r="V3171" t="s">
        <v>268</v>
      </c>
      <c r="W3171" t="s">
        <v>269</v>
      </c>
      <c r="X3171" t="s">
        <v>269</v>
      </c>
      <c r="Y3171" t="s">
        <v>14932</v>
      </c>
      <c r="AF3171" t="s">
        <v>13</v>
      </c>
      <c r="AG3171" t="str">
        <f>HYPERLINK("https://doi.org/10.1515/9781474477758")</f>
        <v>https://doi.org/10.1515/9781474477758</v>
      </c>
      <c r="AH3171" t="str">
        <f>HYPERLINK("http://www.degruyter.com/isbn/9781474477758")</f>
        <v>http://www.degruyter.com/isbn/9781474477758</v>
      </c>
      <c r="AI3171" t="s">
        <v>14933</v>
      </c>
      <c r="AL3171" t="s">
        <v>272</v>
      </c>
      <c r="AM3171">
        <v>1</v>
      </c>
      <c r="AN3171" s="2">
        <v>9781474416788</v>
      </c>
    </row>
    <row r="3172" spans="1:40" x14ac:dyDescent="0.3">
      <c r="A3172" t="s">
        <v>14934</v>
      </c>
      <c r="B3172" t="s">
        <v>1</v>
      </c>
      <c r="C3172" t="s">
        <v>14935</v>
      </c>
      <c r="E3172" t="s">
        <v>14936</v>
      </c>
      <c r="F3172" t="s">
        <v>5</v>
      </c>
      <c r="G3172" t="s">
        <v>6</v>
      </c>
      <c r="L3172" t="s">
        <v>7</v>
      </c>
      <c r="M3172">
        <v>2022</v>
      </c>
      <c r="N3172" s="1">
        <v>44762</v>
      </c>
      <c r="O3172" t="s">
        <v>14937</v>
      </c>
      <c r="P3172">
        <v>1</v>
      </c>
      <c r="Q3172" t="s">
        <v>8601</v>
      </c>
      <c r="S3172">
        <v>217.95</v>
      </c>
      <c r="T3172">
        <v>250</v>
      </c>
      <c r="U3172">
        <v>190</v>
      </c>
      <c r="V3172" t="s">
        <v>305</v>
      </c>
      <c r="W3172" t="s">
        <v>2566</v>
      </c>
      <c r="X3172" t="s">
        <v>2567</v>
      </c>
      <c r="Y3172" t="s">
        <v>4151</v>
      </c>
      <c r="AF3172" t="s">
        <v>13</v>
      </c>
      <c r="AG3172" t="str">
        <f>HYPERLINK("https://doi.org/10.1515/9781474442213")</f>
        <v>https://doi.org/10.1515/9781474442213</v>
      </c>
      <c r="AH3172" t="str">
        <f>HYPERLINK("http://www.degruyter.com/isbn/9781474442213")</f>
        <v>http://www.degruyter.com/isbn/9781474442213</v>
      </c>
      <c r="AI3172" t="s">
        <v>14693</v>
      </c>
      <c r="AL3172" t="s">
        <v>308</v>
      </c>
      <c r="AM3172">
        <v>1</v>
      </c>
      <c r="AN3172" s="2">
        <v>9781474442190</v>
      </c>
    </row>
    <row r="3173" spans="1:40" x14ac:dyDescent="0.3">
      <c r="A3173" t="s">
        <v>14938</v>
      </c>
      <c r="B3173" t="s">
        <v>1</v>
      </c>
      <c r="C3173" t="s">
        <v>14939</v>
      </c>
      <c r="E3173" t="s">
        <v>14940</v>
      </c>
      <c r="F3173" t="s">
        <v>5</v>
      </c>
      <c r="G3173" t="s">
        <v>6</v>
      </c>
      <c r="L3173" t="s">
        <v>7</v>
      </c>
      <c r="M3173">
        <v>2022</v>
      </c>
      <c r="N3173" s="1">
        <v>44804</v>
      </c>
      <c r="O3173" t="s">
        <v>14941</v>
      </c>
      <c r="P3173">
        <v>1</v>
      </c>
      <c r="Q3173" t="s">
        <v>14008</v>
      </c>
      <c r="S3173">
        <v>380.95</v>
      </c>
      <c r="T3173">
        <v>430</v>
      </c>
      <c r="U3173">
        <v>330</v>
      </c>
      <c r="V3173" t="s">
        <v>79</v>
      </c>
      <c r="W3173" t="s">
        <v>209</v>
      </c>
      <c r="X3173" t="s">
        <v>209</v>
      </c>
      <c r="Y3173" t="s">
        <v>699</v>
      </c>
      <c r="AF3173" t="s">
        <v>13</v>
      </c>
      <c r="AG3173" t="str">
        <f>HYPERLINK("https://doi.org/10.1515/9781474488877")</f>
        <v>https://doi.org/10.1515/9781474488877</v>
      </c>
      <c r="AH3173" t="str">
        <f>HYPERLINK("http://www.degruyter.com/isbn/9781474488877")</f>
        <v>http://www.degruyter.com/isbn/9781474488877</v>
      </c>
      <c r="AI3173" t="s">
        <v>14633</v>
      </c>
      <c r="AL3173" t="s">
        <v>83</v>
      </c>
      <c r="AM3173">
        <v>1</v>
      </c>
      <c r="AN3173" s="2">
        <v>9781474488846</v>
      </c>
    </row>
    <row r="3174" spans="1:40" x14ac:dyDescent="0.3">
      <c r="A3174" t="s">
        <v>14942</v>
      </c>
      <c r="B3174" t="s">
        <v>1</v>
      </c>
      <c r="C3174" t="s">
        <v>14943</v>
      </c>
      <c r="D3174" t="s">
        <v>14944</v>
      </c>
      <c r="E3174" t="s">
        <v>14945</v>
      </c>
      <c r="F3174" t="s">
        <v>5</v>
      </c>
      <c r="G3174" t="s">
        <v>6</v>
      </c>
      <c r="L3174" t="s">
        <v>7</v>
      </c>
      <c r="M3174">
        <v>2022</v>
      </c>
      <c r="N3174" s="1">
        <v>44712</v>
      </c>
      <c r="O3174" t="s">
        <v>14946</v>
      </c>
      <c r="P3174">
        <v>1</v>
      </c>
      <c r="S3174">
        <v>227.95</v>
      </c>
      <c r="T3174">
        <v>260</v>
      </c>
      <c r="U3174">
        <v>200</v>
      </c>
      <c r="V3174" t="s">
        <v>329</v>
      </c>
      <c r="W3174" t="s">
        <v>330</v>
      </c>
      <c r="X3174" t="s">
        <v>331</v>
      </c>
      <c r="Y3174" t="s">
        <v>332</v>
      </c>
      <c r="AF3174" t="s">
        <v>13</v>
      </c>
      <c r="AG3174" t="str">
        <f>HYPERLINK("https://doi.org/10.1515/9781474489904")</f>
        <v>https://doi.org/10.1515/9781474489904</v>
      </c>
      <c r="AH3174" t="str">
        <f>HYPERLINK("http://www.degruyter.com/isbn/9781474489904")</f>
        <v>http://www.degruyter.com/isbn/9781474489904</v>
      </c>
      <c r="AI3174" t="s">
        <v>14704</v>
      </c>
      <c r="AL3174" t="s">
        <v>333</v>
      </c>
      <c r="AM3174">
        <v>1</v>
      </c>
      <c r="AN3174" s="2">
        <v>9781474489881</v>
      </c>
    </row>
    <row r="3175" spans="1:40" x14ac:dyDescent="0.3">
      <c r="A3175" t="s">
        <v>14947</v>
      </c>
      <c r="B3175" t="s">
        <v>1</v>
      </c>
      <c r="C3175" t="s">
        <v>14948</v>
      </c>
      <c r="D3175" t="s">
        <v>14949</v>
      </c>
      <c r="E3175" t="s">
        <v>14950</v>
      </c>
      <c r="F3175" t="s">
        <v>5</v>
      </c>
      <c r="G3175" t="s">
        <v>6</v>
      </c>
      <c r="L3175" t="s">
        <v>7</v>
      </c>
      <c r="M3175">
        <v>2022</v>
      </c>
      <c r="N3175" s="1">
        <v>44672</v>
      </c>
      <c r="O3175" t="s">
        <v>14951</v>
      </c>
      <c r="P3175">
        <v>1</v>
      </c>
      <c r="Q3175" t="s">
        <v>6858</v>
      </c>
      <c r="S3175">
        <v>217.95</v>
      </c>
      <c r="T3175">
        <v>250</v>
      </c>
      <c r="U3175">
        <v>190</v>
      </c>
      <c r="V3175" t="s">
        <v>268</v>
      </c>
      <c r="W3175" t="s">
        <v>269</v>
      </c>
      <c r="X3175" t="s">
        <v>269</v>
      </c>
      <c r="Y3175" t="s">
        <v>14952</v>
      </c>
      <c r="AF3175" t="s">
        <v>13</v>
      </c>
      <c r="AG3175" t="str">
        <f>HYPERLINK("https://doi.org/10.1515/9781474491525")</f>
        <v>https://doi.org/10.1515/9781474491525</v>
      </c>
      <c r="AH3175" t="str">
        <f>HYPERLINK("http://www.degruyter.com/isbn/9781474491525")</f>
        <v>http://www.degruyter.com/isbn/9781474491525</v>
      </c>
      <c r="AI3175" t="s">
        <v>14953</v>
      </c>
      <c r="AL3175" t="s">
        <v>272</v>
      </c>
      <c r="AM3175">
        <v>1</v>
      </c>
      <c r="AN3175" s="2">
        <v>9781474491501</v>
      </c>
    </row>
    <row r="3176" spans="1:40" x14ac:dyDescent="0.3">
      <c r="A3176" t="s">
        <v>14954</v>
      </c>
      <c r="B3176" t="s">
        <v>1</v>
      </c>
      <c r="C3176" t="s">
        <v>14955</v>
      </c>
      <c r="D3176" t="s">
        <v>14956</v>
      </c>
      <c r="E3176" t="s">
        <v>14957</v>
      </c>
      <c r="F3176" t="s">
        <v>5</v>
      </c>
      <c r="G3176" t="s">
        <v>6</v>
      </c>
      <c r="L3176" t="s">
        <v>7</v>
      </c>
      <c r="M3176">
        <v>2022</v>
      </c>
      <c r="N3176" s="1">
        <v>44773</v>
      </c>
      <c r="O3176" t="s">
        <v>14958</v>
      </c>
      <c r="P3176">
        <v>1</v>
      </c>
      <c r="Q3176" t="s">
        <v>14959</v>
      </c>
      <c r="S3176">
        <v>217.95</v>
      </c>
      <c r="T3176">
        <v>250</v>
      </c>
      <c r="U3176">
        <v>190</v>
      </c>
      <c r="V3176" t="s">
        <v>42</v>
      </c>
      <c r="W3176" t="s">
        <v>107</v>
      </c>
      <c r="X3176" t="s">
        <v>108</v>
      </c>
      <c r="Y3176" t="s">
        <v>109</v>
      </c>
      <c r="AF3176" t="s">
        <v>13</v>
      </c>
      <c r="AG3176" t="str">
        <f>HYPERLINK("https://doi.org/10.1515/9781474470117")</f>
        <v>https://doi.org/10.1515/9781474470117</v>
      </c>
      <c r="AH3176" t="str">
        <f>HYPERLINK("http://www.degruyter.com/isbn/9781474470117")</f>
        <v>http://www.degruyter.com/isbn/9781474470117</v>
      </c>
      <c r="AI3176" t="s">
        <v>14638</v>
      </c>
      <c r="AL3176" t="s">
        <v>47</v>
      </c>
      <c r="AM3176">
        <v>1</v>
      </c>
      <c r="AN3176" s="2">
        <v>9781474470094</v>
      </c>
    </row>
    <row r="3177" spans="1:40" x14ac:dyDescent="0.3">
      <c r="A3177" t="s">
        <v>14960</v>
      </c>
      <c r="B3177" t="s">
        <v>1</v>
      </c>
      <c r="C3177" t="s">
        <v>14961</v>
      </c>
      <c r="E3177" t="s">
        <v>14962</v>
      </c>
      <c r="F3177" t="s">
        <v>5</v>
      </c>
      <c r="G3177" t="s">
        <v>6</v>
      </c>
      <c r="L3177" t="s">
        <v>7</v>
      </c>
      <c r="M3177">
        <v>2022</v>
      </c>
      <c r="N3177" s="1">
        <v>44762</v>
      </c>
      <c r="O3177" t="s">
        <v>14963</v>
      </c>
      <c r="P3177">
        <v>1</v>
      </c>
      <c r="Q3177" t="s">
        <v>14964</v>
      </c>
      <c r="S3177">
        <v>380.95</v>
      </c>
      <c r="T3177">
        <v>430</v>
      </c>
      <c r="U3177">
        <v>330</v>
      </c>
      <c r="V3177" t="s">
        <v>42</v>
      </c>
      <c r="W3177" t="s">
        <v>107</v>
      </c>
      <c r="X3177" t="s">
        <v>108</v>
      </c>
      <c r="Y3177" t="s">
        <v>952</v>
      </c>
      <c r="AF3177" t="s">
        <v>13</v>
      </c>
      <c r="AG3177" t="str">
        <f>HYPERLINK("https://doi.org/10.1515/9781474479080")</f>
        <v>https://doi.org/10.1515/9781474479080</v>
      </c>
      <c r="AH3177" t="str">
        <f>HYPERLINK("http://www.degruyter.com/isbn/9781474479080")</f>
        <v>http://www.degruyter.com/isbn/9781474479080</v>
      </c>
      <c r="AI3177" t="s">
        <v>14638</v>
      </c>
      <c r="AL3177" t="s">
        <v>47</v>
      </c>
      <c r="AM3177">
        <v>1</v>
      </c>
      <c r="AN3177" s="2">
        <v>9781474479073</v>
      </c>
    </row>
    <row r="3178" spans="1:40" x14ac:dyDescent="0.3">
      <c r="A3178" t="s">
        <v>14965</v>
      </c>
      <c r="B3178" t="s">
        <v>1</v>
      </c>
      <c r="C3178" t="s">
        <v>14966</v>
      </c>
      <c r="D3178" t="s">
        <v>14967</v>
      </c>
      <c r="E3178" t="s">
        <v>14968</v>
      </c>
      <c r="F3178" t="s">
        <v>5</v>
      </c>
      <c r="G3178" t="s">
        <v>6</v>
      </c>
      <c r="L3178" t="s">
        <v>7</v>
      </c>
      <c r="M3178">
        <v>2022</v>
      </c>
      <c r="N3178" s="1">
        <v>44729</v>
      </c>
      <c r="O3178" t="s">
        <v>14969</v>
      </c>
      <c r="P3178">
        <v>1</v>
      </c>
      <c r="Q3178" t="s">
        <v>14970</v>
      </c>
      <c r="S3178">
        <v>217.95</v>
      </c>
      <c r="T3178">
        <v>250</v>
      </c>
      <c r="U3178">
        <v>190</v>
      </c>
      <c r="V3178" t="s">
        <v>20</v>
      </c>
      <c r="W3178" t="s">
        <v>21</v>
      </c>
      <c r="X3178" t="s">
        <v>4875</v>
      </c>
      <c r="Y3178" t="s">
        <v>4876</v>
      </c>
      <c r="AF3178" t="s">
        <v>13</v>
      </c>
      <c r="AG3178" t="str">
        <f>HYPERLINK("https://doi.org/10.1515/9781474460392")</f>
        <v>https://doi.org/10.1515/9781474460392</v>
      </c>
      <c r="AH3178" t="str">
        <f>HYPERLINK("http://www.degruyter.com/isbn/9781474460392")</f>
        <v>http://www.degruyter.com/isbn/9781474460392</v>
      </c>
      <c r="AI3178" t="s">
        <v>14656</v>
      </c>
      <c r="AL3178" t="s">
        <v>15</v>
      </c>
      <c r="AM3178">
        <v>1</v>
      </c>
      <c r="AN3178" s="2">
        <v>9781474460378</v>
      </c>
    </row>
    <row r="3179" spans="1:40" x14ac:dyDescent="0.3">
      <c r="A3179" t="s">
        <v>14971</v>
      </c>
      <c r="B3179" t="s">
        <v>1</v>
      </c>
      <c r="C3179" t="s">
        <v>14972</v>
      </c>
      <c r="D3179" t="s">
        <v>14973</v>
      </c>
      <c r="E3179" t="s">
        <v>14974</v>
      </c>
      <c r="F3179" t="s">
        <v>5</v>
      </c>
      <c r="G3179" t="s">
        <v>6</v>
      </c>
      <c r="L3179" t="s">
        <v>7</v>
      </c>
      <c r="M3179">
        <v>2022</v>
      </c>
      <c r="N3179" s="1">
        <v>44690</v>
      </c>
      <c r="O3179" t="s">
        <v>14975</v>
      </c>
      <c r="P3179">
        <v>1</v>
      </c>
      <c r="Q3179" t="s">
        <v>14976</v>
      </c>
      <c r="S3179">
        <v>295.95</v>
      </c>
      <c r="T3179">
        <v>340</v>
      </c>
      <c r="U3179">
        <v>260</v>
      </c>
      <c r="V3179" t="s">
        <v>305</v>
      </c>
      <c r="W3179" t="s">
        <v>650</v>
      </c>
      <c r="X3179" t="s">
        <v>650</v>
      </c>
      <c r="Y3179" t="s">
        <v>651</v>
      </c>
      <c r="AF3179" t="s">
        <v>13</v>
      </c>
      <c r="AG3179" t="str">
        <f>HYPERLINK("https://doi.org/10.1515/9781474494243")</f>
        <v>https://doi.org/10.1515/9781474494243</v>
      </c>
      <c r="AH3179" t="str">
        <f>HYPERLINK("http://www.degruyter.com/isbn/9781474494243")</f>
        <v>http://www.degruyter.com/isbn/9781474494243</v>
      </c>
      <c r="AI3179" t="s">
        <v>14768</v>
      </c>
      <c r="AL3179" t="s">
        <v>308</v>
      </c>
      <c r="AM3179">
        <v>1</v>
      </c>
      <c r="AN3179" s="2">
        <v>9781474494229</v>
      </c>
    </row>
    <row r="3180" spans="1:40" x14ac:dyDescent="0.3">
      <c r="A3180" t="s">
        <v>14977</v>
      </c>
      <c r="B3180" t="s">
        <v>1</v>
      </c>
      <c r="C3180" t="s">
        <v>14978</v>
      </c>
      <c r="D3180" t="s">
        <v>14979</v>
      </c>
      <c r="E3180" t="s">
        <v>14980</v>
      </c>
      <c r="F3180" t="s">
        <v>5</v>
      </c>
      <c r="G3180" t="s">
        <v>6</v>
      </c>
      <c r="L3180" t="s">
        <v>7</v>
      </c>
      <c r="M3180">
        <v>2022</v>
      </c>
      <c r="N3180" s="1">
        <v>44690</v>
      </c>
      <c r="O3180" t="s">
        <v>14981</v>
      </c>
      <c r="P3180">
        <v>1</v>
      </c>
      <c r="S3180">
        <v>217.95</v>
      </c>
      <c r="T3180">
        <v>250</v>
      </c>
      <c r="U3180">
        <v>190</v>
      </c>
      <c r="V3180" t="s">
        <v>9</v>
      </c>
      <c r="W3180" t="s">
        <v>10</v>
      </c>
      <c r="X3180" t="s">
        <v>11</v>
      </c>
      <c r="Y3180" t="s">
        <v>52</v>
      </c>
      <c r="AF3180" t="s">
        <v>13</v>
      </c>
      <c r="AG3180" t="str">
        <f>HYPERLINK("https://doi.org/10.1515/9781474463263")</f>
        <v>https://doi.org/10.1515/9781474463263</v>
      </c>
      <c r="AH3180" t="str">
        <f>HYPERLINK("http://www.degruyter.com/isbn/9781474463263")</f>
        <v>http://www.degruyter.com/isbn/9781474463263</v>
      </c>
      <c r="AI3180" t="s">
        <v>14693</v>
      </c>
      <c r="AL3180" t="s">
        <v>15</v>
      </c>
      <c r="AM3180">
        <v>1</v>
      </c>
      <c r="AN3180" s="2">
        <v>9781474463249</v>
      </c>
    </row>
    <row r="3181" spans="1:40" x14ac:dyDescent="0.3">
      <c r="A3181" t="s">
        <v>14982</v>
      </c>
      <c r="B3181" t="s">
        <v>1</v>
      </c>
      <c r="C3181" t="s">
        <v>14983</v>
      </c>
      <c r="D3181" t="s">
        <v>14984</v>
      </c>
      <c r="E3181" t="s">
        <v>14985</v>
      </c>
      <c r="F3181" t="s">
        <v>5</v>
      </c>
      <c r="G3181" t="s">
        <v>6</v>
      </c>
      <c r="K3181" t="s">
        <v>923</v>
      </c>
      <c r="L3181" t="s">
        <v>7</v>
      </c>
      <c r="M3181">
        <v>2022</v>
      </c>
      <c r="N3181" s="1">
        <v>44729</v>
      </c>
      <c r="O3181" t="s">
        <v>14986</v>
      </c>
      <c r="P3181">
        <v>1</v>
      </c>
      <c r="Q3181" t="s">
        <v>8096</v>
      </c>
      <c r="V3181" t="s">
        <v>42</v>
      </c>
      <c r="W3181" t="s">
        <v>107</v>
      </c>
      <c r="X3181" t="s">
        <v>108</v>
      </c>
      <c r="Y3181" t="s">
        <v>221</v>
      </c>
      <c r="AF3181" t="s">
        <v>13</v>
      </c>
      <c r="AG3181" t="str">
        <f>HYPERLINK("https://doi.org/10.1515/9781474481984")</f>
        <v>https://doi.org/10.1515/9781474481984</v>
      </c>
      <c r="AH3181" t="str">
        <f>HYPERLINK("http://www.degruyter.com/isbn/9781474481984")</f>
        <v>http://www.degruyter.com/isbn/9781474481984</v>
      </c>
      <c r="AI3181" t="s">
        <v>14638</v>
      </c>
      <c r="AM3181">
        <v>1</v>
      </c>
      <c r="AN3181" s="2"/>
    </row>
    <row r="3182" spans="1:40" x14ac:dyDescent="0.3">
      <c r="A3182" t="s">
        <v>14987</v>
      </c>
      <c r="B3182" t="s">
        <v>1</v>
      </c>
      <c r="C3182" t="s">
        <v>14988</v>
      </c>
      <c r="D3182" t="s">
        <v>14989</v>
      </c>
      <c r="E3182" t="s">
        <v>14990</v>
      </c>
      <c r="F3182" t="s">
        <v>5</v>
      </c>
      <c r="G3182" t="s">
        <v>6</v>
      </c>
      <c r="L3182" t="s">
        <v>7</v>
      </c>
      <c r="M3182">
        <v>2022</v>
      </c>
      <c r="N3182" s="1">
        <v>44672</v>
      </c>
      <c r="O3182" t="s">
        <v>14991</v>
      </c>
      <c r="P3182">
        <v>1</v>
      </c>
      <c r="Q3182" t="s">
        <v>7973</v>
      </c>
      <c r="S3182">
        <v>253.95</v>
      </c>
      <c r="T3182">
        <v>290</v>
      </c>
      <c r="U3182">
        <v>220</v>
      </c>
      <c r="V3182" t="s">
        <v>305</v>
      </c>
      <c r="W3182" t="s">
        <v>306</v>
      </c>
      <c r="X3182" t="s">
        <v>306</v>
      </c>
      <c r="Y3182" t="s">
        <v>307</v>
      </c>
      <c r="AF3182" t="s">
        <v>13</v>
      </c>
      <c r="AG3182" t="str">
        <f>HYPERLINK("https://doi.org/10.1515/9781474487382")</f>
        <v>https://doi.org/10.1515/9781474487382</v>
      </c>
      <c r="AH3182" t="str">
        <f>HYPERLINK("http://www.degruyter.com/isbn/9781474487382")</f>
        <v>http://www.degruyter.com/isbn/9781474487382</v>
      </c>
      <c r="AI3182" t="s">
        <v>14992</v>
      </c>
      <c r="AL3182" t="s">
        <v>308</v>
      </c>
      <c r="AM3182">
        <v>1</v>
      </c>
      <c r="AN3182" s="2">
        <v>9781474487368</v>
      </c>
    </row>
    <row r="3183" spans="1:40" x14ac:dyDescent="0.3">
      <c r="A3183" t="s">
        <v>14993</v>
      </c>
      <c r="B3183" t="s">
        <v>1</v>
      </c>
      <c r="C3183" t="s">
        <v>14994</v>
      </c>
      <c r="D3183" t="s">
        <v>14995</v>
      </c>
      <c r="E3183" t="s">
        <v>14996</v>
      </c>
      <c r="F3183" t="s">
        <v>5</v>
      </c>
      <c r="G3183" t="s">
        <v>6</v>
      </c>
      <c r="L3183" t="s">
        <v>7</v>
      </c>
      <c r="M3183">
        <v>2022</v>
      </c>
      <c r="N3183" s="1">
        <v>44672</v>
      </c>
      <c r="O3183" t="s">
        <v>14997</v>
      </c>
      <c r="P3183">
        <v>1</v>
      </c>
      <c r="Q3183" t="s">
        <v>8823</v>
      </c>
      <c r="S3183">
        <v>217.95</v>
      </c>
      <c r="T3183">
        <v>250</v>
      </c>
      <c r="U3183">
        <v>190</v>
      </c>
      <c r="V3183" t="s">
        <v>20</v>
      </c>
      <c r="W3183" t="s">
        <v>21</v>
      </c>
      <c r="X3183" t="s">
        <v>839</v>
      </c>
      <c r="Y3183" t="s">
        <v>9915</v>
      </c>
      <c r="AF3183" t="s">
        <v>13</v>
      </c>
      <c r="AG3183" t="str">
        <f>HYPERLINK("https://doi.org/10.1515/9781474487115")</f>
        <v>https://doi.org/10.1515/9781474487115</v>
      </c>
      <c r="AH3183" t="str">
        <f>HYPERLINK("http://www.degruyter.com/isbn/9781474487115")</f>
        <v>http://www.degruyter.com/isbn/9781474487115</v>
      </c>
      <c r="AI3183" t="s">
        <v>14656</v>
      </c>
      <c r="AL3183" t="s">
        <v>15</v>
      </c>
      <c r="AM3183">
        <v>1</v>
      </c>
      <c r="AN3183" s="2">
        <v>9781474487092</v>
      </c>
    </row>
    <row r="3184" spans="1:40" x14ac:dyDescent="0.3">
      <c r="A3184" t="s">
        <v>14998</v>
      </c>
      <c r="B3184" t="s">
        <v>1</v>
      </c>
      <c r="C3184" t="s">
        <v>14999</v>
      </c>
      <c r="E3184" t="s">
        <v>15000</v>
      </c>
      <c r="F3184" t="s">
        <v>5</v>
      </c>
      <c r="G3184" t="s">
        <v>6</v>
      </c>
      <c r="L3184" t="s">
        <v>7</v>
      </c>
      <c r="M3184">
        <v>2022</v>
      </c>
      <c r="N3184" s="1">
        <v>44690</v>
      </c>
      <c r="O3184" t="s">
        <v>15001</v>
      </c>
      <c r="P3184">
        <v>1</v>
      </c>
      <c r="Q3184" t="s">
        <v>15002</v>
      </c>
      <c r="S3184">
        <v>305.95</v>
      </c>
      <c r="T3184">
        <v>350</v>
      </c>
      <c r="U3184">
        <v>270</v>
      </c>
      <c r="V3184" t="s">
        <v>79</v>
      </c>
      <c r="W3184" t="s">
        <v>209</v>
      </c>
      <c r="X3184" t="s">
        <v>209</v>
      </c>
      <c r="Y3184" t="s">
        <v>699</v>
      </c>
      <c r="AF3184" t="s">
        <v>13</v>
      </c>
      <c r="AG3184" t="str">
        <f>HYPERLINK("https://doi.org/10.1515/9781474488105")</f>
        <v>https://doi.org/10.1515/9781474488105</v>
      </c>
      <c r="AH3184" t="str">
        <f>HYPERLINK("http://www.degruyter.com/isbn/9781474488105")</f>
        <v>http://www.degruyter.com/isbn/9781474488105</v>
      </c>
      <c r="AI3184" t="s">
        <v>14633</v>
      </c>
      <c r="AL3184" t="s">
        <v>83</v>
      </c>
      <c r="AM3184">
        <v>1</v>
      </c>
      <c r="AN3184" s="2">
        <v>9781474488082</v>
      </c>
    </row>
    <row r="3185" spans="1:40" x14ac:dyDescent="0.3">
      <c r="A3185" t="s">
        <v>15003</v>
      </c>
      <c r="B3185" t="s">
        <v>1</v>
      </c>
      <c r="C3185" t="s">
        <v>15004</v>
      </c>
      <c r="D3185" t="s">
        <v>15005</v>
      </c>
      <c r="E3185" t="s">
        <v>15006</v>
      </c>
      <c r="F3185" t="s">
        <v>5</v>
      </c>
      <c r="G3185" t="s">
        <v>6</v>
      </c>
      <c r="L3185" t="s">
        <v>7</v>
      </c>
      <c r="M3185">
        <v>2022</v>
      </c>
      <c r="N3185" s="1">
        <v>44773</v>
      </c>
      <c r="O3185" t="s">
        <v>15007</v>
      </c>
      <c r="P3185">
        <v>1</v>
      </c>
      <c r="Q3185" t="s">
        <v>14976</v>
      </c>
      <c r="S3185">
        <v>217.95</v>
      </c>
      <c r="T3185">
        <v>250</v>
      </c>
      <c r="U3185">
        <v>190</v>
      </c>
      <c r="V3185" t="s">
        <v>305</v>
      </c>
      <c r="W3185" t="s">
        <v>650</v>
      </c>
      <c r="X3185" t="s">
        <v>650</v>
      </c>
      <c r="Y3185" t="s">
        <v>651</v>
      </c>
      <c r="AF3185" t="s">
        <v>13</v>
      </c>
      <c r="AG3185" t="str">
        <f>HYPERLINK("https://doi.org/10.1515/9781474494922")</f>
        <v>https://doi.org/10.1515/9781474494922</v>
      </c>
      <c r="AH3185" t="str">
        <f>HYPERLINK("http://www.degruyter.com/isbn/9781474494922")</f>
        <v>http://www.degruyter.com/isbn/9781474494922</v>
      </c>
      <c r="AI3185" t="s">
        <v>14768</v>
      </c>
      <c r="AL3185" t="s">
        <v>308</v>
      </c>
      <c r="AM3185">
        <v>1</v>
      </c>
      <c r="AN3185" s="2">
        <v>9781474494908</v>
      </c>
    </row>
    <row r="3186" spans="1:40" x14ac:dyDescent="0.3">
      <c r="A3186">
        <v>294109</v>
      </c>
      <c r="B3186" t="s">
        <v>1</v>
      </c>
      <c r="C3186" t="s">
        <v>15008</v>
      </c>
      <c r="D3186" t="s">
        <v>186</v>
      </c>
      <c r="E3186" t="s">
        <v>15008</v>
      </c>
      <c r="F3186" t="s">
        <v>5</v>
      </c>
      <c r="G3186" t="s">
        <v>6</v>
      </c>
      <c r="L3186" t="s">
        <v>7</v>
      </c>
      <c r="M3186">
        <v>2025</v>
      </c>
      <c r="N3186" s="1">
        <v>45658</v>
      </c>
      <c r="P3186">
        <v>1</v>
      </c>
      <c r="S3186">
        <v>8545</v>
      </c>
      <c r="T3186">
        <v>9400</v>
      </c>
      <c r="U3186">
        <v>7768.5</v>
      </c>
      <c r="V3186" t="s">
        <v>187</v>
      </c>
      <c r="W3186" t="s">
        <v>187</v>
      </c>
      <c r="X3186" t="s">
        <v>187</v>
      </c>
      <c r="Y3186" t="s">
        <v>188</v>
      </c>
      <c r="AF3186" t="s">
        <v>189</v>
      </c>
      <c r="AI3186" t="s">
        <v>15009</v>
      </c>
      <c r="AL3186" t="s">
        <v>15010</v>
      </c>
      <c r="AM3186">
        <v>1</v>
      </c>
      <c r="AN3186" s="2"/>
    </row>
    <row r="3187" spans="1:40" x14ac:dyDescent="0.3">
      <c r="A3187" t="s">
        <v>15011</v>
      </c>
      <c r="B3187" t="s">
        <v>1</v>
      </c>
      <c r="C3187" t="s">
        <v>15012</v>
      </c>
      <c r="D3187" t="s">
        <v>15013</v>
      </c>
      <c r="E3187" t="s">
        <v>15014</v>
      </c>
      <c r="F3187" t="s">
        <v>5</v>
      </c>
      <c r="G3187" t="s">
        <v>6</v>
      </c>
      <c r="L3187" t="s">
        <v>7</v>
      </c>
      <c r="M3187">
        <v>2022</v>
      </c>
      <c r="N3187" s="1">
        <v>44773</v>
      </c>
      <c r="O3187" t="s">
        <v>1318</v>
      </c>
      <c r="P3187">
        <v>1</v>
      </c>
      <c r="Q3187" t="s">
        <v>15015</v>
      </c>
      <c r="S3187">
        <v>217.95</v>
      </c>
      <c r="T3187">
        <v>250</v>
      </c>
      <c r="U3187">
        <v>190</v>
      </c>
      <c r="V3187" t="s">
        <v>79</v>
      </c>
      <c r="W3187" t="s">
        <v>123</v>
      </c>
      <c r="X3187" t="s">
        <v>123</v>
      </c>
      <c r="Y3187" t="s">
        <v>124</v>
      </c>
      <c r="AF3187" t="s">
        <v>13</v>
      </c>
      <c r="AG3187" t="str">
        <f>HYPERLINK("https://doi.org/10.1515/9781399504669")</f>
        <v>https://doi.org/10.1515/9781399504669</v>
      </c>
      <c r="AH3187" t="str">
        <f>HYPERLINK("http://www.degruyter.com/isbn/9781399504669")</f>
        <v>http://www.degruyter.com/isbn/9781399504669</v>
      </c>
      <c r="AI3187" t="s">
        <v>14633</v>
      </c>
      <c r="AL3187" t="s">
        <v>83</v>
      </c>
      <c r="AM3187">
        <v>1</v>
      </c>
      <c r="AN3187" s="2">
        <v>9781399504645</v>
      </c>
    </row>
    <row r="3188" spans="1:40" x14ac:dyDescent="0.3">
      <c r="A3188" t="s">
        <v>15016</v>
      </c>
      <c r="B3188" t="s">
        <v>1</v>
      </c>
      <c r="C3188" t="s">
        <v>15017</v>
      </c>
      <c r="E3188" t="s">
        <v>15018</v>
      </c>
      <c r="F3188" t="s">
        <v>5</v>
      </c>
      <c r="G3188" t="s">
        <v>6</v>
      </c>
      <c r="L3188" t="s">
        <v>7</v>
      </c>
      <c r="M3188">
        <v>2022</v>
      </c>
      <c r="N3188" s="1">
        <v>44691</v>
      </c>
      <c r="O3188" t="s">
        <v>947</v>
      </c>
      <c r="P3188">
        <v>1</v>
      </c>
      <c r="S3188">
        <v>217.95</v>
      </c>
      <c r="T3188">
        <v>250</v>
      </c>
      <c r="U3188">
        <v>190</v>
      </c>
      <c r="V3188" t="s">
        <v>20</v>
      </c>
      <c r="W3188" t="s">
        <v>21</v>
      </c>
      <c r="X3188" t="s">
        <v>458</v>
      </c>
      <c r="Y3188" t="s">
        <v>5235</v>
      </c>
      <c r="AF3188" t="s">
        <v>13</v>
      </c>
      <c r="AG3188" t="str">
        <f>HYPERLINK("https://doi.org/10.1515/9781474493482")</f>
        <v>https://doi.org/10.1515/9781474493482</v>
      </c>
      <c r="AH3188" t="str">
        <f>HYPERLINK("http://www.degruyter.com/isbn/9781474493482")</f>
        <v>http://www.degruyter.com/isbn/9781474493482</v>
      </c>
      <c r="AI3188" t="s">
        <v>14656</v>
      </c>
      <c r="AL3188" t="s">
        <v>15</v>
      </c>
      <c r="AM3188">
        <v>1</v>
      </c>
      <c r="AN3188" s="2">
        <v>9781474493468</v>
      </c>
    </row>
    <row r="3189" spans="1:40" x14ac:dyDescent="0.3">
      <c r="A3189" t="s">
        <v>15019</v>
      </c>
      <c r="B3189" t="s">
        <v>1</v>
      </c>
      <c r="C3189" t="s">
        <v>15020</v>
      </c>
      <c r="E3189" t="s">
        <v>15021</v>
      </c>
      <c r="F3189" t="s">
        <v>5</v>
      </c>
      <c r="G3189" t="s">
        <v>6</v>
      </c>
      <c r="L3189" t="s">
        <v>7</v>
      </c>
      <c r="M3189">
        <v>2022</v>
      </c>
      <c r="N3189" s="1">
        <v>44677</v>
      </c>
      <c r="O3189" t="s">
        <v>15022</v>
      </c>
      <c r="P3189">
        <v>1</v>
      </c>
      <c r="Q3189" t="s">
        <v>6987</v>
      </c>
      <c r="S3189">
        <v>217.95</v>
      </c>
      <c r="T3189">
        <v>250</v>
      </c>
      <c r="U3189">
        <v>190</v>
      </c>
      <c r="V3189" t="s">
        <v>9</v>
      </c>
      <c r="W3189" t="s">
        <v>10</v>
      </c>
      <c r="X3189" t="s">
        <v>11</v>
      </c>
      <c r="Y3189" t="s">
        <v>52</v>
      </c>
      <c r="AF3189" t="s">
        <v>13</v>
      </c>
      <c r="AG3189" t="str">
        <f>HYPERLINK("https://doi.org/10.1515/9781474485241")</f>
        <v>https://doi.org/10.1515/9781474485241</v>
      </c>
      <c r="AH3189" t="str">
        <f>HYPERLINK("http://www.degruyter.com/isbn/9781474485241")</f>
        <v>http://www.degruyter.com/isbn/9781474485241</v>
      </c>
      <c r="AI3189" t="s">
        <v>14693</v>
      </c>
      <c r="AL3189" t="s">
        <v>15</v>
      </c>
      <c r="AM3189">
        <v>1</v>
      </c>
      <c r="AN3189" s="2">
        <v>9781474485227</v>
      </c>
    </row>
    <row r="3190" spans="1:40" x14ac:dyDescent="0.3">
      <c r="A3190" t="s">
        <v>15023</v>
      </c>
      <c r="B3190" t="s">
        <v>1</v>
      </c>
      <c r="C3190" t="s">
        <v>15024</v>
      </c>
      <c r="E3190" t="s">
        <v>15025</v>
      </c>
      <c r="F3190" t="s">
        <v>5</v>
      </c>
      <c r="G3190" t="s">
        <v>6</v>
      </c>
      <c r="L3190" t="s">
        <v>7</v>
      </c>
      <c r="M3190">
        <v>2022</v>
      </c>
      <c r="N3190" s="1">
        <v>44690</v>
      </c>
      <c r="O3190" t="s">
        <v>15026</v>
      </c>
      <c r="P3190">
        <v>1</v>
      </c>
      <c r="Q3190" t="s">
        <v>10252</v>
      </c>
      <c r="S3190">
        <v>243.95</v>
      </c>
      <c r="T3190">
        <v>280</v>
      </c>
      <c r="U3190">
        <v>210</v>
      </c>
      <c r="V3190" t="s">
        <v>79</v>
      </c>
      <c r="W3190" t="s">
        <v>783</v>
      </c>
      <c r="X3190" t="s">
        <v>783</v>
      </c>
      <c r="Y3190" t="s">
        <v>784</v>
      </c>
      <c r="AF3190" t="s">
        <v>13</v>
      </c>
      <c r="AG3190" t="str">
        <f>HYPERLINK("https://doi.org/10.1515/9781474430791")</f>
        <v>https://doi.org/10.1515/9781474430791</v>
      </c>
      <c r="AH3190" t="str">
        <f>HYPERLINK("http://www.degruyter.com/isbn/9781474430791")</f>
        <v>http://www.degruyter.com/isbn/9781474430791</v>
      </c>
      <c r="AI3190" t="s">
        <v>14633</v>
      </c>
      <c r="AL3190" t="s">
        <v>83</v>
      </c>
      <c r="AM3190">
        <v>1</v>
      </c>
      <c r="AN3190" s="2">
        <v>9781474430777</v>
      </c>
    </row>
    <row r="3191" spans="1:40" x14ac:dyDescent="0.3">
      <c r="A3191" t="s">
        <v>15027</v>
      </c>
      <c r="B3191" t="s">
        <v>1</v>
      </c>
      <c r="C3191" t="s">
        <v>15028</v>
      </c>
      <c r="E3191" t="s">
        <v>15029</v>
      </c>
      <c r="F3191" t="s">
        <v>5</v>
      </c>
      <c r="G3191" t="s">
        <v>6</v>
      </c>
      <c r="L3191" t="s">
        <v>7</v>
      </c>
      <c r="M3191">
        <v>2022</v>
      </c>
      <c r="N3191" s="1">
        <v>44690</v>
      </c>
      <c r="O3191" t="s">
        <v>15030</v>
      </c>
      <c r="P3191">
        <v>1</v>
      </c>
      <c r="S3191">
        <v>217.95</v>
      </c>
      <c r="T3191">
        <v>250</v>
      </c>
      <c r="U3191">
        <v>190</v>
      </c>
      <c r="V3191" t="s">
        <v>42</v>
      </c>
      <c r="W3191" t="s">
        <v>43</v>
      </c>
      <c r="X3191" t="s">
        <v>44</v>
      </c>
      <c r="Y3191" t="s">
        <v>45</v>
      </c>
      <c r="AF3191" t="s">
        <v>13</v>
      </c>
      <c r="AG3191" t="str">
        <f>HYPERLINK("https://doi.org/10.1515/9781474477833")</f>
        <v>https://doi.org/10.1515/9781474477833</v>
      </c>
      <c r="AH3191" t="str">
        <f>HYPERLINK("http://www.degruyter.com/isbn/9781474477833")</f>
        <v>http://www.degruyter.com/isbn/9781474477833</v>
      </c>
      <c r="AI3191" t="s">
        <v>14638</v>
      </c>
      <c r="AL3191" t="s">
        <v>47</v>
      </c>
      <c r="AM3191">
        <v>1</v>
      </c>
      <c r="AN3191" s="2">
        <v>9781474477819</v>
      </c>
    </row>
    <row r="3192" spans="1:40" x14ac:dyDescent="0.3">
      <c r="A3192" t="s">
        <v>15031</v>
      </c>
      <c r="B3192" t="s">
        <v>1</v>
      </c>
      <c r="C3192" t="s">
        <v>15032</v>
      </c>
      <c r="D3192" t="s">
        <v>15033</v>
      </c>
      <c r="E3192" t="s">
        <v>15034</v>
      </c>
      <c r="F3192" t="s">
        <v>5</v>
      </c>
      <c r="G3192" t="s">
        <v>6</v>
      </c>
      <c r="L3192" t="s">
        <v>7</v>
      </c>
      <c r="M3192">
        <v>2022</v>
      </c>
      <c r="N3192" s="1">
        <v>44742</v>
      </c>
      <c r="O3192" t="s">
        <v>15035</v>
      </c>
      <c r="P3192">
        <v>1</v>
      </c>
      <c r="S3192">
        <v>217.95</v>
      </c>
      <c r="T3192">
        <v>250</v>
      </c>
      <c r="U3192">
        <v>190</v>
      </c>
      <c r="V3192" t="s">
        <v>42</v>
      </c>
      <c r="W3192" t="s">
        <v>107</v>
      </c>
      <c r="X3192" t="s">
        <v>108</v>
      </c>
      <c r="Y3192" t="s">
        <v>109</v>
      </c>
      <c r="AF3192" t="s">
        <v>13</v>
      </c>
      <c r="AG3192" t="str">
        <f>HYPERLINK("https://doi.org/10.1515/9781474497527")</f>
        <v>https://doi.org/10.1515/9781474497527</v>
      </c>
      <c r="AH3192" t="str">
        <f>HYPERLINK("http://www.degruyter.com/isbn/9781474497527")</f>
        <v>http://www.degruyter.com/isbn/9781474497527</v>
      </c>
      <c r="AI3192" t="s">
        <v>14638</v>
      </c>
      <c r="AL3192" t="s">
        <v>47</v>
      </c>
      <c r="AM3192">
        <v>1</v>
      </c>
      <c r="AN3192" s="2">
        <v>9781474497503</v>
      </c>
    </row>
    <row r="3193" spans="1:40" x14ac:dyDescent="0.3">
      <c r="A3193" t="s">
        <v>15036</v>
      </c>
      <c r="B3193" t="s">
        <v>1</v>
      </c>
      <c r="C3193" t="s">
        <v>15037</v>
      </c>
      <c r="D3193" t="s">
        <v>15038</v>
      </c>
      <c r="E3193" t="s">
        <v>15039</v>
      </c>
      <c r="F3193" t="s">
        <v>5</v>
      </c>
      <c r="G3193" t="s">
        <v>6</v>
      </c>
      <c r="L3193" t="s">
        <v>7</v>
      </c>
      <c r="M3193">
        <v>2022</v>
      </c>
      <c r="N3193" s="1">
        <v>44773</v>
      </c>
      <c r="O3193" t="s">
        <v>15040</v>
      </c>
      <c r="P3193">
        <v>1</v>
      </c>
      <c r="Q3193" t="s">
        <v>13125</v>
      </c>
      <c r="S3193">
        <v>217.95</v>
      </c>
      <c r="T3193">
        <v>250</v>
      </c>
      <c r="U3193">
        <v>190</v>
      </c>
      <c r="V3193" t="s">
        <v>42</v>
      </c>
      <c r="W3193" t="s">
        <v>161</v>
      </c>
      <c r="X3193" t="s">
        <v>162</v>
      </c>
      <c r="Y3193" t="s">
        <v>896</v>
      </c>
      <c r="AF3193" t="s">
        <v>13</v>
      </c>
      <c r="AG3193" t="str">
        <f>HYPERLINK("https://doi.org/10.1515/9781474488020")</f>
        <v>https://doi.org/10.1515/9781474488020</v>
      </c>
      <c r="AH3193" t="str">
        <f>HYPERLINK("http://www.degruyter.com/isbn/9781474488020")</f>
        <v>http://www.degruyter.com/isbn/9781474488020</v>
      </c>
      <c r="AI3193" t="s">
        <v>14638</v>
      </c>
      <c r="AJ3193" t="s">
        <v>35</v>
      </c>
      <c r="AM3193">
        <v>1</v>
      </c>
      <c r="AN3193" s="2">
        <v>9781474488006</v>
      </c>
    </row>
    <row r="3194" spans="1:40" x14ac:dyDescent="0.3">
      <c r="A3194" t="s">
        <v>15041</v>
      </c>
      <c r="B3194" t="s">
        <v>1</v>
      </c>
      <c r="C3194" t="s">
        <v>15042</v>
      </c>
      <c r="D3194" t="s">
        <v>15043</v>
      </c>
      <c r="E3194" t="s">
        <v>15044</v>
      </c>
      <c r="F3194" t="s">
        <v>5</v>
      </c>
      <c r="G3194" t="s">
        <v>6</v>
      </c>
      <c r="L3194" t="s">
        <v>7</v>
      </c>
      <c r="M3194">
        <v>2022</v>
      </c>
      <c r="N3194" s="1">
        <v>44672</v>
      </c>
      <c r="O3194" t="s">
        <v>15045</v>
      </c>
      <c r="P3194">
        <v>1</v>
      </c>
      <c r="Q3194" t="s">
        <v>13460</v>
      </c>
      <c r="S3194">
        <v>217.95</v>
      </c>
      <c r="T3194">
        <v>250</v>
      </c>
      <c r="U3194">
        <v>190</v>
      </c>
      <c r="V3194" t="s">
        <v>20</v>
      </c>
      <c r="W3194" t="s">
        <v>21</v>
      </c>
      <c r="X3194" t="s">
        <v>458</v>
      </c>
      <c r="Y3194" t="s">
        <v>459</v>
      </c>
      <c r="AF3194" t="s">
        <v>13</v>
      </c>
      <c r="AG3194" t="str">
        <f>HYPERLINK("https://doi.org/10.1515/9781474479660")</f>
        <v>https://doi.org/10.1515/9781474479660</v>
      </c>
      <c r="AH3194" t="str">
        <f>HYPERLINK("http://www.degruyter.com/isbn/9781474479660")</f>
        <v>http://www.degruyter.com/isbn/9781474479660</v>
      </c>
      <c r="AI3194" t="s">
        <v>15046</v>
      </c>
      <c r="AL3194" t="s">
        <v>15</v>
      </c>
      <c r="AM3194">
        <v>1</v>
      </c>
      <c r="AN3194" s="2">
        <v>9781474479646</v>
      </c>
    </row>
    <row r="3195" spans="1:40" x14ac:dyDescent="0.3">
      <c r="A3195" t="s">
        <v>15047</v>
      </c>
      <c r="B3195" t="s">
        <v>1</v>
      </c>
      <c r="C3195" t="s">
        <v>15048</v>
      </c>
      <c r="D3195" t="s">
        <v>15049</v>
      </c>
      <c r="E3195" t="s">
        <v>15050</v>
      </c>
      <c r="F3195" t="s">
        <v>5</v>
      </c>
      <c r="G3195" t="s">
        <v>6</v>
      </c>
      <c r="K3195" t="s">
        <v>923</v>
      </c>
      <c r="L3195" t="s">
        <v>7</v>
      </c>
      <c r="M3195">
        <v>2022</v>
      </c>
      <c r="N3195" s="1">
        <v>44566</v>
      </c>
      <c r="O3195" t="s">
        <v>15051</v>
      </c>
      <c r="P3195">
        <v>1</v>
      </c>
      <c r="Q3195" t="s">
        <v>8587</v>
      </c>
      <c r="V3195" t="s">
        <v>297</v>
      </c>
      <c r="W3195" t="s">
        <v>4243</v>
      </c>
      <c r="X3195" t="s">
        <v>4243</v>
      </c>
      <c r="Y3195" t="s">
        <v>4244</v>
      </c>
      <c r="AF3195" t="s">
        <v>13</v>
      </c>
      <c r="AG3195" t="str">
        <f>HYPERLINK("https://doi.org/10.1515/9781399500029")</f>
        <v>https://doi.org/10.1515/9781399500029</v>
      </c>
      <c r="AH3195" t="str">
        <f>HYPERLINK("http://www.degruyter.com/isbn/9781399500029")</f>
        <v>http://www.degruyter.com/isbn/9781399500029</v>
      </c>
      <c r="AI3195" t="s">
        <v>14656</v>
      </c>
      <c r="AM3195">
        <v>1</v>
      </c>
      <c r="AN3195" s="2"/>
    </row>
    <row r="3196" spans="1:40" x14ac:dyDescent="0.3">
      <c r="A3196" t="s">
        <v>15052</v>
      </c>
      <c r="B3196" t="s">
        <v>1</v>
      </c>
      <c r="C3196" t="s">
        <v>15053</v>
      </c>
      <c r="E3196" t="s">
        <v>15054</v>
      </c>
      <c r="F3196" t="s">
        <v>5</v>
      </c>
      <c r="G3196" t="s">
        <v>6</v>
      </c>
      <c r="L3196" t="s">
        <v>7</v>
      </c>
      <c r="M3196">
        <v>2022</v>
      </c>
      <c r="N3196" s="1">
        <v>44677</v>
      </c>
      <c r="O3196" t="s">
        <v>15055</v>
      </c>
      <c r="P3196">
        <v>1</v>
      </c>
      <c r="S3196">
        <v>227.95</v>
      </c>
      <c r="T3196">
        <v>260</v>
      </c>
      <c r="U3196">
        <v>200</v>
      </c>
      <c r="V3196" t="s">
        <v>58</v>
      </c>
      <c r="W3196" t="s">
        <v>59</v>
      </c>
      <c r="X3196" t="s">
        <v>60</v>
      </c>
      <c r="Y3196" t="s">
        <v>61</v>
      </c>
      <c r="AF3196" t="s">
        <v>13</v>
      </c>
      <c r="AG3196" t="str">
        <f>HYPERLINK("https://doi.org/10.1515/9781474491600")</f>
        <v>https://doi.org/10.1515/9781474491600</v>
      </c>
      <c r="AH3196" t="str">
        <f>HYPERLINK("http://www.degruyter.com/isbn/9781474491600")</f>
        <v>http://www.degruyter.com/isbn/9781474491600</v>
      </c>
      <c r="AI3196" t="s">
        <v>14853</v>
      </c>
      <c r="AL3196" t="s">
        <v>62</v>
      </c>
      <c r="AM3196">
        <v>1</v>
      </c>
      <c r="AN3196" s="2">
        <v>9781474491587</v>
      </c>
    </row>
    <row r="3197" spans="1:40" x14ac:dyDescent="0.3">
      <c r="A3197" t="s">
        <v>15056</v>
      </c>
      <c r="B3197" t="s">
        <v>1</v>
      </c>
      <c r="C3197" t="s">
        <v>15057</v>
      </c>
      <c r="D3197" t="s">
        <v>15058</v>
      </c>
      <c r="E3197" t="s">
        <v>15059</v>
      </c>
      <c r="F3197" t="s">
        <v>5</v>
      </c>
      <c r="G3197" t="s">
        <v>6</v>
      </c>
      <c r="L3197" t="s">
        <v>7</v>
      </c>
      <c r="M3197">
        <v>2022</v>
      </c>
      <c r="N3197" s="1">
        <v>44721</v>
      </c>
      <c r="O3197" t="s">
        <v>15060</v>
      </c>
      <c r="P3197">
        <v>1</v>
      </c>
      <c r="Q3197" t="s">
        <v>8081</v>
      </c>
      <c r="S3197">
        <v>217.95</v>
      </c>
      <c r="T3197">
        <v>250</v>
      </c>
      <c r="U3197">
        <v>190</v>
      </c>
      <c r="V3197" t="s">
        <v>20</v>
      </c>
      <c r="W3197" t="s">
        <v>21</v>
      </c>
      <c r="X3197" t="s">
        <v>22</v>
      </c>
      <c r="Y3197" t="s">
        <v>23</v>
      </c>
      <c r="AF3197" t="s">
        <v>13</v>
      </c>
      <c r="AG3197" t="str">
        <f>HYPERLINK("https://doi.org/10.1515/9781399503952")</f>
        <v>https://doi.org/10.1515/9781399503952</v>
      </c>
      <c r="AH3197" t="str">
        <f>HYPERLINK("http://www.degruyter.com/isbn/9781399503952")</f>
        <v>http://www.degruyter.com/isbn/9781399503952</v>
      </c>
      <c r="AI3197" t="s">
        <v>14656</v>
      </c>
      <c r="AL3197" t="s">
        <v>15</v>
      </c>
      <c r="AM3197">
        <v>1</v>
      </c>
      <c r="AN3197" s="2">
        <v>9781399503938</v>
      </c>
    </row>
    <row r="3198" spans="1:40" x14ac:dyDescent="0.3">
      <c r="A3198" t="s">
        <v>15061</v>
      </c>
      <c r="B3198" t="s">
        <v>1</v>
      </c>
      <c r="C3198" t="s">
        <v>15062</v>
      </c>
      <c r="D3198" t="s">
        <v>15063</v>
      </c>
      <c r="E3198" t="s">
        <v>15064</v>
      </c>
      <c r="F3198" t="s">
        <v>5</v>
      </c>
      <c r="G3198" t="s">
        <v>6</v>
      </c>
      <c r="L3198" t="s">
        <v>7</v>
      </c>
      <c r="M3198">
        <v>2022</v>
      </c>
      <c r="N3198" s="1">
        <v>44672</v>
      </c>
      <c r="O3198" t="s">
        <v>15065</v>
      </c>
      <c r="P3198">
        <v>1</v>
      </c>
      <c r="S3198">
        <v>217.95</v>
      </c>
      <c r="T3198">
        <v>250</v>
      </c>
      <c r="U3198">
        <v>190</v>
      </c>
      <c r="V3198" t="s">
        <v>20</v>
      </c>
      <c r="W3198" t="s">
        <v>21</v>
      </c>
      <c r="X3198" t="s">
        <v>839</v>
      </c>
      <c r="Y3198" t="s">
        <v>13617</v>
      </c>
      <c r="AF3198" t="s">
        <v>13</v>
      </c>
      <c r="AG3198" t="str">
        <f>HYPERLINK("https://doi.org/10.1515/9781474488235")</f>
        <v>https://doi.org/10.1515/9781474488235</v>
      </c>
      <c r="AH3198" t="str">
        <f>HYPERLINK("http://www.degruyter.com/isbn/9781474488235")</f>
        <v>http://www.degruyter.com/isbn/9781474488235</v>
      </c>
      <c r="AI3198" t="s">
        <v>14656</v>
      </c>
      <c r="AL3198" t="s">
        <v>15</v>
      </c>
      <c r="AM3198">
        <v>1</v>
      </c>
      <c r="AN3198" s="2">
        <v>9781474488204</v>
      </c>
    </row>
    <row r="3199" spans="1:40" x14ac:dyDescent="0.3">
      <c r="A3199" t="s">
        <v>15066</v>
      </c>
      <c r="B3199" t="s">
        <v>1</v>
      </c>
      <c r="C3199" t="s">
        <v>15067</v>
      </c>
      <c r="E3199" t="s">
        <v>15068</v>
      </c>
      <c r="F3199" t="s">
        <v>5</v>
      </c>
      <c r="G3199" t="s">
        <v>6</v>
      </c>
      <c r="L3199" t="s">
        <v>7</v>
      </c>
      <c r="M3199">
        <v>2022</v>
      </c>
      <c r="N3199" s="1">
        <v>44672</v>
      </c>
      <c r="O3199" t="s">
        <v>15069</v>
      </c>
      <c r="P3199">
        <v>1</v>
      </c>
      <c r="Q3199" t="s">
        <v>13444</v>
      </c>
      <c r="S3199">
        <v>217.95</v>
      </c>
      <c r="T3199">
        <v>250</v>
      </c>
      <c r="U3199">
        <v>190</v>
      </c>
      <c r="V3199" t="s">
        <v>268</v>
      </c>
      <c r="W3199" t="s">
        <v>269</v>
      </c>
      <c r="X3199" t="s">
        <v>269</v>
      </c>
      <c r="Y3199" t="s">
        <v>360</v>
      </c>
      <c r="AF3199" t="s">
        <v>13</v>
      </c>
      <c r="AG3199" t="str">
        <f>HYPERLINK("https://doi.org/10.1515/9781474485722")</f>
        <v>https://doi.org/10.1515/9781474485722</v>
      </c>
      <c r="AH3199" t="str">
        <f>HYPERLINK("http://www.degruyter.com/isbn/9781474485722")</f>
        <v>http://www.degruyter.com/isbn/9781474485722</v>
      </c>
      <c r="AI3199" t="s">
        <v>14839</v>
      </c>
      <c r="AL3199" t="s">
        <v>272</v>
      </c>
      <c r="AM3199">
        <v>1</v>
      </c>
      <c r="AN3199" s="2">
        <v>9781474485708</v>
      </c>
    </row>
    <row r="3200" spans="1:40" x14ac:dyDescent="0.3">
      <c r="A3200" t="s">
        <v>15070</v>
      </c>
      <c r="B3200" t="s">
        <v>1</v>
      </c>
      <c r="C3200" t="s">
        <v>15071</v>
      </c>
      <c r="E3200" t="s">
        <v>15072</v>
      </c>
      <c r="F3200" t="s">
        <v>5</v>
      </c>
      <c r="G3200" t="s">
        <v>6</v>
      </c>
      <c r="L3200" t="s">
        <v>7</v>
      </c>
      <c r="M3200">
        <v>2022</v>
      </c>
      <c r="N3200" s="1">
        <v>44711</v>
      </c>
      <c r="O3200" t="s">
        <v>15073</v>
      </c>
      <c r="P3200">
        <v>1</v>
      </c>
      <c r="Q3200" t="s">
        <v>8994</v>
      </c>
      <c r="S3200">
        <v>380.95</v>
      </c>
      <c r="T3200">
        <v>430</v>
      </c>
      <c r="U3200">
        <v>330</v>
      </c>
      <c r="V3200" t="s">
        <v>20</v>
      </c>
      <c r="W3200" t="s">
        <v>21</v>
      </c>
      <c r="X3200" t="s">
        <v>1252</v>
      </c>
      <c r="Y3200" t="s">
        <v>15074</v>
      </c>
      <c r="AF3200" t="s">
        <v>13</v>
      </c>
      <c r="AG3200" t="str">
        <f>HYPERLINK("https://doi.org/10.1515/9781474492164")</f>
        <v>https://doi.org/10.1515/9781474492164</v>
      </c>
      <c r="AH3200" t="str">
        <f>HYPERLINK("http://www.degruyter.com/isbn/9781474492164")</f>
        <v>http://www.degruyter.com/isbn/9781474492164</v>
      </c>
      <c r="AI3200" t="s">
        <v>14656</v>
      </c>
      <c r="AL3200" t="s">
        <v>15</v>
      </c>
      <c r="AM3200">
        <v>1</v>
      </c>
      <c r="AN3200" s="2">
        <v>9781474492140</v>
      </c>
    </row>
    <row r="3201" spans="1:40" x14ac:dyDescent="0.3">
      <c r="A3201" t="s">
        <v>15075</v>
      </c>
      <c r="B3201" t="s">
        <v>1</v>
      </c>
      <c r="C3201" t="s">
        <v>15076</v>
      </c>
      <c r="D3201" t="s">
        <v>15077</v>
      </c>
      <c r="E3201" t="s">
        <v>15078</v>
      </c>
      <c r="F3201" t="s">
        <v>5</v>
      </c>
      <c r="G3201" t="s">
        <v>6</v>
      </c>
      <c r="L3201" t="s">
        <v>7</v>
      </c>
      <c r="M3201">
        <v>2022</v>
      </c>
      <c r="N3201" s="1">
        <v>44672</v>
      </c>
      <c r="O3201" t="s">
        <v>15079</v>
      </c>
      <c r="P3201">
        <v>1</v>
      </c>
      <c r="S3201">
        <v>217.95</v>
      </c>
      <c r="T3201">
        <v>250</v>
      </c>
      <c r="U3201">
        <v>190</v>
      </c>
      <c r="V3201" t="s">
        <v>9</v>
      </c>
      <c r="W3201" t="s">
        <v>10</v>
      </c>
      <c r="X3201" t="s">
        <v>11</v>
      </c>
      <c r="Y3201" t="s">
        <v>52</v>
      </c>
      <c r="AF3201" t="s">
        <v>13</v>
      </c>
      <c r="AG3201" t="str">
        <f>HYPERLINK("https://doi.org/10.1515/9781474479974")</f>
        <v>https://doi.org/10.1515/9781474479974</v>
      </c>
      <c r="AH3201" t="str">
        <f>HYPERLINK("http://www.degruyter.com/isbn/9781474479974")</f>
        <v>http://www.degruyter.com/isbn/9781474479974</v>
      </c>
      <c r="AI3201" t="s">
        <v>14693</v>
      </c>
      <c r="AL3201" t="s">
        <v>15</v>
      </c>
      <c r="AM3201">
        <v>1</v>
      </c>
      <c r="AN3201" s="2">
        <v>9781474479950</v>
      </c>
    </row>
    <row r="3202" spans="1:40" x14ac:dyDescent="0.3">
      <c r="A3202" t="s">
        <v>15080</v>
      </c>
      <c r="B3202" t="s">
        <v>1</v>
      </c>
      <c r="C3202" t="s">
        <v>15081</v>
      </c>
      <c r="E3202" t="s">
        <v>15082</v>
      </c>
      <c r="F3202" t="s">
        <v>5</v>
      </c>
      <c r="G3202" t="s">
        <v>6</v>
      </c>
      <c r="L3202" t="s">
        <v>7</v>
      </c>
      <c r="M3202">
        <v>2022</v>
      </c>
      <c r="N3202" s="1">
        <v>44690</v>
      </c>
      <c r="O3202" t="s">
        <v>15001</v>
      </c>
      <c r="P3202">
        <v>1</v>
      </c>
      <c r="Q3202" t="s">
        <v>15002</v>
      </c>
      <c r="S3202">
        <v>305.95</v>
      </c>
      <c r="T3202">
        <v>350</v>
      </c>
      <c r="U3202">
        <v>270</v>
      </c>
      <c r="V3202" t="s">
        <v>79</v>
      </c>
      <c r="W3202" t="s">
        <v>209</v>
      </c>
      <c r="X3202" t="s">
        <v>209</v>
      </c>
      <c r="Y3202" t="s">
        <v>699</v>
      </c>
      <c r="AF3202" t="s">
        <v>13</v>
      </c>
      <c r="AG3202" t="str">
        <f>HYPERLINK("https://doi.org/10.1515/9781474486675")</f>
        <v>https://doi.org/10.1515/9781474486675</v>
      </c>
      <c r="AH3202" t="str">
        <f>HYPERLINK("http://www.degruyter.com/isbn/9781474486675")</f>
        <v>http://www.degruyter.com/isbn/9781474486675</v>
      </c>
      <c r="AI3202" t="s">
        <v>14633</v>
      </c>
      <c r="AL3202" t="s">
        <v>83</v>
      </c>
      <c r="AM3202">
        <v>1</v>
      </c>
      <c r="AN3202" s="2">
        <v>9781474486651</v>
      </c>
    </row>
    <row r="3203" spans="1:40" x14ac:dyDescent="0.3">
      <c r="A3203" t="s">
        <v>15083</v>
      </c>
      <c r="B3203" t="s">
        <v>1</v>
      </c>
      <c r="C3203" t="s">
        <v>15084</v>
      </c>
      <c r="D3203" t="s">
        <v>15085</v>
      </c>
      <c r="E3203" t="s">
        <v>15086</v>
      </c>
      <c r="F3203" t="s">
        <v>5</v>
      </c>
      <c r="G3203" t="s">
        <v>6</v>
      </c>
      <c r="L3203" t="s">
        <v>7</v>
      </c>
      <c r="M3203">
        <v>2022</v>
      </c>
      <c r="N3203" s="1">
        <v>44712</v>
      </c>
      <c r="O3203" t="s">
        <v>15087</v>
      </c>
      <c r="P3203">
        <v>1</v>
      </c>
      <c r="S3203">
        <v>217.95</v>
      </c>
      <c r="T3203">
        <v>250</v>
      </c>
      <c r="U3203">
        <v>190</v>
      </c>
      <c r="V3203" t="s">
        <v>9</v>
      </c>
      <c r="W3203" t="s">
        <v>10</v>
      </c>
      <c r="X3203" t="s">
        <v>11</v>
      </c>
      <c r="Y3203" t="s">
        <v>12</v>
      </c>
      <c r="AF3203" t="s">
        <v>13</v>
      </c>
      <c r="AG3203" t="str">
        <f>HYPERLINK("https://doi.org/10.1515/9781399504256")</f>
        <v>https://doi.org/10.1515/9781399504256</v>
      </c>
      <c r="AH3203" t="str">
        <f>HYPERLINK("http://www.degruyter.com/isbn/9781399504256")</f>
        <v>http://www.degruyter.com/isbn/9781399504256</v>
      </c>
      <c r="AI3203" t="s">
        <v>14693</v>
      </c>
      <c r="AL3203" t="s">
        <v>15</v>
      </c>
      <c r="AM3203">
        <v>1</v>
      </c>
      <c r="AN3203" s="2">
        <v>9781399504232</v>
      </c>
    </row>
    <row r="3204" spans="1:40" x14ac:dyDescent="0.3">
      <c r="A3204" t="s">
        <v>15088</v>
      </c>
      <c r="B3204" t="s">
        <v>1</v>
      </c>
      <c r="C3204" t="s">
        <v>15089</v>
      </c>
      <c r="D3204" t="s">
        <v>15090</v>
      </c>
      <c r="E3204" t="s">
        <v>15091</v>
      </c>
      <c r="F3204" t="s">
        <v>5</v>
      </c>
      <c r="G3204" t="s">
        <v>6</v>
      </c>
      <c r="L3204" t="s">
        <v>7</v>
      </c>
      <c r="M3204">
        <v>2022</v>
      </c>
      <c r="N3204" s="1">
        <v>44887</v>
      </c>
      <c r="O3204" t="s">
        <v>15092</v>
      </c>
      <c r="P3204">
        <v>1</v>
      </c>
      <c r="Q3204" t="s">
        <v>8096</v>
      </c>
      <c r="S3204">
        <v>217.95</v>
      </c>
      <c r="T3204">
        <v>250</v>
      </c>
      <c r="U3204">
        <v>190</v>
      </c>
      <c r="V3204" t="s">
        <v>42</v>
      </c>
      <c r="W3204" t="s">
        <v>107</v>
      </c>
      <c r="X3204" t="s">
        <v>108</v>
      </c>
      <c r="Y3204" t="s">
        <v>221</v>
      </c>
      <c r="AF3204" t="s">
        <v>13</v>
      </c>
      <c r="AG3204" t="str">
        <f>HYPERLINK("https://doi.org/10.1515/9781474481533")</f>
        <v>https://doi.org/10.1515/9781474481533</v>
      </c>
      <c r="AH3204" t="str">
        <f>HYPERLINK("http://www.degruyter.com/isbn/9781474481533")</f>
        <v>http://www.degruyter.com/isbn/9781474481533</v>
      </c>
      <c r="AI3204" t="s">
        <v>14638</v>
      </c>
      <c r="AL3204" t="s">
        <v>47</v>
      </c>
      <c r="AM3204">
        <v>1</v>
      </c>
      <c r="AN3204" s="2">
        <v>9781474481519</v>
      </c>
    </row>
    <row r="3205" spans="1:40" x14ac:dyDescent="0.3">
      <c r="A3205" t="s">
        <v>15093</v>
      </c>
      <c r="B3205" t="s">
        <v>1</v>
      </c>
      <c r="C3205" t="s">
        <v>15094</v>
      </c>
      <c r="D3205" t="s">
        <v>15095</v>
      </c>
      <c r="E3205" t="s">
        <v>15096</v>
      </c>
      <c r="F3205" t="s">
        <v>5</v>
      </c>
      <c r="G3205" t="s">
        <v>6</v>
      </c>
      <c r="L3205" t="s">
        <v>7</v>
      </c>
      <c r="M3205">
        <v>2022</v>
      </c>
      <c r="N3205" s="1">
        <v>44672</v>
      </c>
      <c r="O3205" t="s">
        <v>15097</v>
      </c>
      <c r="P3205">
        <v>1</v>
      </c>
      <c r="Q3205" t="s">
        <v>14970</v>
      </c>
      <c r="S3205">
        <v>217.95</v>
      </c>
      <c r="T3205">
        <v>250</v>
      </c>
      <c r="U3205">
        <v>190</v>
      </c>
      <c r="V3205" t="s">
        <v>268</v>
      </c>
      <c r="W3205" t="s">
        <v>269</v>
      </c>
      <c r="X3205" t="s">
        <v>269</v>
      </c>
      <c r="Y3205" t="s">
        <v>15098</v>
      </c>
      <c r="AF3205" t="s">
        <v>13</v>
      </c>
      <c r="AG3205" t="str">
        <f>HYPERLINK("https://doi.org/10.1515/9781474494007")</f>
        <v>https://doi.org/10.1515/9781474494007</v>
      </c>
      <c r="AH3205" t="str">
        <f>HYPERLINK("http://www.degruyter.com/isbn/9781474494007")</f>
        <v>http://www.degruyter.com/isbn/9781474494007</v>
      </c>
      <c r="AI3205" t="s">
        <v>14933</v>
      </c>
      <c r="AL3205" t="s">
        <v>272</v>
      </c>
      <c r="AM3205">
        <v>1</v>
      </c>
      <c r="AN3205" s="2">
        <v>9781474493987</v>
      </c>
    </row>
    <row r="3206" spans="1:40" x14ac:dyDescent="0.3">
      <c r="A3206" t="s">
        <v>15099</v>
      </c>
      <c r="B3206" t="s">
        <v>1</v>
      </c>
      <c r="C3206" t="s">
        <v>15100</v>
      </c>
      <c r="E3206" t="s">
        <v>15101</v>
      </c>
      <c r="F3206" t="s">
        <v>5</v>
      </c>
      <c r="G3206" t="s">
        <v>6</v>
      </c>
      <c r="L3206" t="s">
        <v>7</v>
      </c>
      <c r="M3206">
        <v>2022</v>
      </c>
      <c r="N3206" s="1">
        <v>44690</v>
      </c>
      <c r="O3206" t="s">
        <v>15102</v>
      </c>
      <c r="P3206">
        <v>1</v>
      </c>
      <c r="Q3206" t="s">
        <v>15103</v>
      </c>
      <c r="S3206">
        <v>217.95</v>
      </c>
      <c r="T3206">
        <v>250</v>
      </c>
      <c r="U3206">
        <v>190</v>
      </c>
      <c r="V3206" t="s">
        <v>9</v>
      </c>
      <c r="W3206" t="s">
        <v>10</v>
      </c>
      <c r="X3206" t="s">
        <v>596</v>
      </c>
      <c r="Y3206" t="s">
        <v>14878</v>
      </c>
      <c r="AF3206" t="s">
        <v>13</v>
      </c>
      <c r="AG3206" t="str">
        <f>HYPERLINK("https://doi.org/10.1515/9781474480055")</f>
        <v>https://doi.org/10.1515/9781474480055</v>
      </c>
      <c r="AH3206" t="str">
        <f>HYPERLINK("http://www.degruyter.com/isbn/9781474480055")</f>
        <v>http://www.degruyter.com/isbn/9781474480055</v>
      </c>
      <c r="AI3206" t="s">
        <v>14693</v>
      </c>
      <c r="AL3206" t="s">
        <v>15</v>
      </c>
      <c r="AM3206">
        <v>1</v>
      </c>
      <c r="AN3206" s="2">
        <v>9781474480031</v>
      </c>
    </row>
    <row r="3207" spans="1:40" x14ac:dyDescent="0.3">
      <c r="A3207" t="s">
        <v>15104</v>
      </c>
      <c r="B3207" t="s">
        <v>1</v>
      </c>
      <c r="C3207" t="s">
        <v>15105</v>
      </c>
      <c r="D3207" t="s">
        <v>15106</v>
      </c>
      <c r="E3207" t="s">
        <v>15107</v>
      </c>
      <c r="F3207" t="s">
        <v>5</v>
      </c>
      <c r="G3207" t="s">
        <v>6</v>
      </c>
      <c r="L3207" t="s">
        <v>7</v>
      </c>
      <c r="M3207">
        <v>2022</v>
      </c>
      <c r="N3207" s="1">
        <v>44804</v>
      </c>
      <c r="O3207" t="s">
        <v>15108</v>
      </c>
      <c r="P3207">
        <v>1</v>
      </c>
      <c r="S3207">
        <v>217.95</v>
      </c>
      <c r="T3207">
        <v>250</v>
      </c>
      <c r="U3207">
        <v>190</v>
      </c>
      <c r="V3207" t="s">
        <v>9</v>
      </c>
      <c r="W3207" t="s">
        <v>10</v>
      </c>
      <c r="X3207" t="s">
        <v>11</v>
      </c>
      <c r="Y3207" t="s">
        <v>52</v>
      </c>
      <c r="AF3207" t="s">
        <v>13</v>
      </c>
      <c r="AG3207" t="str">
        <f>HYPERLINK("https://doi.org/10.1515/9781474475822")</f>
        <v>https://doi.org/10.1515/9781474475822</v>
      </c>
      <c r="AH3207" t="str">
        <f>HYPERLINK("http://www.degruyter.com/isbn/9781474475822")</f>
        <v>http://www.degruyter.com/isbn/9781474475822</v>
      </c>
      <c r="AI3207" t="s">
        <v>14693</v>
      </c>
      <c r="AL3207" t="s">
        <v>15</v>
      </c>
      <c r="AM3207">
        <v>1</v>
      </c>
      <c r="AN3207" s="2">
        <v>9781474475808</v>
      </c>
    </row>
    <row r="3208" spans="1:40" x14ac:dyDescent="0.3">
      <c r="A3208" t="s">
        <v>15109</v>
      </c>
      <c r="B3208" t="s">
        <v>1</v>
      </c>
      <c r="C3208" t="s">
        <v>15110</v>
      </c>
      <c r="D3208" t="s">
        <v>15111</v>
      </c>
      <c r="E3208" t="s">
        <v>15112</v>
      </c>
      <c r="F3208" t="s">
        <v>5</v>
      </c>
      <c r="G3208" t="s">
        <v>6</v>
      </c>
      <c r="L3208" t="s">
        <v>7</v>
      </c>
      <c r="M3208">
        <v>2022</v>
      </c>
      <c r="N3208" s="1">
        <v>44672</v>
      </c>
      <c r="O3208" t="s">
        <v>15113</v>
      </c>
      <c r="P3208">
        <v>1</v>
      </c>
      <c r="Q3208" t="s">
        <v>14970</v>
      </c>
      <c r="S3208">
        <v>217.95</v>
      </c>
      <c r="T3208">
        <v>250</v>
      </c>
      <c r="U3208">
        <v>190</v>
      </c>
      <c r="V3208" t="s">
        <v>79</v>
      </c>
      <c r="W3208" t="s">
        <v>123</v>
      </c>
      <c r="X3208" t="s">
        <v>123</v>
      </c>
      <c r="Y3208" t="s">
        <v>124</v>
      </c>
      <c r="AF3208" t="s">
        <v>13</v>
      </c>
      <c r="AG3208" t="str">
        <f>HYPERLINK("https://doi.org/10.1515/9781399500616")</f>
        <v>https://doi.org/10.1515/9781399500616</v>
      </c>
      <c r="AH3208" t="str">
        <f>HYPERLINK("http://www.degruyter.com/isbn/9781399500616")</f>
        <v>http://www.degruyter.com/isbn/9781399500616</v>
      </c>
      <c r="AI3208" t="s">
        <v>14633</v>
      </c>
      <c r="AL3208" t="s">
        <v>83</v>
      </c>
      <c r="AM3208">
        <v>1</v>
      </c>
      <c r="AN3208" s="2">
        <v>9781399500593</v>
      </c>
    </row>
    <row r="3209" spans="1:40" x14ac:dyDescent="0.3">
      <c r="A3209" t="s">
        <v>15114</v>
      </c>
      <c r="B3209" t="s">
        <v>1</v>
      </c>
      <c r="C3209" t="s">
        <v>15115</v>
      </c>
      <c r="D3209" t="s">
        <v>15116</v>
      </c>
      <c r="E3209" t="s">
        <v>15117</v>
      </c>
      <c r="F3209" t="s">
        <v>5</v>
      </c>
      <c r="G3209" t="s">
        <v>6</v>
      </c>
      <c r="L3209" t="s">
        <v>7</v>
      </c>
      <c r="M3209">
        <v>2022</v>
      </c>
      <c r="N3209" s="1">
        <v>44887</v>
      </c>
      <c r="O3209" t="s">
        <v>15118</v>
      </c>
      <c r="P3209">
        <v>1</v>
      </c>
      <c r="Q3209" t="s">
        <v>8607</v>
      </c>
      <c r="S3209">
        <v>217.95</v>
      </c>
      <c r="T3209">
        <v>250</v>
      </c>
      <c r="U3209">
        <v>190</v>
      </c>
      <c r="V3209" t="s">
        <v>20</v>
      </c>
      <c r="W3209" t="s">
        <v>470</v>
      </c>
      <c r="X3209" t="s">
        <v>1269</v>
      </c>
      <c r="Y3209" t="s">
        <v>1705</v>
      </c>
      <c r="AF3209" t="s">
        <v>13</v>
      </c>
      <c r="AG3209" t="str">
        <f>HYPERLINK("https://doi.org/10.1515/9781399502870")</f>
        <v>https://doi.org/10.1515/9781399502870</v>
      </c>
      <c r="AH3209" t="str">
        <f>HYPERLINK("http://www.degruyter.com/isbn/9781399502870")</f>
        <v>http://www.degruyter.com/isbn/9781399502870</v>
      </c>
      <c r="AI3209" t="s">
        <v>14656</v>
      </c>
      <c r="AL3209" t="s">
        <v>15</v>
      </c>
      <c r="AM3209">
        <v>1</v>
      </c>
      <c r="AN3209" s="2">
        <v>9781399502856</v>
      </c>
    </row>
    <row r="3210" spans="1:40" x14ac:dyDescent="0.3">
      <c r="A3210" t="s">
        <v>15119</v>
      </c>
      <c r="B3210" t="s">
        <v>1</v>
      </c>
      <c r="C3210" t="s">
        <v>15120</v>
      </c>
      <c r="E3210" t="s">
        <v>15121</v>
      </c>
      <c r="F3210" t="s">
        <v>5</v>
      </c>
      <c r="G3210" t="s">
        <v>6</v>
      </c>
      <c r="K3210" t="s">
        <v>923</v>
      </c>
      <c r="L3210" t="s">
        <v>7</v>
      </c>
      <c r="M3210">
        <v>2022</v>
      </c>
      <c r="N3210" s="1">
        <v>44753</v>
      </c>
      <c r="O3210" t="s">
        <v>15122</v>
      </c>
      <c r="P3210">
        <v>1</v>
      </c>
      <c r="V3210" t="s">
        <v>42</v>
      </c>
      <c r="W3210" t="s">
        <v>116</v>
      </c>
      <c r="X3210" t="s">
        <v>116</v>
      </c>
      <c r="Y3210" t="s">
        <v>15123</v>
      </c>
      <c r="AF3210" t="s">
        <v>13</v>
      </c>
      <c r="AG3210" t="str">
        <f>HYPERLINK("https://doi.org/10.1515/9781474463461")</f>
        <v>https://doi.org/10.1515/9781474463461</v>
      </c>
      <c r="AH3210" t="str">
        <f>HYPERLINK("http://www.degruyter.com/isbn/9781474463461")</f>
        <v>http://www.degruyter.com/isbn/9781474463461</v>
      </c>
      <c r="AI3210" t="s">
        <v>14638</v>
      </c>
      <c r="AM3210">
        <v>1</v>
      </c>
      <c r="AN3210" s="2"/>
    </row>
    <row r="3211" spans="1:40" x14ac:dyDescent="0.3">
      <c r="A3211" t="s">
        <v>15124</v>
      </c>
      <c r="B3211" t="s">
        <v>1</v>
      </c>
      <c r="C3211" t="s">
        <v>15125</v>
      </c>
      <c r="D3211" t="s">
        <v>15126</v>
      </c>
      <c r="E3211" t="s">
        <v>15127</v>
      </c>
      <c r="F3211" t="s">
        <v>5</v>
      </c>
      <c r="G3211" t="s">
        <v>6</v>
      </c>
      <c r="L3211" t="s">
        <v>7</v>
      </c>
      <c r="M3211">
        <v>2022</v>
      </c>
      <c r="N3211" s="1">
        <v>44804</v>
      </c>
      <c r="O3211" t="s">
        <v>15128</v>
      </c>
      <c r="P3211">
        <v>1</v>
      </c>
      <c r="S3211">
        <v>217.95</v>
      </c>
      <c r="T3211">
        <v>250</v>
      </c>
      <c r="U3211">
        <v>190</v>
      </c>
      <c r="V3211" t="s">
        <v>42</v>
      </c>
      <c r="W3211" t="s">
        <v>290</v>
      </c>
      <c r="X3211" t="s">
        <v>290</v>
      </c>
      <c r="Y3211" t="s">
        <v>515</v>
      </c>
      <c r="AF3211" t="s">
        <v>13</v>
      </c>
      <c r="AG3211" t="str">
        <f>HYPERLINK("https://doi.org/10.1515/9781474481458")</f>
        <v>https://doi.org/10.1515/9781474481458</v>
      </c>
      <c r="AH3211" t="str">
        <f>HYPERLINK("http://www.degruyter.com/isbn/9781474481458")</f>
        <v>http://www.degruyter.com/isbn/9781474481458</v>
      </c>
      <c r="AI3211" t="s">
        <v>14638</v>
      </c>
      <c r="AL3211" t="s">
        <v>47</v>
      </c>
      <c r="AM3211">
        <v>1</v>
      </c>
      <c r="AN3211" s="2">
        <v>9781474481434</v>
      </c>
    </row>
    <row r="3212" spans="1:40" x14ac:dyDescent="0.3">
      <c r="A3212" t="s">
        <v>15129</v>
      </c>
      <c r="B3212" t="s">
        <v>1</v>
      </c>
      <c r="C3212" t="s">
        <v>15130</v>
      </c>
      <c r="D3212" t="s">
        <v>15131</v>
      </c>
      <c r="E3212" t="s">
        <v>15132</v>
      </c>
      <c r="F3212" t="s">
        <v>5</v>
      </c>
      <c r="G3212" t="s">
        <v>6</v>
      </c>
      <c r="L3212" t="s">
        <v>7</v>
      </c>
      <c r="M3212">
        <v>2022</v>
      </c>
      <c r="N3212" s="1">
        <v>44804</v>
      </c>
      <c r="O3212" t="s">
        <v>15133</v>
      </c>
      <c r="P3212">
        <v>1</v>
      </c>
      <c r="Q3212" t="s">
        <v>7810</v>
      </c>
      <c r="S3212">
        <v>209.95</v>
      </c>
      <c r="T3212">
        <v>240</v>
      </c>
      <c r="U3212">
        <v>180</v>
      </c>
      <c r="V3212" t="s">
        <v>79</v>
      </c>
      <c r="W3212" t="s">
        <v>734</v>
      </c>
      <c r="X3212" t="s">
        <v>734</v>
      </c>
      <c r="Y3212" t="s">
        <v>735</v>
      </c>
      <c r="AF3212" t="s">
        <v>13</v>
      </c>
      <c r="AG3212" t="str">
        <f>HYPERLINK("https://doi.org/10.1515/9781399500920")</f>
        <v>https://doi.org/10.1515/9781399500920</v>
      </c>
      <c r="AH3212" t="str">
        <f>HYPERLINK("http://www.degruyter.com/isbn/9781399500920")</f>
        <v>http://www.degruyter.com/isbn/9781399500920</v>
      </c>
      <c r="AI3212" t="s">
        <v>14633</v>
      </c>
      <c r="AL3212" t="s">
        <v>83</v>
      </c>
      <c r="AM3212">
        <v>1</v>
      </c>
      <c r="AN3212" s="2">
        <v>9781399500906</v>
      </c>
    </row>
    <row r="3213" spans="1:40" x14ac:dyDescent="0.3">
      <c r="A3213" t="s">
        <v>15134</v>
      </c>
      <c r="B3213" t="s">
        <v>1</v>
      </c>
      <c r="C3213" t="s">
        <v>15135</v>
      </c>
      <c r="D3213" t="s">
        <v>15136</v>
      </c>
      <c r="E3213" t="s">
        <v>15137</v>
      </c>
      <c r="F3213" t="s">
        <v>5</v>
      </c>
      <c r="G3213" t="s">
        <v>6</v>
      </c>
      <c r="L3213" t="s">
        <v>7</v>
      </c>
      <c r="M3213">
        <v>2022</v>
      </c>
      <c r="N3213" s="1">
        <v>44894</v>
      </c>
      <c r="O3213" t="s">
        <v>15138</v>
      </c>
      <c r="P3213">
        <v>1</v>
      </c>
      <c r="Q3213" t="s">
        <v>6858</v>
      </c>
      <c r="S3213">
        <v>209.95</v>
      </c>
      <c r="T3213">
        <v>240</v>
      </c>
      <c r="U3213">
        <v>180</v>
      </c>
      <c r="V3213" t="s">
        <v>58</v>
      </c>
      <c r="W3213" t="s">
        <v>59</v>
      </c>
      <c r="X3213" t="s">
        <v>60</v>
      </c>
      <c r="Y3213" t="s">
        <v>15139</v>
      </c>
      <c r="AF3213" t="s">
        <v>13</v>
      </c>
      <c r="AG3213" t="str">
        <f>HYPERLINK("https://doi.org/10.1515/9781474498517")</f>
        <v>https://doi.org/10.1515/9781474498517</v>
      </c>
      <c r="AH3213" t="str">
        <f>HYPERLINK("http://www.degruyter.com/isbn/9781474498517")</f>
        <v>http://www.degruyter.com/isbn/9781474498517</v>
      </c>
      <c r="AI3213" t="s">
        <v>14853</v>
      </c>
      <c r="AL3213" t="s">
        <v>62</v>
      </c>
      <c r="AM3213">
        <v>1</v>
      </c>
      <c r="AN3213" s="2">
        <v>9781474498494</v>
      </c>
    </row>
    <row r="3214" spans="1:40" x14ac:dyDescent="0.3">
      <c r="A3214" t="s">
        <v>15140</v>
      </c>
      <c r="B3214" t="s">
        <v>1</v>
      </c>
      <c r="C3214" t="s">
        <v>15141</v>
      </c>
      <c r="E3214" t="s">
        <v>15142</v>
      </c>
      <c r="F3214" t="s">
        <v>5</v>
      </c>
      <c r="G3214" t="s">
        <v>6</v>
      </c>
      <c r="L3214" t="s">
        <v>7</v>
      </c>
      <c r="M3214">
        <v>2022</v>
      </c>
      <c r="N3214" s="1">
        <v>44804</v>
      </c>
      <c r="O3214" t="s">
        <v>15143</v>
      </c>
      <c r="P3214">
        <v>1</v>
      </c>
      <c r="Q3214" t="s">
        <v>7521</v>
      </c>
      <c r="S3214">
        <v>217.95</v>
      </c>
      <c r="T3214">
        <v>250</v>
      </c>
      <c r="U3214">
        <v>190</v>
      </c>
      <c r="V3214" t="s">
        <v>9</v>
      </c>
      <c r="W3214" t="s">
        <v>10</v>
      </c>
      <c r="X3214" t="s">
        <v>11</v>
      </c>
      <c r="Y3214" t="s">
        <v>52</v>
      </c>
      <c r="AF3214" t="s">
        <v>13</v>
      </c>
      <c r="AG3214" t="str">
        <f>HYPERLINK("https://doi.org/10.1515/9781474497046")</f>
        <v>https://doi.org/10.1515/9781474497046</v>
      </c>
      <c r="AH3214" t="str">
        <f>HYPERLINK("http://www.degruyter.com/isbn/9781474497046")</f>
        <v>http://www.degruyter.com/isbn/9781474497046</v>
      </c>
      <c r="AI3214" t="s">
        <v>14693</v>
      </c>
      <c r="AL3214" t="s">
        <v>15</v>
      </c>
      <c r="AM3214">
        <v>1</v>
      </c>
      <c r="AN3214" s="2">
        <v>9781474497022</v>
      </c>
    </row>
    <row r="3215" spans="1:40" x14ac:dyDescent="0.3">
      <c r="A3215" t="s">
        <v>15144</v>
      </c>
      <c r="B3215" t="s">
        <v>1</v>
      </c>
      <c r="C3215" t="s">
        <v>15145</v>
      </c>
      <c r="E3215" t="s">
        <v>15146</v>
      </c>
      <c r="F3215" t="s">
        <v>5</v>
      </c>
      <c r="G3215" t="s">
        <v>6</v>
      </c>
      <c r="L3215" t="s">
        <v>7</v>
      </c>
      <c r="M3215">
        <v>2022</v>
      </c>
      <c r="N3215" s="1">
        <v>44773</v>
      </c>
      <c r="O3215" t="s">
        <v>15147</v>
      </c>
      <c r="P3215">
        <v>1</v>
      </c>
      <c r="Q3215" t="s">
        <v>6665</v>
      </c>
      <c r="S3215">
        <v>227.95</v>
      </c>
      <c r="T3215">
        <v>260</v>
      </c>
      <c r="U3215">
        <v>200</v>
      </c>
      <c r="V3215" t="s">
        <v>9</v>
      </c>
      <c r="W3215" t="s">
        <v>10</v>
      </c>
      <c r="X3215" t="s">
        <v>11</v>
      </c>
      <c r="Y3215" t="s">
        <v>52</v>
      </c>
      <c r="AF3215" t="s">
        <v>13</v>
      </c>
      <c r="AG3215" t="str">
        <f>HYPERLINK("https://doi.org/10.1515/9781474459013")</f>
        <v>https://doi.org/10.1515/9781474459013</v>
      </c>
      <c r="AH3215" t="str">
        <f>HYPERLINK("http://www.degruyter.com/isbn/9781474459013")</f>
        <v>http://www.degruyter.com/isbn/9781474459013</v>
      </c>
      <c r="AI3215" t="s">
        <v>14693</v>
      </c>
      <c r="AL3215" t="s">
        <v>15</v>
      </c>
      <c r="AM3215">
        <v>1</v>
      </c>
      <c r="AN3215" s="2">
        <v>9781474458993</v>
      </c>
    </row>
    <row r="3216" spans="1:40" x14ac:dyDescent="0.3">
      <c r="A3216" t="s">
        <v>15148</v>
      </c>
      <c r="B3216" t="s">
        <v>1</v>
      </c>
      <c r="C3216" t="s">
        <v>15149</v>
      </c>
      <c r="D3216" t="s">
        <v>15150</v>
      </c>
      <c r="E3216" t="s">
        <v>15151</v>
      </c>
      <c r="F3216" t="s">
        <v>5</v>
      </c>
      <c r="G3216" t="s">
        <v>6</v>
      </c>
      <c r="L3216" t="s">
        <v>7</v>
      </c>
      <c r="M3216">
        <v>2022</v>
      </c>
      <c r="N3216" s="1">
        <v>44672</v>
      </c>
      <c r="O3216" t="s">
        <v>15152</v>
      </c>
      <c r="P3216">
        <v>1</v>
      </c>
      <c r="S3216">
        <v>227.95</v>
      </c>
      <c r="T3216">
        <v>260</v>
      </c>
      <c r="U3216">
        <v>200</v>
      </c>
      <c r="V3216" t="s">
        <v>20</v>
      </c>
      <c r="W3216" t="s">
        <v>21</v>
      </c>
      <c r="X3216" t="s">
        <v>22</v>
      </c>
      <c r="Y3216" t="s">
        <v>23</v>
      </c>
      <c r="AF3216" t="s">
        <v>13</v>
      </c>
      <c r="AG3216" t="str">
        <f>HYPERLINK("https://doi.org/10.1515/9781474491488")</f>
        <v>https://doi.org/10.1515/9781474491488</v>
      </c>
      <c r="AH3216" t="str">
        <f>HYPERLINK("http://www.degruyter.com/isbn/9781474491488")</f>
        <v>http://www.degruyter.com/isbn/9781474491488</v>
      </c>
      <c r="AI3216" t="s">
        <v>14656</v>
      </c>
      <c r="AL3216" t="s">
        <v>15</v>
      </c>
      <c r="AM3216">
        <v>1</v>
      </c>
      <c r="AN3216" s="2">
        <v>9781474491464</v>
      </c>
    </row>
    <row r="3217" spans="1:40" x14ac:dyDescent="0.3">
      <c r="A3217" t="s">
        <v>15153</v>
      </c>
      <c r="B3217" t="s">
        <v>1</v>
      </c>
      <c r="C3217" t="s">
        <v>15154</v>
      </c>
      <c r="D3217" t="s">
        <v>15155</v>
      </c>
      <c r="E3217" t="s">
        <v>15156</v>
      </c>
      <c r="F3217" t="s">
        <v>5</v>
      </c>
      <c r="G3217" t="s">
        <v>6</v>
      </c>
      <c r="L3217" t="s">
        <v>7</v>
      </c>
      <c r="M3217">
        <v>2022</v>
      </c>
      <c r="N3217" s="1">
        <v>44672</v>
      </c>
      <c r="O3217" t="s">
        <v>1205</v>
      </c>
      <c r="P3217">
        <v>1</v>
      </c>
      <c r="S3217">
        <v>243.95</v>
      </c>
      <c r="T3217">
        <v>280</v>
      </c>
      <c r="U3217">
        <v>210</v>
      </c>
      <c r="V3217" t="s">
        <v>329</v>
      </c>
      <c r="W3217" t="s">
        <v>330</v>
      </c>
      <c r="X3217" t="s">
        <v>331</v>
      </c>
      <c r="Y3217" t="s">
        <v>1035</v>
      </c>
      <c r="AF3217" t="s">
        <v>13</v>
      </c>
      <c r="AG3217" t="str">
        <f>HYPERLINK("https://doi.org/10.1515/9781474494984")</f>
        <v>https://doi.org/10.1515/9781474494984</v>
      </c>
      <c r="AH3217" t="str">
        <f>HYPERLINK("http://www.degruyter.com/isbn/9781474494984")</f>
        <v>http://www.degruyter.com/isbn/9781474494984</v>
      </c>
      <c r="AI3217" t="s">
        <v>14704</v>
      </c>
      <c r="AL3217" t="s">
        <v>333</v>
      </c>
      <c r="AM3217">
        <v>1</v>
      </c>
      <c r="AN3217" s="2">
        <v>9781474464239</v>
      </c>
    </row>
    <row r="3218" spans="1:40" x14ac:dyDescent="0.3">
      <c r="A3218" t="s">
        <v>15157</v>
      </c>
      <c r="B3218" t="s">
        <v>1</v>
      </c>
      <c r="C3218" t="s">
        <v>15158</v>
      </c>
      <c r="E3218" t="s">
        <v>15159</v>
      </c>
      <c r="F3218" t="s">
        <v>5</v>
      </c>
      <c r="G3218" t="s">
        <v>6</v>
      </c>
      <c r="L3218" t="s">
        <v>7</v>
      </c>
      <c r="M3218">
        <v>2022</v>
      </c>
      <c r="N3218" s="1">
        <v>44672</v>
      </c>
      <c r="O3218" t="s">
        <v>15160</v>
      </c>
      <c r="P3218">
        <v>1</v>
      </c>
      <c r="Q3218" t="s">
        <v>10252</v>
      </c>
      <c r="S3218">
        <v>243.95</v>
      </c>
      <c r="T3218">
        <v>280</v>
      </c>
      <c r="U3218">
        <v>210</v>
      </c>
      <c r="V3218" t="s">
        <v>449</v>
      </c>
      <c r="W3218" t="s">
        <v>7401</v>
      </c>
      <c r="X3218" t="s">
        <v>7401</v>
      </c>
      <c r="Y3218" t="s">
        <v>7402</v>
      </c>
      <c r="AF3218" t="s">
        <v>13</v>
      </c>
      <c r="AG3218" t="str">
        <f>HYPERLINK("https://doi.org/10.1515/9781474461382")</f>
        <v>https://doi.org/10.1515/9781474461382</v>
      </c>
      <c r="AH3218" t="str">
        <f>HYPERLINK("http://www.degruyter.com/isbn/9781474461382")</f>
        <v>http://www.degruyter.com/isbn/9781474461382</v>
      </c>
      <c r="AI3218" t="s">
        <v>15161</v>
      </c>
      <c r="AL3218" t="s">
        <v>308</v>
      </c>
      <c r="AM3218">
        <v>1</v>
      </c>
      <c r="AN3218" s="2">
        <v>9781474459396</v>
      </c>
    </row>
    <row r="3219" spans="1:40" x14ac:dyDescent="0.3">
      <c r="A3219" t="s">
        <v>15162</v>
      </c>
      <c r="B3219" t="s">
        <v>1</v>
      </c>
      <c r="C3219" t="s">
        <v>15163</v>
      </c>
      <c r="D3219" t="s">
        <v>15164</v>
      </c>
      <c r="E3219" t="s">
        <v>15165</v>
      </c>
      <c r="F3219" t="s">
        <v>5</v>
      </c>
      <c r="G3219" t="s">
        <v>6</v>
      </c>
      <c r="L3219" t="s">
        <v>7</v>
      </c>
      <c r="M3219">
        <v>2022</v>
      </c>
      <c r="N3219" s="1">
        <v>44742</v>
      </c>
      <c r="O3219" t="s">
        <v>15166</v>
      </c>
      <c r="P3219">
        <v>1</v>
      </c>
      <c r="S3219">
        <v>217.95</v>
      </c>
      <c r="T3219">
        <v>250</v>
      </c>
      <c r="U3219">
        <v>190</v>
      </c>
      <c r="V3219" t="s">
        <v>42</v>
      </c>
      <c r="W3219" t="s">
        <v>107</v>
      </c>
      <c r="X3219" t="s">
        <v>108</v>
      </c>
      <c r="Y3219" t="s">
        <v>109</v>
      </c>
      <c r="AF3219" t="s">
        <v>13</v>
      </c>
      <c r="AG3219" t="str">
        <f>HYPERLINK("https://doi.org/10.1515/9781474493253")</f>
        <v>https://doi.org/10.1515/9781474493253</v>
      </c>
      <c r="AH3219" t="str">
        <f>HYPERLINK("http://www.degruyter.com/isbn/9781474493253")</f>
        <v>http://www.degruyter.com/isbn/9781474493253</v>
      </c>
      <c r="AI3219" t="s">
        <v>14638</v>
      </c>
      <c r="AL3219" t="s">
        <v>47</v>
      </c>
      <c r="AM3219">
        <v>1</v>
      </c>
      <c r="AN3219" s="2">
        <v>9781474493239</v>
      </c>
    </row>
    <row r="3220" spans="1:40" x14ac:dyDescent="0.3">
      <c r="A3220" t="s">
        <v>15167</v>
      </c>
      <c r="B3220" t="s">
        <v>1</v>
      </c>
      <c r="C3220" t="s">
        <v>15168</v>
      </c>
      <c r="E3220" t="s">
        <v>15169</v>
      </c>
      <c r="F3220" t="s">
        <v>5</v>
      </c>
      <c r="G3220" t="s">
        <v>6</v>
      </c>
      <c r="L3220" t="s">
        <v>7</v>
      </c>
      <c r="M3220">
        <v>2022</v>
      </c>
      <c r="N3220" s="1">
        <v>44721</v>
      </c>
      <c r="O3220" t="s">
        <v>15170</v>
      </c>
      <c r="P3220">
        <v>1</v>
      </c>
      <c r="S3220">
        <v>217.95</v>
      </c>
      <c r="T3220">
        <v>250</v>
      </c>
      <c r="U3220">
        <v>190</v>
      </c>
      <c r="V3220" t="s">
        <v>20</v>
      </c>
      <c r="W3220" t="s">
        <v>21</v>
      </c>
      <c r="X3220" t="s">
        <v>22</v>
      </c>
      <c r="Y3220" t="s">
        <v>23</v>
      </c>
      <c r="AF3220" t="s">
        <v>13</v>
      </c>
      <c r="AG3220" t="str">
        <f>HYPERLINK("https://doi.org/10.1515/9781399504126")</f>
        <v>https://doi.org/10.1515/9781399504126</v>
      </c>
      <c r="AH3220" t="str">
        <f>HYPERLINK("http://www.degruyter.com/isbn/9781399504126")</f>
        <v>http://www.degruyter.com/isbn/9781399504126</v>
      </c>
      <c r="AI3220" t="s">
        <v>14656</v>
      </c>
      <c r="AL3220" t="s">
        <v>15</v>
      </c>
      <c r="AM3220">
        <v>1</v>
      </c>
      <c r="AN3220" s="2">
        <v>9780748637867</v>
      </c>
    </row>
    <row r="3221" spans="1:40" x14ac:dyDescent="0.3">
      <c r="A3221" t="s">
        <v>15171</v>
      </c>
      <c r="B3221" t="s">
        <v>1</v>
      </c>
      <c r="C3221" t="s">
        <v>15172</v>
      </c>
      <c r="D3221" t="s">
        <v>15173</v>
      </c>
      <c r="E3221" t="s">
        <v>15174</v>
      </c>
      <c r="F3221" t="s">
        <v>5</v>
      </c>
      <c r="G3221" t="s">
        <v>6</v>
      </c>
      <c r="L3221" t="s">
        <v>7</v>
      </c>
      <c r="M3221">
        <v>2022</v>
      </c>
      <c r="N3221" s="1">
        <v>44742</v>
      </c>
      <c r="O3221" t="s">
        <v>15175</v>
      </c>
      <c r="P3221">
        <v>1</v>
      </c>
      <c r="S3221">
        <v>217.95</v>
      </c>
      <c r="T3221">
        <v>250</v>
      </c>
      <c r="U3221">
        <v>190</v>
      </c>
      <c r="V3221" t="s">
        <v>58</v>
      </c>
      <c r="W3221" t="s">
        <v>59</v>
      </c>
      <c r="X3221" t="s">
        <v>60</v>
      </c>
      <c r="Y3221" t="s">
        <v>13857</v>
      </c>
      <c r="AF3221" t="s">
        <v>13</v>
      </c>
      <c r="AG3221" t="str">
        <f>HYPERLINK("https://doi.org/10.1515/9781399502955")</f>
        <v>https://doi.org/10.1515/9781399502955</v>
      </c>
      <c r="AH3221" t="str">
        <f>HYPERLINK("http://www.degruyter.com/isbn/9781399502955")</f>
        <v>http://www.degruyter.com/isbn/9781399502955</v>
      </c>
      <c r="AI3221" t="s">
        <v>14853</v>
      </c>
      <c r="AL3221" t="s">
        <v>62</v>
      </c>
      <c r="AM3221">
        <v>1</v>
      </c>
      <c r="AN3221" s="2">
        <v>9781399502931</v>
      </c>
    </row>
    <row r="3222" spans="1:40" x14ac:dyDescent="0.3">
      <c r="A3222" t="s">
        <v>15176</v>
      </c>
      <c r="B3222" t="s">
        <v>1</v>
      </c>
      <c r="C3222" t="s">
        <v>15177</v>
      </c>
      <c r="D3222" t="s">
        <v>15178</v>
      </c>
      <c r="E3222" t="s">
        <v>15179</v>
      </c>
      <c r="F3222" t="s">
        <v>5</v>
      </c>
      <c r="G3222" t="s">
        <v>6</v>
      </c>
      <c r="L3222" t="s">
        <v>7</v>
      </c>
      <c r="M3222">
        <v>2022</v>
      </c>
      <c r="N3222" s="1">
        <v>44773</v>
      </c>
      <c r="O3222" t="s">
        <v>15180</v>
      </c>
      <c r="P3222">
        <v>1</v>
      </c>
      <c r="Q3222" t="s">
        <v>13391</v>
      </c>
      <c r="S3222">
        <v>217.95</v>
      </c>
      <c r="T3222">
        <v>250</v>
      </c>
      <c r="U3222">
        <v>190</v>
      </c>
      <c r="V3222" t="s">
        <v>42</v>
      </c>
      <c r="W3222" t="s">
        <v>290</v>
      </c>
      <c r="X3222" t="s">
        <v>290</v>
      </c>
      <c r="Y3222" t="s">
        <v>515</v>
      </c>
      <c r="AF3222" t="s">
        <v>13</v>
      </c>
      <c r="AG3222" t="str">
        <f>HYPERLINK("https://doi.org/10.1515/9781474493215")</f>
        <v>https://doi.org/10.1515/9781474493215</v>
      </c>
      <c r="AH3222" t="str">
        <f>HYPERLINK("http://www.degruyter.com/isbn/9781474493215")</f>
        <v>http://www.degruyter.com/isbn/9781474493215</v>
      </c>
      <c r="AI3222" t="s">
        <v>14638</v>
      </c>
      <c r="AL3222" t="s">
        <v>47</v>
      </c>
      <c r="AM3222">
        <v>1</v>
      </c>
      <c r="AN3222" s="2">
        <v>9781474493192</v>
      </c>
    </row>
    <row r="3223" spans="1:40" x14ac:dyDescent="0.3">
      <c r="A3223" t="s">
        <v>15181</v>
      </c>
      <c r="B3223" t="s">
        <v>1</v>
      </c>
      <c r="C3223" t="s">
        <v>15182</v>
      </c>
      <c r="D3223" t="s">
        <v>15183</v>
      </c>
      <c r="E3223" t="s">
        <v>15184</v>
      </c>
      <c r="F3223" t="s">
        <v>5</v>
      </c>
      <c r="G3223" t="s">
        <v>6</v>
      </c>
      <c r="L3223" t="s">
        <v>7</v>
      </c>
      <c r="M3223">
        <v>2022</v>
      </c>
      <c r="N3223" s="1">
        <v>44773</v>
      </c>
      <c r="O3223" t="s">
        <v>15185</v>
      </c>
      <c r="P3223">
        <v>1</v>
      </c>
      <c r="S3223">
        <v>217.95</v>
      </c>
      <c r="T3223">
        <v>250</v>
      </c>
      <c r="U3223">
        <v>190</v>
      </c>
      <c r="V3223" t="s">
        <v>42</v>
      </c>
      <c r="W3223" t="s">
        <v>290</v>
      </c>
      <c r="X3223" t="s">
        <v>290</v>
      </c>
      <c r="Y3223" t="s">
        <v>515</v>
      </c>
      <c r="AF3223" t="s">
        <v>13</v>
      </c>
      <c r="AG3223" t="str">
        <f>HYPERLINK("https://doi.org/10.1515/9781474485647")</f>
        <v>https://doi.org/10.1515/9781474485647</v>
      </c>
      <c r="AH3223" t="str">
        <f>HYPERLINK("http://www.degruyter.com/isbn/9781474485647")</f>
        <v>http://www.degruyter.com/isbn/9781474485647</v>
      </c>
      <c r="AI3223" t="s">
        <v>14638</v>
      </c>
      <c r="AL3223" t="s">
        <v>47</v>
      </c>
      <c r="AM3223">
        <v>1</v>
      </c>
      <c r="AN3223" s="2">
        <v>9781474485623</v>
      </c>
    </row>
    <row r="3224" spans="1:40" x14ac:dyDescent="0.3">
      <c r="A3224" t="s">
        <v>15186</v>
      </c>
      <c r="B3224" t="s">
        <v>1</v>
      </c>
      <c r="C3224" t="s">
        <v>15187</v>
      </c>
      <c r="D3224" t="s">
        <v>15188</v>
      </c>
      <c r="E3224" t="s">
        <v>15189</v>
      </c>
      <c r="F3224" t="s">
        <v>5</v>
      </c>
      <c r="G3224" t="s">
        <v>6</v>
      </c>
      <c r="L3224" t="s">
        <v>7</v>
      </c>
      <c r="M3224">
        <v>2022</v>
      </c>
      <c r="N3224" s="1">
        <v>44672</v>
      </c>
      <c r="O3224" t="s">
        <v>15190</v>
      </c>
      <c r="P3224">
        <v>1</v>
      </c>
      <c r="Q3224" t="s">
        <v>6785</v>
      </c>
      <c r="S3224">
        <v>217.95</v>
      </c>
      <c r="T3224">
        <v>250</v>
      </c>
      <c r="U3224">
        <v>190</v>
      </c>
      <c r="V3224" t="s">
        <v>58</v>
      </c>
      <c r="W3224" t="s">
        <v>59</v>
      </c>
      <c r="X3224" t="s">
        <v>60</v>
      </c>
      <c r="Y3224" t="s">
        <v>15191</v>
      </c>
      <c r="AF3224" t="s">
        <v>13</v>
      </c>
      <c r="AG3224" t="str">
        <f>HYPERLINK("https://doi.org/10.1515/9781474491563")</f>
        <v>https://doi.org/10.1515/9781474491563</v>
      </c>
      <c r="AH3224" t="str">
        <f>HYPERLINK("http://www.degruyter.com/isbn/9781474491563")</f>
        <v>http://www.degruyter.com/isbn/9781474491563</v>
      </c>
      <c r="AI3224" t="s">
        <v>14853</v>
      </c>
      <c r="AL3224" t="s">
        <v>62</v>
      </c>
      <c r="AM3224">
        <v>1</v>
      </c>
      <c r="AN3224" s="2">
        <v>9781474491549</v>
      </c>
    </row>
    <row r="3225" spans="1:40" x14ac:dyDescent="0.3">
      <c r="A3225" t="s">
        <v>15192</v>
      </c>
      <c r="B3225" t="s">
        <v>1</v>
      </c>
      <c r="C3225" t="s">
        <v>15193</v>
      </c>
      <c r="E3225" t="s">
        <v>15194</v>
      </c>
      <c r="F3225" t="s">
        <v>5</v>
      </c>
      <c r="G3225" t="s">
        <v>6</v>
      </c>
      <c r="L3225" t="s">
        <v>7</v>
      </c>
      <c r="M3225">
        <v>2022</v>
      </c>
      <c r="N3225" s="1">
        <v>44677</v>
      </c>
      <c r="O3225" t="s">
        <v>15195</v>
      </c>
      <c r="P3225">
        <v>1</v>
      </c>
      <c r="S3225">
        <v>217.95</v>
      </c>
      <c r="T3225">
        <v>250</v>
      </c>
      <c r="U3225">
        <v>190</v>
      </c>
      <c r="V3225" t="s">
        <v>20</v>
      </c>
      <c r="W3225" t="s">
        <v>21</v>
      </c>
      <c r="X3225" t="s">
        <v>458</v>
      </c>
      <c r="Y3225" t="s">
        <v>5235</v>
      </c>
      <c r="AF3225" t="s">
        <v>13</v>
      </c>
      <c r="AG3225" t="str">
        <f>HYPERLINK("https://doi.org/10.1515/9781474488181")</f>
        <v>https://doi.org/10.1515/9781474488181</v>
      </c>
      <c r="AH3225" t="str">
        <f>HYPERLINK("http://www.degruyter.com/isbn/9781474488181")</f>
        <v>http://www.degruyter.com/isbn/9781474488181</v>
      </c>
      <c r="AI3225" t="s">
        <v>14656</v>
      </c>
      <c r="AL3225" t="s">
        <v>15</v>
      </c>
      <c r="AM3225">
        <v>1</v>
      </c>
      <c r="AN3225" s="2">
        <v>9781474488167</v>
      </c>
    </row>
    <row r="3226" spans="1:40" x14ac:dyDescent="0.3">
      <c r="A3226" t="s">
        <v>15196</v>
      </c>
      <c r="B3226" t="s">
        <v>1</v>
      </c>
      <c r="C3226" t="s">
        <v>15197</v>
      </c>
      <c r="D3226" t="s">
        <v>15198</v>
      </c>
      <c r="E3226" t="s">
        <v>15199</v>
      </c>
      <c r="F3226" t="s">
        <v>5</v>
      </c>
      <c r="G3226" t="s">
        <v>6</v>
      </c>
      <c r="L3226" t="s">
        <v>7</v>
      </c>
      <c r="M3226">
        <v>2022</v>
      </c>
      <c r="N3226" s="1">
        <v>44742</v>
      </c>
      <c r="O3226" t="s">
        <v>15200</v>
      </c>
      <c r="P3226">
        <v>1</v>
      </c>
      <c r="S3226">
        <v>217.95</v>
      </c>
      <c r="T3226">
        <v>250</v>
      </c>
      <c r="U3226">
        <v>190</v>
      </c>
      <c r="V3226" t="s">
        <v>42</v>
      </c>
      <c r="W3226" t="s">
        <v>107</v>
      </c>
      <c r="X3226" t="s">
        <v>108</v>
      </c>
      <c r="Y3226" t="s">
        <v>221</v>
      </c>
      <c r="AF3226" t="s">
        <v>13</v>
      </c>
      <c r="AG3226" t="str">
        <f>HYPERLINK("https://doi.org/10.1515/9781474425377")</f>
        <v>https://doi.org/10.1515/9781474425377</v>
      </c>
      <c r="AH3226" t="str">
        <f>HYPERLINK("http://www.degruyter.com/isbn/9781474425377")</f>
        <v>http://www.degruyter.com/isbn/9781474425377</v>
      </c>
      <c r="AI3226" t="s">
        <v>14638</v>
      </c>
      <c r="AL3226" t="s">
        <v>47</v>
      </c>
      <c r="AM3226">
        <v>1</v>
      </c>
      <c r="AN3226" s="2">
        <v>9781474425353</v>
      </c>
    </row>
    <row r="3227" spans="1:40" x14ac:dyDescent="0.3">
      <c r="A3227" t="s">
        <v>15201</v>
      </c>
      <c r="B3227" t="s">
        <v>1</v>
      </c>
      <c r="C3227" t="s">
        <v>15202</v>
      </c>
      <c r="D3227" t="s">
        <v>15203</v>
      </c>
      <c r="E3227" t="s">
        <v>15204</v>
      </c>
      <c r="F3227" t="s">
        <v>5</v>
      </c>
      <c r="G3227" t="s">
        <v>6</v>
      </c>
      <c r="K3227" t="s">
        <v>15205</v>
      </c>
      <c r="L3227" t="s">
        <v>7</v>
      </c>
      <c r="M3227">
        <v>2022</v>
      </c>
      <c r="N3227" s="1">
        <v>44707</v>
      </c>
      <c r="O3227" t="s">
        <v>15206</v>
      </c>
      <c r="P3227">
        <v>1</v>
      </c>
      <c r="V3227" t="s">
        <v>58</v>
      </c>
      <c r="W3227" t="s">
        <v>59</v>
      </c>
      <c r="X3227" t="s">
        <v>15207</v>
      </c>
      <c r="Y3227" t="s">
        <v>15208</v>
      </c>
      <c r="AF3227" t="s">
        <v>13</v>
      </c>
      <c r="AG3227" t="str">
        <f>HYPERLINK("https://doi.org/10.1515/9781474499484")</f>
        <v>https://doi.org/10.1515/9781474499484</v>
      </c>
      <c r="AH3227" t="str">
        <f>HYPERLINK("http://www.degruyter.com/isbn/9781474499484")</f>
        <v>http://www.degruyter.com/isbn/9781474499484</v>
      </c>
      <c r="AI3227" t="s">
        <v>14853</v>
      </c>
      <c r="AM3227">
        <v>1</v>
      </c>
      <c r="AN3227" s="2"/>
    </row>
    <row r="3228" spans="1:40" x14ac:dyDescent="0.3">
      <c r="A3228" t="s">
        <v>15209</v>
      </c>
      <c r="B3228" t="s">
        <v>1</v>
      </c>
      <c r="C3228" t="s">
        <v>15210</v>
      </c>
      <c r="E3228" t="s">
        <v>15211</v>
      </c>
      <c r="F3228" t="s">
        <v>5</v>
      </c>
      <c r="G3228" t="s">
        <v>6</v>
      </c>
      <c r="L3228" t="s">
        <v>7</v>
      </c>
      <c r="M3228">
        <v>2022</v>
      </c>
      <c r="N3228" s="1">
        <v>44804</v>
      </c>
      <c r="O3228" t="s">
        <v>15212</v>
      </c>
      <c r="P3228">
        <v>1</v>
      </c>
      <c r="S3228">
        <v>217.95</v>
      </c>
      <c r="T3228">
        <v>250</v>
      </c>
      <c r="U3228">
        <v>190</v>
      </c>
      <c r="V3228" t="s">
        <v>20</v>
      </c>
      <c r="W3228" t="s">
        <v>556</v>
      </c>
      <c r="X3228" t="s">
        <v>902</v>
      </c>
      <c r="Y3228" t="s">
        <v>903</v>
      </c>
      <c r="AF3228" t="s">
        <v>13</v>
      </c>
      <c r="AG3228" t="str">
        <f>HYPERLINK("https://doi.org/10.1515/9781474499750")</f>
        <v>https://doi.org/10.1515/9781474499750</v>
      </c>
      <c r="AH3228" t="str">
        <f>HYPERLINK("http://www.degruyter.com/isbn/9781474499750")</f>
        <v>http://www.degruyter.com/isbn/9781474499750</v>
      </c>
      <c r="AI3228" t="s">
        <v>14656</v>
      </c>
      <c r="AL3228" t="s">
        <v>15</v>
      </c>
      <c r="AM3228">
        <v>1</v>
      </c>
      <c r="AN3228" s="2">
        <v>9781474499736</v>
      </c>
    </row>
    <row r="3229" spans="1:40" x14ac:dyDescent="0.3">
      <c r="A3229" t="s">
        <v>15213</v>
      </c>
      <c r="B3229" t="s">
        <v>1</v>
      </c>
      <c r="C3229" t="s">
        <v>15214</v>
      </c>
      <c r="E3229" t="s">
        <v>15215</v>
      </c>
      <c r="F3229" t="s">
        <v>5</v>
      </c>
      <c r="G3229" t="s">
        <v>6</v>
      </c>
      <c r="K3229" t="s">
        <v>15205</v>
      </c>
      <c r="L3229" t="s">
        <v>7</v>
      </c>
      <c r="M3229">
        <v>2022</v>
      </c>
      <c r="N3229" s="1">
        <v>44797</v>
      </c>
      <c r="O3229" t="s">
        <v>15216</v>
      </c>
      <c r="P3229">
        <v>1</v>
      </c>
      <c r="Q3229" t="s">
        <v>7362</v>
      </c>
      <c r="V3229" t="s">
        <v>58</v>
      </c>
      <c r="W3229" t="s">
        <v>59</v>
      </c>
      <c r="X3229" t="s">
        <v>60</v>
      </c>
      <c r="Y3229" t="s">
        <v>15217</v>
      </c>
      <c r="AF3229" t="s">
        <v>13</v>
      </c>
      <c r="AG3229" t="str">
        <f>HYPERLINK("https://doi.org/10.1515/9781474492973")</f>
        <v>https://doi.org/10.1515/9781474492973</v>
      </c>
      <c r="AH3229" t="str">
        <f>HYPERLINK("http://www.degruyter.com/isbn/9781474492973")</f>
        <v>http://www.degruyter.com/isbn/9781474492973</v>
      </c>
      <c r="AI3229" t="s">
        <v>14853</v>
      </c>
      <c r="AM3229">
        <v>1</v>
      </c>
      <c r="AN3229" s="2"/>
    </row>
    <row r="3230" spans="1:40" x14ac:dyDescent="0.3">
      <c r="A3230" t="s">
        <v>15218</v>
      </c>
      <c r="B3230" t="s">
        <v>1</v>
      </c>
      <c r="C3230" t="s">
        <v>15219</v>
      </c>
      <c r="D3230" t="s">
        <v>15220</v>
      </c>
      <c r="E3230" t="s">
        <v>15221</v>
      </c>
      <c r="F3230" t="s">
        <v>5</v>
      </c>
      <c r="G3230" t="s">
        <v>6</v>
      </c>
      <c r="L3230" t="s">
        <v>7</v>
      </c>
      <c r="M3230">
        <v>2022</v>
      </c>
      <c r="N3230" s="1">
        <v>44672</v>
      </c>
      <c r="O3230" t="s">
        <v>15222</v>
      </c>
      <c r="P3230">
        <v>1</v>
      </c>
      <c r="S3230">
        <v>217.95</v>
      </c>
      <c r="T3230">
        <v>250</v>
      </c>
      <c r="U3230">
        <v>190</v>
      </c>
      <c r="V3230" t="s">
        <v>42</v>
      </c>
      <c r="W3230" t="s">
        <v>107</v>
      </c>
      <c r="X3230" t="s">
        <v>108</v>
      </c>
      <c r="Y3230" t="s">
        <v>109</v>
      </c>
      <c r="AF3230" t="s">
        <v>13</v>
      </c>
      <c r="AG3230" t="str">
        <f>HYPERLINK("https://doi.org/10.1515/9781474498289")</f>
        <v>https://doi.org/10.1515/9781474498289</v>
      </c>
      <c r="AH3230" t="str">
        <f>HYPERLINK("http://www.degruyter.com/isbn/9781474498289")</f>
        <v>http://www.degruyter.com/isbn/9781474498289</v>
      </c>
      <c r="AI3230" t="s">
        <v>14638</v>
      </c>
      <c r="AL3230" t="s">
        <v>47</v>
      </c>
      <c r="AM3230">
        <v>1</v>
      </c>
      <c r="AN3230" s="2">
        <v>9781474498265</v>
      </c>
    </row>
    <row r="3231" spans="1:40" x14ac:dyDescent="0.3">
      <c r="A3231" t="s">
        <v>15223</v>
      </c>
      <c r="B3231" t="s">
        <v>1</v>
      </c>
      <c r="C3231" t="s">
        <v>15224</v>
      </c>
      <c r="D3231" t="s">
        <v>15225</v>
      </c>
      <c r="E3231" t="s">
        <v>15226</v>
      </c>
      <c r="F3231" t="s">
        <v>5</v>
      </c>
      <c r="G3231" t="s">
        <v>6</v>
      </c>
      <c r="K3231" t="s">
        <v>15205</v>
      </c>
      <c r="L3231" t="s">
        <v>7</v>
      </c>
      <c r="M3231">
        <v>2022</v>
      </c>
      <c r="N3231" s="1">
        <v>44783</v>
      </c>
      <c r="O3231" t="s">
        <v>15227</v>
      </c>
      <c r="P3231">
        <v>1</v>
      </c>
      <c r="V3231" t="s">
        <v>20</v>
      </c>
      <c r="W3231" t="s">
        <v>21</v>
      </c>
      <c r="X3231" t="s">
        <v>839</v>
      </c>
      <c r="Y3231" t="s">
        <v>1475</v>
      </c>
      <c r="AF3231" t="s">
        <v>13</v>
      </c>
      <c r="AG3231" t="str">
        <f>HYPERLINK("https://doi.org/10.1515/9781474479585")</f>
        <v>https://doi.org/10.1515/9781474479585</v>
      </c>
      <c r="AH3231" t="str">
        <f>HYPERLINK("http://www.degruyter.com/isbn/9781474479585")</f>
        <v>http://www.degruyter.com/isbn/9781474479585</v>
      </c>
      <c r="AI3231" t="s">
        <v>14656</v>
      </c>
      <c r="AM3231">
        <v>1</v>
      </c>
      <c r="AN3231" s="2"/>
    </row>
    <row r="3232" spans="1:40" x14ac:dyDescent="0.3">
      <c r="A3232" t="s">
        <v>15228</v>
      </c>
      <c r="B3232" t="s">
        <v>1</v>
      </c>
      <c r="C3232" t="s">
        <v>15229</v>
      </c>
      <c r="E3232" t="s">
        <v>15230</v>
      </c>
      <c r="F3232" t="s">
        <v>5</v>
      </c>
      <c r="G3232" t="s">
        <v>6</v>
      </c>
      <c r="L3232" t="s">
        <v>7</v>
      </c>
      <c r="M3232">
        <v>2022</v>
      </c>
      <c r="N3232" s="1">
        <v>44903</v>
      </c>
      <c r="O3232" t="s">
        <v>15231</v>
      </c>
      <c r="P3232">
        <v>1</v>
      </c>
      <c r="Q3232" t="s">
        <v>13309</v>
      </c>
      <c r="S3232">
        <v>380.95</v>
      </c>
      <c r="T3232">
        <v>430</v>
      </c>
      <c r="U3232">
        <v>330</v>
      </c>
      <c r="V3232" t="s">
        <v>42</v>
      </c>
      <c r="W3232" t="s">
        <v>107</v>
      </c>
      <c r="X3232" t="s">
        <v>108</v>
      </c>
      <c r="Y3232" t="s">
        <v>109</v>
      </c>
      <c r="AF3232" t="s">
        <v>13</v>
      </c>
      <c r="AH3232" t="str">
        <f>HYPERLINK("http://www.degruyter.com/isbn/9781474460552")</f>
        <v>http://www.degruyter.com/isbn/9781474460552</v>
      </c>
      <c r="AI3232" t="s">
        <v>14638</v>
      </c>
      <c r="AL3232" t="s">
        <v>47</v>
      </c>
      <c r="AM3232">
        <v>1</v>
      </c>
      <c r="AN3232" s="2">
        <v>9781474460545</v>
      </c>
    </row>
    <row r="3233" spans="1:40" x14ac:dyDescent="0.3">
      <c r="A3233" t="s">
        <v>15232</v>
      </c>
      <c r="B3233" t="s">
        <v>1</v>
      </c>
      <c r="C3233" t="s">
        <v>15233</v>
      </c>
      <c r="D3233" t="s">
        <v>15234</v>
      </c>
      <c r="E3233" t="s">
        <v>15235</v>
      </c>
      <c r="F3233" t="s">
        <v>5</v>
      </c>
      <c r="G3233" t="s">
        <v>6</v>
      </c>
      <c r="L3233" t="s">
        <v>7</v>
      </c>
      <c r="M3233">
        <v>2022</v>
      </c>
      <c r="N3233" s="1">
        <v>44672</v>
      </c>
      <c r="O3233" t="s">
        <v>15236</v>
      </c>
      <c r="P3233">
        <v>1</v>
      </c>
      <c r="Q3233" t="s">
        <v>6876</v>
      </c>
      <c r="S3233">
        <v>217.95</v>
      </c>
      <c r="T3233">
        <v>250</v>
      </c>
      <c r="U3233">
        <v>190</v>
      </c>
      <c r="V3233" t="s">
        <v>20</v>
      </c>
      <c r="W3233" t="s">
        <v>21</v>
      </c>
      <c r="X3233" t="s">
        <v>458</v>
      </c>
      <c r="Y3233" t="s">
        <v>459</v>
      </c>
      <c r="AF3233" t="s">
        <v>13</v>
      </c>
      <c r="AG3233" t="str">
        <f>HYPERLINK("https://doi.org/10.1515/9781474499286")</f>
        <v>https://doi.org/10.1515/9781474499286</v>
      </c>
      <c r="AH3233" t="str">
        <f>HYPERLINK("http://www.degruyter.com/isbn/9781474499286")</f>
        <v>http://www.degruyter.com/isbn/9781474499286</v>
      </c>
      <c r="AI3233" t="s">
        <v>14656</v>
      </c>
      <c r="AL3233" t="s">
        <v>15</v>
      </c>
      <c r="AM3233">
        <v>1</v>
      </c>
      <c r="AN3233" s="2">
        <v>9781474499262</v>
      </c>
    </row>
    <row r="3234" spans="1:40" x14ac:dyDescent="0.3">
      <c r="A3234" t="s">
        <v>15237</v>
      </c>
      <c r="B3234" t="s">
        <v>1</v>
      </c>
      <c r="C3234" t="s">
        <v>15238</v>
      </c>
      <c r="D3234" t="s">
        <v>15239</v>
      </c>
      <c r="E3234" t="s">
        <v>15240</v>
      </c>
      <c r="F3234" t="s">
        <v>5</v>
      </c>
      <c r="G3234" t="s">
        <v>6</v>
      </c>
      <c r="L3234" t="s">
        <v>7</v>
      </c>
      <c r="M3234">
        <v>2022</v>
      </c>
      <c r="N3234" s="1">
        <v>44690</v>
      </c>
      <c r="O3234" t="s">
        <v>12677</v>
      </c>
      <c r="P3234">
        <v>1</v>
      </c>
      <c r="S3234">
        <v>217.95</v>
      </c>
      <c r="T3234">
        <v>250</v>
      </c>
      <c r="U3234">
        <v>190</v>
      </c>
      <c r="V3234" t="s">
        <v>79</v>
      </c>
      <c r="W3234" t="s">
        <v>734</v>
      </c>
      <c r="X3234" t="s">
        <v>734</v>
      </c>
      <c r="Y3234" t="s">
        <v>735</v>
      </c>
      <c r="AF3234" t="s">
        <v>13</v>
      </c>
      <c r="AG3234" t="str">
        <f>HYPERLINK("https://doi.org/10.1515/9781474489348")</f>
        <v>https://doi.org/10.1515/9781474489348</v>
      </c>
      <c r="AH3234" t="str">
        <f>HYPERLINK("http://www.degruyter.com/isbn/9781474489348")</f>
        <v>http://www.degruyter.com/isbn/9781474489348</v>
      </c>
      <c r="AI3234" t="s">
        <v>15241</v>
      </c>
      <c r="AL3234" t="s">
        <v>83</v>
      </c>
      <c r="AM3234">
        <v>1</v>
      </c>
      <c r="AN3234" s="2">
        <v>9781474489324</v>
      </c>
    </row>
    <row r="3235" spans="1:40" x14ac:dyDescent="0.3">
      <c r="A3235" t="s">
        <v>15242</v>
      </c>
      <c r="B3235" t="s">
        <v>1</v>
      </c>
      <c r="C3235" t="s">
        <v>15243</v>
      </c>
      <c r="E3235" t="s">
        <v>15244</v>
      </c>
      <c r="F3235" t="s">
        <v>5</v>
      </c>
      <c r="G3235" t="s">
        <v>6</v>
      </c>
      <c r="L3235" t="s">
        <v>7</v>
      </c>
      <c r="M3235">
        <v>2022</v>
      </c>
      <c r="N3235" s="1">
        <v>44894</v>
      </c>
      <c r="O3235" t="s">
        <v>15245</v>
      </c>
      <c r="P3235">
        <v>1</v>
      </c>
      <c r="Q3235" t="s">
        <v>13309</v>
      </c>
      <c r="S3235">
        <v>295.95</v>
      </c>
      <c r="T3235">
        <v>340</v>
      </c>
      <c r="U3235">
        <v>260</v>
      </c>
      <c r="V3235" t="s">
        <v>42</v>
      </c>
      <c r="W3235" t="s">
        <v>290</v>
      </c>
      <c r="X3235" t="s">
        <v>290</v>
      </c>
      <c r="Y3235" t="s">
        <v>515</v>
      </c>
      <c r="AF3235" t="s">
        <v>13</v>
      </c>
      <c r="AG3235" t="str">
        <f>HYPERLINK("https://doi.org/10.1515/9781474493321")</f>
        <v>https://doi.org/10.1515/9781474493321</v>
      </c>
      <c r="AH3235" t="str">
        <f>HYPERLINK("http://www.degruyter.com/isbn/9781474493321")</f>
        <v>http://www.degruyter.com/isbn/9781474493321</v>
      </c>
      <c r="AI3235" t="s">
        <v>14638</v>
      </c>
      <c r="AL3235" t="s">
        <v>47</v>
      </c>
      <c r="AM3235">
        <v>1</v>
      </c>
      <c r="AN3235" s="2">
        <v>9781474493314</v>
      </c>
    </row>
    <row r="3236" spans="1:40" x14ac:dyDescent="0.3">
      <c r="A3236" t="s">
        <v>15246</v>
      </c>
      <c r="B3236" t="s">
        <v>1</v>
      </c>
      <c r="C3236" t="s">
        <v>15247</v>
      </c>
      <c r="D3236" t="s">
        <v>15248</v>
      </c>
      <c r="E3236" t="s">
        <v>15249</v>
      </c>
      <c r="F3236" t="s">
        <v>5</v>
      </c>
      <c r="G3236" t="s">
        <v>6</v>
      </c>
      <c r="L3236" t="s">
        <v>7</v>
      </c>
      <c r="M3236">
        <v>2022</v>
      </c>
      <c r="N3236" s="1">
        <v>44894</v>
      </c>
      <c r="O3236" t="s">
        <v>15250</v>
      </c>
      <c r="P3236">
        <v>1</v>
      </c>
      <c r="Q3236" t="s">
        <v>13460</v>
      </c>
      <c r="S3236">
        <v>217.95</v>
      </c>
      <c r="T3236">
        <v>250</v>
      </c>
      <c r="U3236">
        <v>190</v>
      </c>
      <c r="V3236" t="s">
        <v>847</v>
      </c>
      <c r="W3236" t="s">
        <v>848</v>
      </c>
      <c r="X3236" t="s">
        <v>20</v>
      </c>
      <c r="Y3236" t="s">
        <v>2273</v>
      </c>
      <c r="AF3236" t="s">
        <v>13</v>
      </c>
      <c r="AG3236" t="str">
        <f>HYPERLINK("https://doi.org/10.1515/9781474499361")</f>
        <v>https://doi.org/10.1515/9781474499361</v>
      </c>
      <c r="AH3236" t="str">
        <f>HYPERLINK("http://www.degruyter.com/isbn/9781474499361")</f>
        <v>http://www.degruyter.com/isbn/9781474499361</v>
      </c>
      <c r="AI3236" t="s">
        <v>15251</v>
      </c>
      <c r="AL3236" t="s">
        <v>1070</v>
      </c>
      <c r="AM3236">
        <v>1</v>
      </c>
      <c r="AN3236" s="2">
        <v>9781474499347</v>
      </c>
    </row>
    <row r="3237" spans="1:40" x14ac:dyDescent="0.3">
      <c r="A3237" t="s">
        <v>15252</v>
      </c>
      <c r="B3237" t="s">
        <v>1</v>
      </c>
      <c r="C3237" t="s">
        <v>15253</v>
      </c>
      <c r="D3237" t="s">
        <v>15254</v>
      </c>
      <c r="E3237" t="s">
        <v>15255</v>
      </c>
      <c r="F3237" t="s">
        <v>5</v>
      </c>
      <c r="G3237" t="s">
        <v>6</v>
      </c>
      <c r="L3237" t="s">
        <v>7</v>
      </c>
      <c r="M3237">
        <v>2022</v>
      </c>
      <c r="N3237" s="1">
        <v>44773</v>
      </c>
      <c r="O3237" t="s">
        <v>15256</v>
      </c>
      <c r="P3237">
        <v>1</v>
      </c>
      <c r="Q3237" t="s">
        <v>7086</v>
      </c>
      <c r="S3237">
        <v>217.95</v>
      </c>
      <c r="T3237">
        <v>250</v>
      </c>
      <c r="U3237">
        <v>190</v>
      </c>
      <c r="V3237" t="s">
        <v>20</v>
      </c>
      <c r="W3237" t="s">
        <v>21</v>
      </c>
      <c r="X3237" t="s">
        <v>458</v>
      </c>
      <c r="Y3237" t="s">
        <v>459</v>
      </c>
      <c r="AF3237" t="s">
        <v>13</v>
      </c>
      <c r="AG3237" t="str">
        <f>HYPERLINK("https://doi.org/10.1515/9781474498715")</f>
        <v>https://doi.org/10.1515/9781474498715</v>
      </c>
      <c r="AH3237" t="str">
        <f>HYPERLINK("http://www.degruyter.com/isbn/9781474498715")</f>
        <v>http://www.degruyter.com/isbn/9781474498715</v>
      </c>
      <c r="AI3237" t="s">
        <v>14656</v>
      </c>
      <c r="AL3237" t="s">
        <v>15</v>
      </c>
      <c r="AM3237">
        <v>1</v>
      </c>
      <c r="AN3237" s="2">
        <v>9781474498692</v>
      </c>
    </row>
    <row r="3238" spans="1:40" x14ac:dyDescent="0.3">
      <c r="A3238" t="s">
        <v>15257</v>
      </c>
      <c r="B3238" t="s">
        <v>1</v>
      </c>
      <c r="C3238" t="s">
        <v>15258</v>
      </c>
      <c r="D3238" t="s">
        <v>15259</v>
      </c>
      <c r="E3238" t="s">
        <v>15260</v>
      </c>
      <c r="F3238" t="s">
        <v>5</v>
      </c>
      <c r="G3238" t="s">
        <v>6</v>
      </c>
      <c r="L3238" t="s">
        <v>7</v>
      </c>
      <c r="M3238">
        <v>2022</v>
      </c>
      <c r="N3238" s="1">
        <v>44690</v>
      </c>
      <c r="O3238" t="s">
        <v>15261</v>
      </c>
      <c r="P3238">
        <v>1</v>
      </c>
      <c r="S3238">
        <v>243.95</v>
      </c>
      <c r="T3238">
        <v>280</v>
      </c>
      <c r="U3238">
        <v>210</v>
      </c>
      <c r="V3238" t="s">
        <v>79</v>
      </c>
      <c r="W3238" t="s">
        <v>123</v>
      </c>
      <c r="X3238" t="s">
        <v>123</v>
      </c>
      <c r="Y3238" t="s">
        <v>124</v>
      </c>
      <c r="AF3238" t="s">
        <v>13</v>
      </c>
      <c r="AG3238" t="str">
        <f>HYPERLINK("https://doi.org/10.1515/9781474486750")</f>
        <v>https://doi.org/10.1515/9781474486750</v>
      </c>
      <c r="AH3238" t="str">
        <f>HYPERLINK("http://www.degruyter.com/isbn/9781474486750")</f>
        <v>http://www.degruyter.com/isbn/9781474486750</v>
      </c>
      <c r="AI3238" t="s">
        <v>14633</v>
      </c>
      <c r="AL3238" t="s">
        <v>83</v>
      </c>
      <c r="AM3238">
        <v>1</v>
      </c>
      <c r="AN3238" s="2">
        <v>9781474486736</v>
      </c>
    </row>
    <row r="3239" spans="1:40" x14ac:dyDescent="0.3">
      <c r="A3239" t="s">
        <v>15262</v>
      </c>
      <c r="B3239" t="s">
        <v>1</v>
      </c>
      <c r="C3239" t="s">
        <v>15263</v>
      </c>
      <c r="E3239" t="s">
        <v>15264</v>
      </c>
      <c r="F3239" t="s">
        <v>5</v>
      </c>
      <c r="G3239" t="s">
        <v>6</v>
      </c>
      <c r="L3239" t="s">
        <v>7</v>
      </c>
      <c r="M3239">
        <v>2022</v>
      </c>
      <c r="N3239" s="1">
        <v>44672</v>
      </c>
      <c r="O3239" t="s">
        <v>15265</v>
      </c>
      <c r="P3239">
        <v>1</v>
      </c>
      <c r="Q3239" t="s">
        <v>7158</v>
      </c>
      <c r="S3239">
        <v>227.95</v>
      </c>
      <c r="T3239">
        <v>260</v>
      </c>
      <c r="U3239">
        <v>200</v>
      </c>
      <c r="V3239" t="s">
        <v>20</v>
      </c>
      <c r="W3239" t="s">
        <v>21</v>
      </c>
      <c r="X3239" t="s">
        <v>22</v>
      </c>
      <c r="Y3239" t="s">
        <v>23</v>
      </c>
      <c r="AF3239" t="s">
        <v>13</v>
      </c>
      <c r="AG3239" t="str">
        <f>HYPERLINK("https://doi.org/10.1515/9781474487702")</f>
        <v>https://doi.org/10.1515/9781474487702</v>
      </c>
      <c r="AH3239" t="str">
        <f>HYPERLINK("http://www.degruyter.com/isbn/9781474487702")</f>
        <v>http://www.degruyter.com/isbn/9781474487702</v>
      </c>
      <c r="AI3239" t="s">
        <v>14656</v>
      </c>
      <c r="AL3239" t="s">
        <v>15</v>
      </c>
      <c r="AM3239">
        <v>1</v>
      </c>
      <c r="AN3239" s="2">
        <v>9781474487689</v>
      </c>
    </row>
    <row r="3240" spans="1:40" x14ac:dyDescent="0.3">
      <c r="A3240" t="s">
        <v>15266</v>
      </c>
      <c r="B3240" t="s">
        <v>1</v>
      </c>
      <c r="C3240" t="s">
        <v>15267</v>
      </c>
      <c r="D3240" t="s">
        <v>5690</v>
      </c>
      <c r="E3240" t="s">
        <v>15268</v>
      </c>
      <c r="F3240" t="s">
        <v>5</v>
      </c>
      <c r="G3240" t="s">
        <v>6</v>
      </c>
      <c r="L3240" t="s">
        <v>7</v>
      </c>
      <c r="M3240">
        <v>2022</v>
      </c>
      <c r="N3240" s="1">
        <v>44729</v>
      </c>
      <c r="O3240" t="s">
        <v>15269</v>
      </c>
      <c r="P3240">
        <v>1</v>
      </c>
      <c r="Q3240" t="s">
        <v>5693</v>
      </c>
      <c r="S3240">
        <v>243.95</v>
      </c>
      <c r="T3240">
        <v>280</v>
      </c>
      <c r="U3240">
        <v>210</v>
      </c>
      <c r="V3240" t="s">
        <v>42</v>
      </c>
      <c r="W3240" t="s">
        <v>107</v>
      </c>
      <c r="X3240" t="s">
        <v>108</v>
      </c>
      <c r="Y3240" t="s">
        <v>221</v>
      </c>
      <c r="AF3240" t="s">
        <v>13</v>
      </c>
      <c r="AG3240" t="str">
        <f>HYPERLINK("https://doi.org/10.1515/9781474490146")</f>
        <v>https://doi.org/10.1515/9781474490146</v>
      </c>
      <c r="AH3240" t="str">
        <f>HYPERLINK("http://www.degruyter.com/isbn/9781474490146")</f>
        <v>http://www.degruyter.com/isbn/9781474490146</v>
      </c>
      <c r="AI3240" t="s">
        <v>14638</v>
      </c>
      <c r="AL3240" t="s">
        <v>47</v>
      </c>
      <c r="AM3240">
        <v>1</v>
      </c>
      <c r="AN3240" s="2">
        <v>9781474490122</v>
      </c>
    </row>
    <row r="3241" spans="1:40" x14ac:dyDescent="0.3">
      <c r="A3241" t="s">
        <v>15270</v>
      </c>
      <c r="B3241" t="s">
        <v>1</v>
      </c>
      <c r="C3241" t="s">
        <v>15271</v>
      </c>
      <c r="D3241" t="s">
        <v>15272</v>
      </c>
      <c r="E3241" t="s">
        <v>15273</v>
      </c>
      <c r="F3241" t="s">
        <v>5</v>
      </c>
      <c r="G3241" t="s">
        <v>6</v>
      </c>
      <c r="L3241" t="s">
        <v>7</v>
      </c>
      <c r="M3241">
        <v>2022</v>
      </c>
      <c r="N3241" s="1">
        <v>44690</v>
      </c>
      <c r="O3241" t="s">
        <v>15274</v>
      </c>
      <c r="P3241">
        <v>1</v>
      </c>
      <c r="Q3241" t="s">
        <v>7019</v>
      </c>
      <c r="S3241">
        <v>217.95</v>
      </c>
      <c r="T3241">
        <v>250</v>
      </c>
      <c r="U3241">
        <v>190</v>
      </c>
      <c r="V3241" t="s">
        <v>42</v>
      </c>
      <c r="W3241" t="s">
        <v>107</v>
      </c>
      <c r="X3241" t="s">
        <v>108</v>
      </c>
      <c r="Y3241" t="s">
        <v>109</v>
      </c>
      <c r="AF3241" t="s">
        <v>13</v>
      </c>
      <c r="AG3241" t="str">
        <f>HYPERLINK("https://doi.org/10.1515/9781474456494")</f>
        <v>https://doi.org/10.1515/9781474456494</v>
      </c>
      <c r="AH3241" t="str">
        <f>HYPERLINK("http://www.degruyter.com/isbn/9781474456494")</f>
        <v>http://www.degruyter.com/isbn/9781474456494</v>
      </c>
      <c r="AI3241" t="s">
        <v>14638</v>
      </c>
      <c r="AL3241" t="s">
        <v>47</v>
      </c>
      <c r="AM3241">
        <v>1</v>
      </c>
      <c r="AN3241" s="2">
        <v>9781474456470</v>
      </c>
    </row>
    <row r="3242" spans="1:40" x14ac:dyDescent="0.3">
      <c r="A3242" t="s">
        <v>15275</v>
      </c>
      <c r="B3242" t="s">
        <v>1</v>
      </c>
      <c r="C3242" t="s">
        <v>15276</v>
      </c>
      <c r="D3242" t="s">
        <v>15277</v>
      </c>
      <c r="E3242" t="s">
        <v>15278</v>
      </c>
      <c r="F3242" t="s">
        <v>5</v>
      </c>
      <c r="G3242" t="s">
        <v>6</v>
      </c>
      <c r="L3242" t="s">
        <v>7</v>
      </c>
      <c r="M3242">
        <v>2022</v>
      </c>
      <c r="N3242" s="1">
        <v>44729</v>
      </c>
      <c r="O3242" t="s">
        <v>15279</v>
      </c>
      <c r="P3242">
        <v>1</v>
      </c>
      <c r="Q3242" t="s">
        <v>13391</v>
      </c>
      <c r="S3242">
        <v>217.95</v>
      </c>
      <c r="T3242">
        <v>250</v>
      </c>
      <c r="U3242">
        <v>190</v>
      </c>
      <c r="V3242" t="s">
        <v>42</v>
      </c>
      <c r="W3242" t="s">
        <v>107</v>
      </c>
      <c r="X3242" t="s">
        <v>108</v>
      </c>
      <c r="Y3242" t="s">
        <v>221</v>
      </c>
      <c r="AF3242" t="s">
        <v>13</v>
      </c>
      <c r="AG3242" t="str">
        <f>HYPERLINK("https://doi.org/10.1515/9781474476300")</f>
        <v>https://doi.org/10.1515/9781474476300</v>
      </c>
      <c r="AH3242" t="str">
        <f>HYPERLINK("http://www.degruyter.com/isbn/9781474476300")</f>
        <v>http://www.degruyter.com/isbn/9781474476300</v>
      </c>
      <c r="AI3242" t="s">
        <v>14638</v>
      </c>
      <c r="AL3242" t="s">
        <v>47</v>
      </c>
      <c r="AM3242">
        <v>1</v>
      </c>
      <c r="AN3242" s="2">
        <v>9781474476287</v>
      </c>
    </row>
    <row r="3243" spans="1:40" x14ac:dyDescent="0.3">
      <c r="A3243" t="s">
        <v>15280</v>
      </c>
      <c r="B3243" t="s">
        <v>1</v>
      </c>
      <c r="C3243" t="s">
        <v>15281</v>
      </c>
      <c r="E3243" t="s">
        <v>15282</v>
      </c>
      <c r="F3243" t="s">
        <v>5</v>
      </c>
      <c r="G3243" t="s">
        <v>6</v>
      </c>
      <c r="L3243" t="s">
        <v>7</v>
      </c>
      <c r="M3243">
        <v>2022</v>
      </c>
      <c r="N3243" s="1">
        <v>44718</v>
      </c>
      <c r="O3243" t="s">
        <v>15283</v>
      </c>
      <c r="P3243">
        <v>1</v>
      </c>
      <c r="S3243">
        <v>217.95</v>
      </c>
      <c r="T3243">
        <v>250</v>
      </c>
      <c r="U3243">
        <v>190</v>
      </c>
      <c r="V3243" t="s">
        <v>58</v>
      </c>
      <c r="W3243" t="s">
        <v>59</v>
      </c>
      <c r="X3243" t="s">
        <v>60</v>
      </c>
      <c r="Y3243" t="s">
        <v>5536</v>
      </c>
      <c r="AF3243" t="s">
        <v>13</v>
      </c>
      <c r="AG3243" t="str">
        <f>HYPERLINK("https://doi.org/10.1515/9781399502559")</f>
        <v>https://doi.org/10.1515/9781399502559</v>
      </c>
      <c r="AH3243" t="str">
        <f>HYPERLINK("http://www.degruyter.com/isbn/9781399502559")</f>
        <v>http://www.degruyter.com/isbn/9781399502559</v>
      </c>
      <c r="AI3243" t="s">
        <v>14853</v>
      </c>
      <c r="AL3243" t="s">
        <v>62</v>
      </c>
      <c r="AM3243">
        <v>1</v>
      </c>
      <c r="AN3243" s="2">
        <v>9781399502535</v>
      </c>
    </row>
    <row r="3244" spans="1:40" x14ac:dyDescent="0.3">
      <c r="A3244" t="s">
        <v>15284</v>
      </c>
      <c r="B3244" t="s">
        <v>1</v>
      </c>
      <c r="C3244" t="s">
        <v>15285</v>
      </c>
      <c r="D3244" t="s">
        <v>15286</v>
      </c>
      <c r="E3244" t="s">
        <v>15287</v>
      </c>
      <c r="F3244" t="s">
        <v>5</v>
      </c>
      <c r="G3244" t="s">
        <v>6</v>
      </c>
      <c r="L3244" t="s">
        <v>7</v>
      </c>
      <c r="M3244">
        <v>2022</v>
      </c>
      <c r="N3244" s="1">
        <v>44773</v>
      </c>
      <c r="O3244" t="s">
        <v>15288</v>
      </c>
      <c r="P3244">
        <v>1</v>
      </c>
      <c r="Q3244" t="s">
        <v>8601</v>
      </c>
      <c r="S3244">
        <v>217.95</v>
      </c>
      <c r="T3244">
        <v>250</v>
      </c>
      <c r="U3244">
        <v>190</v>
      </c>
      <c r="V3244" t="s">
        <v>305</v>
      </c>
      <c r="W3244" t="s">
        <v>2566</v>
      </c>
      <c r="X3244" t="s">
        <v>2567</v>
      </c>
      <c r="Y3244" t="s">
        <v>4151</v>
      </c>
      <c r="AF3244" t="s">
        <v>13</v>
      </c>
      <c r="AG3244" t="str">
        <f>HYPERLINK("https://doi.org/10.1515/9781474474016")</f>
        <v>https://doi.org/10.1515/9781474474016</v>
      </c>
      <c r="AH3244" t="str">
        <f>HYPERLINK("http://www.degruyter.com/isbn/9781474474016")</f>
        <v>http://www.degruyter.com/isbn/9781474474016</v>
      </c>
      <c r="AI3244" t="s">
        <v>14693</v>
      </c>
      <c r="AL3244" t="s">
        <v>308</v>
      </c>
      <c r="AM3244">
        <v>1</v>
      </c>
      <c r="AN3244" s="2">
        <v>9781474473996</v>
      </c>
    </row>
    <row r="3245" spans="1:40" x14ac:dyDescent="0.3">
      <c r="A3245" t="s">
        <v>15289</v>
      </c>
      <c r="B3245" t="s">
        <v>1</v>
      </c>
      <c r="C3245" t="s">
        <v>15290</v>
      </c>
      <c r="E3245" t="s">
        <v>15291</v>
      </c>
      <c r="F3245" t="s">
        <v>5</v>
      </c>
      <c r="G3245" t="s">
        <v>6</v>
      </c>
      <c r="L3245" t="s">
        <v>7</v>
      </c>
      <c r="M3245">
        <v>2022</v>
      </c>
      <c r="N3245" s="1">
        <v>44762</v>
      </c>
      <c r="O3245" t="s">
        <v>15292</v>
      </c>
      <c r="P3245">
        <v>1</v>
      </c>
      <c r="Q3245" t="s">
        <v>6539</v>
      </c>
      <c r="S3245">
        <v>217.95</v>
      </c>
      <c r="T3245">
        <v>250</v>
      </c>
      <c r="U3245">
        <v>190</v>
      </c>
      <c r="V3245" t="s">
        <v>42</v>
      </c>
      <c r="W3245" t="s">
        <v>107</v>
      </c>
      <c r="X3245" t="s">
        <v>108</v>
      </c>
      <c r="Y3245" t="s">
        <v>109</v>
      </c>
      <c r="AF3245" t="s">
        <v>13</v>
      </c>
      <c r="AG3245" t="str">
        <f>HYPERLINK("https://doi.org/10.1515/9781474488624")</f>
        <v>https://doi.org/10.1515/9781474488624</v>
      </c>
      <c r="AH3245" t="str">
        <f>HYPERLINK("http://www.degruyter.com/isbn/9781474488624")</f>
        <v>http://www.degruyter.com/isbn/9781474488624</v>
      </c>
      <c r="AI3245" t="s">
        <v>14638</v>
      </c>
      <c r="AL3245" t="s">
        <v>47</v>
      </c>
      <c r="AM3245">
        <v>1</v>
      </c>
      <c r="AN3245" s="2">
        <v>9781474488600</v>
      </c>
    </row>
    <row r="3246" spans="1:40" x14ac:dyDescent="0.3">
      <c r="A3246" t="s">
        <v>15293</v>
      </c>
      <c r="B3246" t="s">
        <v>1</v>
      </c>
      <c r="C3246" t="s">
        <v>15294</v>
      </c>
      <c r="D3246" t="s">
        <v>15295</v>
      </c>
      <c r="E3246" t="s">
        <v>15296</v>
      </c>
      <c r="F3246" t="s">
        <v>5</v>
      </c>
      <c r="G3246" t="s">
        <v>6</v>
      </c>
      <c r="L3246" t="s">
        <v>7</v>
      </c>
      <c r="M3246">
        <v>2022</v>
      </c>
      <c r="N3246" s="1">
        <v>44721</v>
      </c>
      <c r="O3246" t="s">
        <v>15297</v>
      </c>
      <c r="P3246">
        <v>1</v>
      </c>
      <c r="S3246">
        <v>295.95</v>
      </c>
      <c r="T3246">
        <v>340</v>
      </c>
      <c r="U3246">
        <v>260</v>
      </c>
      <c r="V3246" t="s">
        <v>9</v>
      </c>
      <c r="W3246" t="s">
        <v>10</v>
      </c>
      <c r="X3246" t="s">
        <v>11</v>
      </c>
      <c r="Y3246" t="s">
        <v>52</v>
      </c>
      <c r="AF3246" t="s">
        <v>13</v>
      </c>
      <c r="AG3246" t="str">
        <f>HYPERLINK("https://doi.org/10.1515/9781399500784")</f>
        <v>https://doi.org/10.1515/9781399500784</v>
      </c>
      <c r="AH3246" t="str">
        <f>HYPERLINK("http://www.degruyter.com/isbn/9781399500784")</f>
        <v>http://www.degruyter.com/isbn/9781399500784</v>
      </c>
      <c r="AI3246" t="s">
        <v>14693</v>
      </c>
      <c r="AL3246" t="s">
        <v>15</v>
      </c>
      <c r="AM3246">
        <v>1</v>
      </c>
      <c r="AN3246" s="2">
        <v>9781399500760</v>
      </c>
    </row>
    <row r="3247" spans="1:40" x14ac:dyDescent="0.3">
      <c r="A3247" t="s">
        <v>15298</v>
      </c>
      <c r="B3247" t="s">
        <v>1</v>
      </c>
      <c r="C3247" t="s">
        <v>15299</v>
      </c>
      <c r="D3247" t="s">
        <v>15300</v>
      </c>
      <c r="E3247" t="s">
        <v>15301</v>
      </c>
      <c r="F3247" t="s">
        <v>5</v>
      </c>
      <c r="G3247" t="s">
        <v>6</v>
      </c>
      <c r="L3247" t="s">
        <v>7</v>
      </c>
      <c r="M3247">
        <v>2022</v>
      </c>
      <c r="N3247" s="1">
        <v>44773</v>
      </c>
      <c r="O3247" t="s">
        <v>15302</v>
      </c>
      <c r="P3247">
        <v>1</v>
      </c>
      <c r="S3247">
        <v>305.95</v>
      </c>
      <c r="T3247">
        <v>350</v>
      </c>
      <c r="U3247">
        <v>270</v>
      </c>
      <c r="V3247" t="s">
        <v>42</v>
      </c>
      <c r="W3247" t="s">
        <v>290</v>
      </c>
      <c r="X3247" t="s">
        <v>290</v>
      </c>
      <c r="Y3247" t="s">
        <v>515</v>
      </c>
      <c r="AF3247" t="s">
        <v>13</v>
      </c>
      <c r="AG3247" t="str">
        <f>HYPERLINK("https://doi.org/10.1515/9781399504539")</f>
        <v>https://doi.org/10.1515/9781399504539</v>
      </c>
      <c r="AH3247" t="str">
        <f>HYPERLINK("http://www.degruyter.com/isbn/9781399504539")</f>
        <v>http://www.degruyter.com/isbn/9781399504539</v>
      </c>
      <c r="AI3247" t="s">
        <v>14638</v>
      </c>
      <c r="AL3247" t="s">
        <v>47</v>
      </c>
      <c r="AM3247">
        <v>1</v>
      </c>
      <c r="AN3247" s="2">
        <v>9781399504515</v>
      </c>
    </row>
    <row r="3248" spans="1:40" x14ac:dyDescent="0.3">
      <c r="A3248" t="s">
        <v>15303</v>
      </c>
      <c r="B3248" t="s">
        <v>1</v>
      </c>
      <c r="C3248" t="s">
        <v>15304</v>
      </c>
      <c r="D3248" t="s">
        <v>15305</v>
      </c>
      <c r="E3248" t="s">
        <v>15306</v>
      </c>
      <c r="F3248" t="s">
        <v>5</v>
      </c>
      <c r="G3248" t="s">
        <v>6</v>
      </c>
      <c r="L3248" t="s">
        <v>7</v>
      </c>
      <c r="M3248">
        <v>2022</v>
      </c>
      <c r="N3248" s="1">
        <v>44894</v>
      </c>
      <c r="O3248" t="s">
        <v>15307</v>
      </c>
      <c r="P3248">
        <v>1</v>
      </c>
      <c r="Q3248" t="s">
        <v>13811</v>
      </c>
      <c r="S3248">
        <v>113.95</v>
      </c>
      <c r="T3248">
        <v>130</v>
      </c>
      <c r="U3248">
        <v>100</v>
      </c>
      <c r="V3248" t="s">
        <v>305</v>
      </c>
      <c r="W3248" t="s">
        <v>306</v>
      </c>
      <c r="X3248" t="s">
        <v>306</v>
      </c>
      <c r="Y3248" t="s">
        <v>5755</v>
      </c>
      <c r="AF3248" t="s">
        <v>13</v>
      </c>
      <c r="AG3248" t="str">
        <f>HYPERLINK("https://doi.org/10.1515/9781838382254")</f>
        <v>https://doi.org/10.1515/9781838382254</v>
      </c>
      <c r="AH3248" t="str">
        <f>HYPERLINK("http://www.degruyter.com/isbn/9781838382254")</f>
        <v>http://www.degruyter.com/isbn/9781838382254</v>
      </c>
      <c r="AI3248" t="s">
        <v>14432</v>
      </c>
      <c r="AL3248" t="s">
        <v>308</v>
      </c>
      <c r="AM3248">
        <v>1</v>
      </c>
      <c r="AN3248" s="2">
        <v>9781838382230</v>
      </c>
    </row>
    <row r="3249" spans="1:40" x14ac:dyDescent="0.3">
      <c r="A3249" t="s">
        <v>15308</v>
      </c>
      <c r="B3249" t="s">
        <v>1</v>
      </c>
      <c r="C3249" t="s">
        <v>15309</v>
      </c>
      <c r="E3249" t="s">
        <v>15310</v>
      </c>
      <c r="F3249" t="s">
        <v>5</v>
      </c>
      <c r="G3249" t="s">
        <v>6</v>
      </c>
      <c r="L3249" t="s">
        <v>7</v>
      </c>
      <c r="M3249">
        <v>2022</v>
      </c>
      <c r="N3249" s="1">
        <v>44742</v>
      </c>
      <c r="O3249" t="s">
        <v>15311</v>
      </c>
      <c r="P3249">
        <v>1</v>
      </c>
      <c r="Q3249" t="s">
        <v>9604</v>
      </c>
      <c r="S3249">
        <v>227.95</v>
      </c>
      <c r="T3249">
        <v>260</v>
      </c>
      <c r="U3249">
        <v>200</v>
      </c>
      <c r="V3249" t="s">
        <v>20</v>
      </c>
      <c r="W3249" t="s">
        <v>21</v>
      </c>
      <c r="X3249" t="s">
        <v>22</v>
      </c>
      <c r="Y3249" t="s">
        <v>23</v>
      </c>
      <c r="AF3249" t="s">
        <v>13</v>
      </c>
      <c r="AG3249" t="str">
        <f>HYPERLINK("https://doi.org/10.1515/9781474499569")</f>
        <v>https://doi.org/10.1515/9781474499569</v>
      </c>
      <c r="AH3249" t="str">
        <f>HYPERLINK("http://www.degruyter.com/isbn/9781474499569")</f>
        <v>http://www.degruyter.com/isbn/9781474499569</v>
      </c>
      <c r="AI3249" t="s">
        <v>15312</v>
      </c>
      <c r="AL3249" t="s">
        <v>15</v>
      </c>
      <c r="AM3249">
        <v>1</v>
      </c>
      <c r="AN3249" s="2">
        <v>9781474499545</v>
      </c>
    </row>
    <row r="3250" spans="1:40" x14ac:dyDescent="0.3">
      <c r="A3250" t="s">
        <v>15313</v>
      </c>
      <c r="B3250" t="s">
        <v>1</v>
      </c>
      <c r="C3250" t="s">
        <v>15314</v>
      </c>
      <c r="E3250" t="s">
        <v>15315</v>
      </c>
      <c r="F3250" t="s">
        <v>5</v>
      </c>
      <c r="G3250" t="s">
        <v>6</v>
      </c>
      <c r="L3250" t="s">
        <v>7</v>
      </c>
      <c r="M3250">
        <v>2022</v>
      </c>
      <c r="N3250" s="1">
        <v>44690</v>
      </c>
      <c r="O3250" t="s">
        <v>15316</v>
      </c>
      <c r="P3250">
        <v>1</v>
      </c>
      <c r="Q3250" t="s">
        <v>10252</v>
      </c>
      <c r="S3250">
        <v>243.95</v>
      </c>
      <c r="T3250">
        <v>280</v>
      </c>
      <c r="U3250">
        <v>210</v>
      </c>
      <c r="V3250" t="s">
        <v>42</v>
      </c>
      <c r="W3250" t="s">
        <v>12795</v>
      </c>
      <c r="X3250" t="s">
        <v>12795</v>
      </c>
      <c r="Y3250" t="s">
        <v>12796</v>
      </c>
      <c r="AF3250" t="s">
        <v>13</v>
      </c>
      <c r="AG3250" t="str">
        <f>HYPERLINK("https://doi.org/10.1515/9781474430753")</f>
        <v>https://doi.org/10.1515/9781474430753</v>
      </c>
      <c r="AH3250" t="str">
        <f>HYPERLINK("http://www.degruyter.com/isbn/9781474430753")</f>
        <v>http://www.degruyter.com/isbn/9781474430753</v>
      </c>
      <c r="AI3250" t="s">
        <v>14638</v>
      </c>
      <c r="AL3250" t="s">
        <v>47</v>
      </c>
      <c r="AM3250">
        <v>1</v>
      </c>
      <c r="AN3250" s="2">
        <v>9781474430739</v>
      </c>
    </row>
    <row r="3251" spans="1:40" x14ac:dyDescent="0.3">
      <c r="A3251" t="s">
        <v>15317</v>
      </c>
      <c r="B3251" t="s">
        <v>1</v>
      </c>
      <c r="C3251" t="s">
        <v>15318</v>
      </c>
      <c r="E3251" t="s">
        <v>15319</v>
      </c>
      <c r="F3251" t="s">
        <v>5</v>
      </c>
      <c r="G3251" t="s">
        <v>6</v>
      </c>
      <c r="L3251" t="s">
        <v>7</v>
      </c>
      <c r="M3251">
        <v>2022</v>
      </c>
      <c r="N3251" s="1">
        <v>44773</v>
      </c>
      <c r="O3251" t="s">
        <v>15320</v>
      </c>
      <c r="P3251">
        <v>1</v>
      </c>
      <c r="S3251">
        <v>227.95</v>
      </c>
      <c r="T3251">
        <v>260</v>
      </c>
      <c r="U3251">
        <v>200</v>
      </c>
      <c r="V3251" t="s">
        <v>329</v>
      </c>
      <c r="W3251" t="s">
        <v>330</v>
      </c>
      <c r="X3251" t="s">
        <v>331</v>
      </c>
      <c r="Y3251" t="s">
        <v>1035</v>
      </c>
      <c r="AF3251" t="s">
        <v>13</v>
      </c>
      <c r="AG3251" t="str">
        <f>HYPERLINK("https://doi.org/10.1515/9781474498678")</f>
        <v>https://doi.org/10.1515/9781474498678</v>
      </c>
      <c r="AH3251" t="str">
        <f>HYPERLINK("http://www.degruyter.com/isbn/9781474498678")</f>
        <v>http://www.degruyter.com/isbn/9781474498678</v>
      </c>
      <c r="AI3251" t="s">
        <v>14704</v>
      </c>
      <c r="AL3251" t="s">
        <v>333</v>
      </c>
      <c r="AM3251">
        <v>1</v>
      </c>
      <c r="AN3251" s="2">
        <v>9781474498654</v>
      </c>
    </row>
    <row r="3252" spans="1:40" x14ac:dyDescent="0.3">
      <c r="A3252" t="s">
        <v>15321</v>
      </c>
      <c r="B3252" t="s">
        <v>1</v>
      </c>
      <c r="C3252" t="s">
        <v>15322</v>
      </c>
      <c r="E3252" t="s">
        <v>15323</v>
      </c>
      <c r="F3252" t="s">
        <v>5</v>
      </c>
      <c r="G3252" t="s">
        <v>6</v>
      </c>
      <c r="L3252" t="s">
        <v>7</v>
      </c>
      <c r="M3252">
        <v>2023</v>
      </c>
      <c r="N3252" s="1">
        <v>45173</v>
      </c>
      <c r="O3252" t="s">
        <v>15324</v>
      </c>
      <c r="P3252">
        <v>1</v>
      </c>
      <c r="Q3252" t="s">
        <v>6987</v>
      </c>
      <c r="S3252">
        <v>227.95</v>
      </c>
      <c r="T3252">
        <v>260</v>
      </c>
      <c r="U3252">
        <v>200</v>
      </c>
      <c r="V3252" t="s">
        <v>9</v>
      </c>
      <c r="W3252" t="s">
        <v>10</v>
      </c>
      <c r="X3252" t="s">
        <v>11</v>
      </c>
      <c r="Y3252" t="s">
        <v>52</v>
      </c>
      <c r="AF3252" t="s">
        <v>13</v>
      </c>
      <c r="AH3252" t="str">
        <f>HYPERLINK("http://www.degruyter.com/isbn/9781399513081")</f>
        <v>http://www.degruyter.com/isbn/9781399513081</v>
      </c>
      <c r="AI3252" t="s">
        <v>15325</v>
      </c>
      <c r="AL3252" t="s">
        <v>638</v>
      </c>
      <c r="AM3252">
        <v>1</v>
      </c>
      <c r="AN3252" s="2">
        <v>9781399513067</v>
      </c>
    </row>
    <row r="3253" spans="1:40" x14ac:dyDescent="0.3">
      <c r="A3253" t="s">
        <v>15326</v>
      </c>
      <c r="B3253" t="s">
        <v>1</v>
      </c>
      <c r="C3253" t="s">
        <v>15327</v>
      </c>
      <c r="D3253" t="s">
        <v>15328</v>
      </c>
      <c r="E3253" t="s">
        <v>15329</v>
      </c>
      <c r="F3253" t="s">
        <v>5</v>
      </c>
      <c r="G3253" t="s">
        <v>6</v>
      </c>
      <c r="L3253" t="s">
        <v>7</v>
      </c>
      <c r="M3253">
        <v>2022</v>
      </c>
      <c r="N3253" s="1">
        <v>44887</v>
      </c>
      <c r="O3253" t="s">
        <v>761</v>
      </c>
      <c r="P3253">
        <v>1</v>
      </c>
      <c r="Q3253" t="s">
        <v>13880</v>
      </c>
      <c r="S3253">
        <v>209.95</v>
      </c>
      <c r="T3253">
        <v>240</v>
      </c>
      <c r="U3253">
        <v>180</v>
      </c>
      <c r="V3253" t="s">
        <v>79</v>
      </c>
      <c r="W3253" t="s">
        <v>227</v>
      </c>
      <c r="X3253" t="s">
        <v>234</v>
      </c>
      <c r="Y3253" t="s">
        <v>5159</v>
      </c>
      <c r="AF3253" t="s">
        <v>13</v>
      </c>
      <c r="AG3253" t="str">
        <f>HYPERLINK("https://doi.org/10.1515/9781399508346")</f>
        <v>https://doi.org/10.1515/9781399508346</v>
      </c>
      <c r="AH3253" t="str">
        <f>HYPERLINK("http://www.degruyter.com/isbn/9781399508346")</f>
        <v>http://www.degruyter.com/isbn/9781399508346</v>
      </c>
      <c r="AI3253" t="s">
        <v>14633</v>
      </c>
      <c r="AL3253" t="s">
        <v>83</v>
      </c>
      <c r="AM3253">
        <v>1</v>
      </c>
      <c r="AN3253" s="2">
        <v>9781399508322</v>
      </c>
    </row>
    <row r="3254" spans="1:40" x14ac:dyDescent="0.3">
      <c r="A3254" t="s">
        <v>15330</v>
      </c>
      <c r="B3254" t="s">
        <v>1</v>
      </c>
      <c r="C3254" t="s">
        <v>15331</v>
      </c>
      <c r="E3254" t="s">
        <v>15332</v>
      </c>
      <c r="F3254" t="s">
        <v>5</v>
      </c>
      <c r="G3254" t="s">
        <v>6</v>
      </c>
      <c r="L3254" t="s">
        <v>7</v>
      </c>
      <c r="M3254">
        <v>2022</v>
      </c>
      <c r="N3254" s="1">
        <v>44887</v>
      </c>
      <c r="O3254" t="s">
        <v>15333</v>
      </c>
      <c r="P3254">
        <v>1</v>
      </c>
      <c r="Q3254" t="s">
        <v>15334</v>
      </c>
      <c r="S3254">
        <v>209.95</v>
      </c>
      <c r="T3254">
        <v>240</v>
      </c>
      <c r="U3254">
        <v>180</v>
      </c>
      <c r="V3254" t="s">
        <v>42</v>
      </c>
      <c r="W3254" t="s">
        <v>43</v>
      </c>
      <c r="X3254" t="s">
        <v>4475</v>
      </c>
      <c r="Y3254" t="s">
        <v>15335</v>
      </c>
      <c r="AF3254" t="s">
        <v>13</v>
      </c>
      <c r="AG3254" t="str">
        <f>HYPERLINK("https://doi.org/10.1515/9781474423359")</f>
        <v>https://doi.org/10.1515/9781474423359</v>
      </c>
      <c r="AH3254" t="str">
        <f>HYPERLINK("http://www.degruyter.com/isbn/9781474423359")</f>
        <v>http://www.degruyter.com/isbn/9781474423359</v>
      </c>
      <c r="AI3254" t="s">
        <v>14638</v>
      </c>
      <c r="AL3254" t="s">
        <v>47</v>
      </c>
      <c r="AM3254">
        <v>1</v>
      </c>
      <c r="AN3254" s="2">
        <v>9781474423342</v>
      </c>
    </row>
    <row r="3255" spans="1:40" x14ac:dyDescent="0.3">
      <c r="A3255" t="s">
        <v>15336</v>
      </c>
      <c r="B3255" t="s">
        <v>1</v>
      </c>
      <c r="C3255" t="s">
        <v>15337</v>
      </c>
      <c r="E3255" t="s">
        <v>15338</v>
      </c>
      <c r="F3255" t="s">
        <v>5</v>
      </c>
      <c r="G3255" t="s">
        <v>6</v>
      </c>
      <c r="K3255" t="s">
        <v>15205</v>
      </c>
      <c r="L3255" t="s">
        <v>7</v>
      </c>
      <c r="M3255">
        <v>2022</v>
      </c>
      <c r="N3255" s="1">
        <v>44714</v>
      </c>
      <c r="O3255" t="s">
        <v>15339</v>
      </c>
      <c r="P3255">
        <v>1</v>
      </c>
      <c r="Q3255" t="s">
        <v>7019</v>
      </c>
      <c r="V3255" t="s">
        <v>42</v>
      </c>
      <c r="W3255" t="s">
        <v>107</v>
      </c>
      <c r="X3255" t="s">
        <v>108</v>
      </c>
      <c r="Y3255" t="s">
        <v>109</v>
      </c>
      <c r="AF3255" t="s">
        <v>13</v>
      </c>
      <c r="AG3255" t="str">
        <f>HYPERLINK("https://doi.org/10.1515/9781474487665")</f>
        <v>https://doi.org/10.1515/9781474487665</v>
      </c>
      <c r="AH3255" t="str">
        <f>HYPERLINK("http://www.degruyter.com/isbn/9781474487665")</f>
        <v>http://www.degruyter.com/isbn/9781474487665</v>
      </c>
      <c r="AI3255" t="s">
        <v>14638</v>
      </c>
      <c r="AM3255">
        <v>1</v>
      </c>
      <c r="AN3255" s="2"/>
    </row>
    <row r="3256" spans="1:40" x14ac:dyDescent="0.3">
      <c r="A3256" t="s">
        <v>15340</v>
      </c>
      <c r="B3256" t="s">
        <v>1</v>
      </c>
      <c r="C3256" t="s">
        <v>15341</v>
      </c>
      <c r="D3256" t="s">
        <v>15342</v>
      </c>
      <c r="E3256" t="s">
        <v>15343</v>
      </c>
      <c r="F3256" t="s">
        <v>5</v>
      </c>
      <c r="G3256" t="s">
        <v>6</v>
      </c>
      <c r="L3256" t="s">
        <v>7</v>
      </c>
      <c r="M3256">
        <v>2022</v>
      </c>
      <c r="N3256" s="1">
        <v>44903</v>
      </c>
      <c r="O3256" t="s">
        <v>15344</v>
      </c>
      <c r="P3256">
        <v>1</v>
      </c>
      <c r="S3256">
        <v>227.95</v>
      </c>
      <c r="T3256">
        <v>260</v>
      </c>
      <c r="U3256">
        <v>200</v>
      </c>
      <c r="V3256" t="s">
        <v>20</v>
      </c>
      <c r="W3256" t="s">
        <v>21</v>
      </c>
      <c r="X3256" t="s">
        <v>458</v>
      </c>
      <c r="Y3256" t="s">
        <v>459</v>
      </c>
      <c r="AF3256" t="s">
        <v>13</v>
      </c>
      <c r="AH3256" t="str">
        <f>HYPERLINK("http://www.degruyter.com/isbn/9781474499521")</f>
        <v>http://www.degruyter.com/isbn/9781474499521</v>
      </c>
      <c r="AI3256" t="s">
        <v>14656</v>
      </c>
      <c r="AL3256" t="s">
        <v>15</v>
      </c>
      <c r="AM3256">
        <v>1</v>
      </c>
      <c r="AN3256" s="2">
        <v>9781474499507</v>
      </c>
    </row>
    <row r="3257" spans="1:40" x14ac:dyDescent="0.3">
      <c r="A3257" t="s">
        <v>15345</v>
      </c>
      <c r="B3257" t="s">
        <v>1</v>
      </c>
      <c r="C3257" t="s">
        <v>15346</v>
      </c>
      <c r="D3257" t="s">
        <v>15347</v>
      </c>
      <c r="E3257" t="s">
        <v>15348</v>
      </c>
      <c r="F3257" t="s">
        <v>5</v>
      </c>
      <c r="G3257" t="s">
        <v>6</v>
      </c>
      <c r="L3257" t="s">
        <v>7</v>
      </c>
      <c r="M3257">
        <v>2022</v>
      </c>
      <c r="N3257" s="1">
        <v>44887</v>
      </c>
      <c r="O3257" t="s">
        <v>15349</v>
      </c>
      <c r="P3257">
        <v>1</v>
      </c>
      <c r="Q3257" t="s">
        <v>15350</v>
      </c>
      <c r="S3257">
        <v>295.95</v>
      </c>
      <c r="T3257">
        <v>340</v>
      </c>
      <c r="U3257">
        <v>260</v>
      </c>
      <c r="V3257" t="s">
        <v>329</v>
      </c>
      <c r="W3257" t="s">
        <v>330</v>
      </c>
      <c r="X3257" t="s">
        <v>331</v>
      </c>
      <c r="Y3257" t="s">
        <v>4770</v>
      </c>
      <c r="AF3257" t="s">
        <v>13</v>
      </c>
      <c r="AG3257" t="str">
        <f>HYPERLINK("https://doi.org/10.1515/9781399506328")</f>
        <v>https://doi.org/10.1515/9781399506328</v>
      </c>
      <c r="AH3257" t="str">
        <f>HYPERLINK("http://www.degruyter.com/isbn/9781399506328")</f>
        <v>http://www.degruyter.com/isbn/9781399506328</v>
      </c>
      <c r="AI3257" t="s">
        <v>14704</v>
      </c>
      <c r="AL3257" t="s">
        <v>333</v>
      </c>
      <c r="AM3257">
        <v>1</v>
      </c>
      <c r="AN3257" s="2">
        <v>9781399506304</v>
      </c>
    </row>
    <row r="3258" spans="1:40" x14ac:dyDescent="0.3">
      <c r="A3258" t="s">
        <v>15351</v>
      </c>
      <c r="B3258" t="s">
        <v>1</v>
      </c>
      <c r="C3258" t="s">
        <v>15352</v>
      </c>
      <c r="D3258" t="s">
        <v>15353</v>
      </c>
      <c r="E3258" t="s">
        <v>15354</v>
      </c>
      <c r="F3258" t="s">
        <v>5</v>
      </c>
      <c r="G3258" t="s">
        <v>6</v>
      </c>
      <c r="L3258" t="s">
        <v>7</v>
      </c>
      <c r="M3258">
        <v>2022</v>
      </c>
      <c r="N3258" s="1">
        <v>44804</v>
      </c>
      <c r="O3258" t="s">
        <v>15355</v>
      </c>
      <c r="P3258">
        <v>1</v>
      </c>
      <c r="Q3258" t="s">
        <v>13444</v>
      </c>
      <c r="S3258">
        <v>217.95</v>
      </c>
      <c r="T3258">
        <v>250</v>
      </c>
      <c r="U3258">
        <v>190</v>
      </c>
      <c r="V3258" t="s">
        <v>268</v>
      </c>
      <c r="W3258" t="s">
        <v>269</v>
      </c>
      <c r="X3258" t="s">
        <v>269</v>
      </c>
      <c r="Y3258" t="s">
        <v>360</v>
      </c>
      <c r="AF3258" t="s">
        <v>13</v>
      </c>
      <c r="AG3258" t="str">
        <f>HYPERLINK("https://doi.org/10.1515/9781474487467")</f>
        <v>https://doi.org/10.1515/9781474487467</v>
      </c>
      <c r="AH3258" t="str">
        <f>HYPERLINK("http://www.degruyter.com/isbn/9781474487467")</f>
        <v>http://www.degruyter.com/isbn/9781474487467</v>
      </c>
      <c r="AI3258" t="s">
        <v>15356</v>
      </c>
      <c r="AL3258" t="s">
        <v>272</v>
      </c>
      <c r="AM3258">
        <v>1</v>
      </c>
      <c r="AN3258" s="2">
        <v>9781474487443</v>
      </c>
    </row>
    <row r="3259" spans="1:40" x14ac:dyDescent="0.3">
      <c r="A3259" t="s">
        <v>15357</v>
      </c>
      <c r="B3259" t="s">
        <v>1</v>
      </c>
      <c r="C3259" t="s">
        <v>15358</v>
      </c>
      <c r="D3259" t="s">
        <v>15359</v>
      </c>
      <c r="E3259" t="s">
        <v>15360</v>
      </c>
      <c r="F3259" t="s">
        <v>5</v>
      </c>
      <c r="G3259" t="s">
        <v>6</v>
      </c>
      <c r="L3259" t="s">
        <v>7</v>
      </c>
      <c r="M3259">
        <v>2022</v>
      </c>
      <c r="N3259" s="1">
        <v>44804</v>
      </c>
      <c r="O3259" t="s">
        <v>15361</v>
      </c>
      <c r="P3259">
        <v>1</v>
      </c>
      <c r="S3259">
        <v>227.95</v>
      </c>
      <c r="T3259">
        <v>260</v>
      </c>
      <c r="U3259">
        <v>200</v>
      </c>
      <c r="V3259" t="s">
        <v>42</v>
      </c>
      <c r="W3259" t="s">
        <v>43</v>
      </c>
      <c r="X3259" t="s">
        <v>1061</v>
      </c>
      <c r="Y3259" t="s">
        <v>1339</v>
      </c>
      <c r="AF3259" t="s">
        <v>13</v>
      </c>
      <c r="AG3259" t="str">
        <f>HYPERLINK("https://doi.org/10.1515/9781399505802")</f>
        <v>https://doi.org/10.1515/9781399505802</v>
      </c>
      <c r="AH3259" t="str">
        <f>HYPERLINK("http://www.degruyter.com/isbn/9781399505802")</f>
        <v>http://www.degruyter.com/isbn/9781399505802</v>
      </c>
      <c r="AI3259" t="s">
        <v>14656</v>
      </c>
      <c r="AL3259" t="s">
        <v>47</v>
      </c>
      <c r="AM3259">
        <v>1</v>
      </c>
      <c r="AN3259" s="2">
        <v>9781399505789</v>
      </c>
    </row>
    <row r="3260" spans="1:40" x14ac:dyDescent="0.3">
      <c r="A3260" t="s">
        <v>15362</v>
      </c>
      <c r="B3260" t="s">
        <v>1</v>
      </c>
      <c r="C3260" t="s">
        <v>15363</v>
      </c>
      <c r="D3260" t="s">
        <v>15364</v>
      </c>
      <c r="E3260" t="s">
        <v>15365</v>
      </c>
      <c r="F3260" t="s">
        <v>5</v>
      </c>
      <c r="G3260" t="s">
        <v>6</v>
      </c>
      <c r="L3260" t="s">
        <v>7</v>
      </c>
      <c r="M3260">
        <v>2022</v>
      </c>
      <c r="N3260" s="1">
        <v>44894</v>
      </c>
      <c r="O3260" t="s">
        <v>15366</v>
      </c>
      <c r="P3260">
        <v>1</v>
      </c>
      <c r="S3260">
        <v>209.95</v>
      </c>
      <c r="T3260">
        <v>240</v>
      </c>
      <c r="U3260">
        <v>180</v>
      </c>
      <c r="V3260" t="s">
        <v>305</v>
      </c>
      <c r="W3260" t="s">
        <v>2566</v>
      </c>
      <c r="X3260" t="s">
        <v>2567</v>
      </c>
      <c r="Y3260" t="s">
        <v>4151</v>
      </c>
      <c r="AF3260" t="s">
        <v>13</v>
      </c>
      <c r="AG3260" t="str">
        <f>HYPERLINK("https://doi.org/10.1515/9781474484152")</f>
        <v>https://doi.org/10.1515/9781474484152</v>
      </c>
      <c r="AH3260" t="str">
        <f>HYPERLINK("http://www.degruyter.com/isbn/9781474484152")</f>
        <v>http://www.degruyter.com/isbn/9781474484152</v>
      </c>
      <c r="AI3260" t="s">
        <v>14693</v>
      </c>
      <c r="AL3260" t="s">
        <v>308</v>
      </c>
      <c r="AM3260">
        <v>1</v>
      </c>
      <c r="AN3260" s="2">
        <v>9781474484138</v>
      </c>
    </row>
    <row r="3261" spans="1:40" x14ac:dyDescent="0.3">
      <c r="A3261" t="s">
        <v>15367</v>
      </c>
      <c r="B3261" t="s">
        <v>1</v>
      </c>
      <c r="C3261" t="s">
        <v>15368</v>
      </c>
      <c r="E3261" t="s">
        <v>15369</v>
      </c>
      <c r="F3261" t="s">
        <v>5</v>
      </c>
      <c r="G3261" t="s">
        <v>6</v>
      </c>
      <c r="L3261" t="s">
        <v>7</v>
      </c>
      <c r="M3261">
        <v>2022</v>
      </c>
      <c r="N3261" s="1">
        <v>44804</v>
      </c>
      <c r="O3261" t="s">
        <v>184</v>
      </c>
      <c r="P3261">
        <v>1</v>
      </c>
      <c r="S3261">
        <v>227.95</v>
      </c>
      <c r="T3261">
        <v>260</v>
      </c>
      <c r="U3261">
        <v>200</v>
      </c>
      <c r="V3261" t="s">
        <v>20</v>
      </c>
      <c r="W3261" t="s">
        <v>21</v>
      </c>
      <c r="X3261" t="s">
        <v>22</v>
      </c>
      <c r="Y3261" t="s">
        <v>23</v>
      </c>
      <c r="AF3261" t="s">
        <v>13</v>
      </c>
      <c r="AG3261" t="str">
        <f>HYPERLINK("https://doi.org/10.1515/9781399506403")</f>
        <v>https://doi.org/10.1515/9781399506403</v>
      </c>
      <c r="AH3261" t="str">
        <f>HYPERLINK("http://www.degruyter.com/isbn/9781399506403")</f>
        <v>http://www.degruyter.com/isbn/9781399506403</v>
      </c>
      <c r="AI3261" t="s">
        <v>14656</v>
      </c>
      <c r="AL3261" t="s">
        <v>15</v>
      </c>
      <c r="AM3261">
        <v>1</v>
      </c>
      <c r="AN3261" s="2">
        <v>9781399506380</v>
      </c>
    </row>
    <row r="3262" spans="1:40" x14ac:dyDescent="0.3">
      <c r="A3262" t="s">
        <v>15370</v>
      </c>
      <c r="B3262" t="s">
        <v>1</v>
      </c>
      <c r="C3262" t="s">
        <v>15371</v>
      </c>
      <c r="E3262" t="s">
        <v>15372</v>
      </c>
      <c r="F3262" t="s">
        <v>5</v>
      </c>
      <c r="G3262" t="s">
        <v>6</v>
      </c>
      <c r="L3262" t="s">
        <v>7</v>
      </c>
      <c r="M3262">
        <v>2022</v>
      </c>
      <c r="N3262" s="1">
        <v>45474</v>
      </c>
      <c r="O3262" t="s">
        <v>15373</v>
      </c>
      <c r="P3262">
        <v>1</v>
      </c>
      <c r="Q3262" t="s">
        <v>13304</v>
      </c>
      <c r="S3262">
        <v>339.95</v>
      </c>
      <c r="T3262">
        <v>390</v>
      </c>
      <c r="U3262">
        <v>300</v>
      </c>
      <c r="V3262" t="s">
        <v>329</v>
      </c>
      <c r="W3262" t="s">
        <v>330</v>
      </c>
      <c r="X3262" t="s">
        <v>331</v>
      </c>
      <c r="Y3262" t="s">
        <v>332</v>
      </c>
      <c r="AF3262" t="s">
        <v>189</v>
      </c>
      <c r="AI3262" t="s">
        <v>15374</v>
      </c>
      <c r="AL3262" t="s">
        <v>333</v>
      </c>
      <c r="AM3262">
        <v>1</v>
      </c>
      <c r="AN3262" s="2">
        <v>9780748644339</v>
      </c>
    </row>
    <row r="3263" spans="1:40" x14ac:dyDescent="0.3">
      <c r="A3263" t="s">
        <v>15375</v>
      </c>
      <c r="B3263" t="s">
        <v>1</v>
      </c>
      <c r="C3263" t="s">
        <v>15376</v>
      </c>
      <c r="E3263" t="s">
        <v>15377</v>
      </c>
      <c r="F3263" t="s">
        <v>5</v>
      </c>
      <c r="G3263" t="s">
        <v>6</v>
      </c>
      <c r="L3263" t="s">
        <v>7</v>
      </c>
      <c r="M3263">
        <v>2022</v>
      </c>
      <c r="N3263" s="1">
        <v>44804</v>
      </c>
      <c r="O3263" t="s">
        <v>15378</v>
      </c>
      <c r="P3263">
        <v>1</v>
      </c>
      <c r="Q3263" t="s">
        <v>7019</v>
      </c>
      <c r="S3263">
        <v>243.95</v>
      </c>
      <c r="T3263">
        <v>280</v>
      </c>
      <c r="U3263">
        <v>210</v>
      </c>
      <c r="V3263" t="s">
        <v>42</v>
      </c>
      <c r="W3263" t="s">
        <v>116</v>
      </c>
      <c r="X3263" t="s">
        <v>116</v>
      </c>
      <c r="Y3263" t="s">
        <v>117</v>
      </c>
      <c r="AF3263" t="s">
        <v>13</v>
      </c>
      <c r="AG3263" t="str">
        <f>HYPERLINK("https://doi.org/10.1515/9781474485128")</f>
        <v>https://doi.org/10.1515/9781474485128</v>
      </c>
      <c r="AH3263" t="str">
        <f>HYPERLINK("http://www.degruyter.com/isbn/9781474485128")</f>
        <v>http://www.degruyter.com/isbn/9781474485128</v>
      </c>
      <c r="AI3263" t="s">
        <v>14638</v>
      </c>
      <c r="AL3263" t="s">
        <v>47</v>
      </c>
      <c r="AM3263">
        <v>1</v>
      </c>
      <c r="AN3263" s="2">
        <v>9781474485104</v>
      </c>
    </row>
    <row r="3264" spans="1:40" x14ac:dyDescent="0.3">
      <c r="A3264" t="s">
        <v>15379</v>
      </c>
      <c r="B3264" t="s">
        <v>1</v>
      </c>
      <c r="C3264" t="s">
        <v>15380</v>
      </c>
      <c r="E3264" t="s">
        <v>15381</v>
      </c>
      <c r="F3264" t="s">
        <v>5</v>
      </c>
      <c r="G3264" t="s">
        <v>6</v>
      </c>
      <c r="L3264" t="s">
        <v>7</v>
      </c>
      <c r="M3264">
        <v>2022</v>
      </c>
      <c r="N3264" s="1">
        <v>44894</v>
      </c>
      <c r="O3264" t="s">
        <v>15382</v>
      </c>
      <c r="P3264">
        <v>1</v>
      </c>
      <c r="Q3264" t="s">
        <v>6539</v>
      </c>
      <c r="S3264">
        <v>217.95</v>
      </c>
      <c r="T3264">
        <v>250</v>
      </c>
      <c r="U3264">
        <v>190</v>
      </c>
      <c r="V3264" t="s">
        <v>42</v>
      </c>
      <c r="W3264" t="s">
        <v>107</v>
      </c>
      <c r="X3264" t="s">
        <v>108</v>
      </c>
      <c r="Y3264" t="s">
        <v>109</v>
      </c>
      <c r="AF3264" t="s">
        <v>13</v>
      </c>
      <c r="AG3264" t="str">
        <f>HYPERLINK("https://doi.org/10.1515/9781474487191")</f>
        <v>https://doi.org/10.1515/9781474487191</v>
      </c>
      <c r="AH3264" t="str">
        <f>HYPERLINK("http://www.degruyter.com/isbn/9781474487191")</f>
        <v>http://www.degruyter.com/isbn/9781474487191</v>
      </c>
      <c r="AI3264" t="s">
        <v>14638</v>
      </c>
      <c r="AL3264" t="s">
        <v>47</v>
      </c>
      <c r="AM3264">
        <v>1</v>
      </c>
      <c r="AN3264" s="2">
        <v>9781474487177</v>
      </c>
    </row>
    <row r="3265" spans="1:40" x14ac:dyDescent="0.3">
      <c r="A3265">
        <v>294110</v>
      </c>
      <c r="B3265" t="s">
        <v>1</v>
      </c>
      <c r="C3265" t="s">
        <v>15383</v>
      </c>
      <c r="D3265" t="s">
        <v>186</v>
      </c>
      <c r="E3265" t="s">
        <v>15383</v>
      </c>
      <c r="F3265" t="s">
        <v>5</v>
      </c>
      <c r="G3265" t="s">
        <v>6</v>
      </c>
      <c r="L3265" t="s">
        <v>7</v>
      </c>
      <c r="M3265">
        <v>2026</v>
      </c>
      <c r="N3265" s="1">
        <v>46023</v>
      </c>
      <c r="P3265">
        <v>1</v>
      </c>
      <c r="S3265">
        <v>15910</v>
      </c>
      <c r="T3265">
        <v>18300</v>
      </c>
      <c r="U3265">
        <v>14463.5</v>
      </c>
      <c r="V3265" t="s">
        <v>187</v>
      </c>
      <c r="W3265" t="s">
        <v>187</v>
      </c>
      <c r="X3265" t="s">
        <v>187</v>
      </c>
      <c r="Y3265" t="s">
        <v>188</v>
      </c>
      <c r="AF3265" t="s">
        <v>189</v>
      </c>
      <c r="AI3265" t="s">
        <v>15384</v>
      </c>
      <c r="AL3265" t="s">
        <v>15010</v>
      </c>
      <c r="AM3265">
        <v>1</v>
      </c>
      <c r="AN3265" s="2"/>
    </row>
    <row r="3266" spans="1:40" x14ac:dyDescent="0.3">
      <c r="A3266">
        <v>294111</v>
      </c>
      <c r="B3266" t="s">
        <v>1</v>
      </c>
      <c r="C3266" t="s">
        <v>15385</v>
      </c>
      <c r="D3266" t="s">
        <v>186</v>
      </c>
      <c r="E3266" t="s">
        <v>15385</v>
      </c>
      <c r="F3266" t="s">
        <v>5</v>
      </c>
      <c r="G3266" t="s">
        <v>6</v>
      </c>
      <c r="L3266" t="s">
        <v>7</v>
      </c>
      <c r="M3266">
        <v>2027</v>
      </c>
      <c r="N3266" s="1">
        <v>46388</v>
      </c>
      <c r="P3266">
        <v>1</v>
      </c>
      <c r="S3266">
        <v>15910</v>
      </c>
      <c r="T3266">
        <v>18300</v>
      </c>
      <c r="U3266">
        <v>14463.5</v>
      </c>
      <c r="V3266" t="s">
        <v>187</v>
      </c>
      <c r="W3266" t="s">
        <v>187</v>
      </c>
      <c r="X3266" t="s">
        <v>187</v>
      </c>
      <c r="Y3266" t="s">
        <v>188</v>
      </c>
      <c r="AF3266" t="s">
        <v>189</v>
      </c>
      <c r="AI3266" t="s">
        <v>15386</v>
      </c>
      <c r="AL3266" t="s">
        <v>15010</v>
      </c>
      <c r="AM3266">
        <v>1</v>
      </c>
      <c r="AN3266" s="2"/>
    </row>
    <row r="3267" spans="1:40" x14ac:dyDescent="0.3">
      <c r="A3267">
        <v>294107</v>
      </c>
      <c r="B3267" t="s">
        <v>1</v>
      </c>
      <c r="C3267" t="s">
        <v>15387</v>
      </c>
      <c r="D3267" t="s">
        <v>186</v>
      </c>
      <c r="E3267" t="s">
        <v>15387</v>
      </c>
      <c r="F3267" t="s">
        <v>5</v>
      </c>
      <c r="G3267" t="s">
        <v>6</v>
      </c>
      <c r="L3267" t="s">
        <v>7</v>
      </c>
      <c r="M3267">
        <v>2023</v>
      </c>
      <c r="N3267" s="1">
        <v>44927</v>
      </c>
      <c r="P3267">
        <v>1</v>
      </c>
      <c r="S3267">
        <v>9412.65</v>
      </c>
      <c r="T3267">
        <v>10360</v>
      </c>
      <c r="U3267">
        <v>8557</v>
      </c>
      <c r="V3267" t="s">
        <v>187</v>
      </c>
      <c r="W3267" t="s">
        <v>187</v>
      </c>
      <c r="X3267" t="s">
        <v>187</v>
      </c>
      <c r="Y3267" t="s">
        <v>188</v>
      </c>
      <c r="AF3267" t="s">
        <v>189</v>
      </c>
      <c r="AL3267" t="s">
        <v>638</v>
      </c>
      <c r="AM3267">
        <v>1</v>
      </c>
      <c r="AN3267" s="2"/>
    </row>
    <row r="3268" spans="1:40" x14ac:dyDescent="0.3">
      <c r="A3268" t="s">
        <v>15388</v>
      </c>
      <c r="B3268" t="s">
        <v>1</v>
      </c>
      <c r="C3268" t="s">
        <v>15389</v>
      </c>
      <c r="E3268" t="s">
        <v>15390</v>
      </c>
      <c r="F3268" t="s">
        <v>5</v>
      </c>
      <c r="G3268" t="s">
        <v>6</v>
      </c>
      <c r="L3268" t="s">
        <v>7</v>
      </c>
      <c r="M3268">
        <v>2022</v>
      </c>
      <c r="N3268" s="1">
        <v>44804</v>
      </c>
      <c r="O3268" t="s">
        <v>1176</v>
      </c>
      <c r="P3268">
        <v>1</v>
      </c>
      <c r="S3268">
        <v>443.95</v>
      </c>
      <c r="T3268">
        <v>510</v>
      </c>
      <c r="U3268">
        <v>390</v>
      </c>
      <c r="V3268" t="s">
        <v>20</v>
      </c>
      <c r="W3268" t="s">
        <v>556</v>
      </c>
      <c r="X3268" t="s">
        <v>1540</v>
      </c>
      <c r="Y3268" t="s">
        <v>2459</v>
      </c>
      <c r="AF3268" t="s">
        <v>13</v>
      </c>
      <c r="AG3268" t="str">
        <f>HYPERLINK("https://doi.org/10.1515/9781474450980")</f>
        <v>https://doi.org/10.1515/9781474450980</v>
      </c>
      <c r="AH3268" t="str">
        <f>HYPERLINK("http://www.degruyter.com/isbn/9781474450980")</f>
        <v>http://www.degruyter.com/isbn/9781474450980</v>
      </c>
      <c r="AI3268" t="s">
        <v>14656</v>
      </c>
      <c r="AL3268" t="s">
        <v>15</v>
      </c>
      <c r="AM3268">
        <v>1</v>
      </c>
      <c r="AN3268" s="2">
        <v>9781474450966</v>
      </c>
    </row>
    <row r="3269" spans="1:40" x14ac:dyDescent="0.3">
      <c r="A3269" t="s">
        <v>15391</v>
      </c>
      <c r="B3269" t="s">
        <v>1</v>
      </c>
      <c r="C3269" t="s">
        <v>15392</v>
      </c>
      <c r="D3269" t="s">
        <v>15393</v>
      </c>
      <c r="E3269" t="s">
        <v>15394</v>
      </c>
      <c r="F3269" t="s">
        <v>5</v>
      </c>
      <c r="G3269" t="s">
        <v>6</v>
      </c>
      <c r="L3269" t="s">
        <v>7</v>
      </c>
      <c r="M3269">
        <v>2022</v>
      </c>
      <c r="N3269" s="1">
        <v>44804</v>
      </c>
      <c r="O3269" t="s">
        <v>15395</v>
      </c>
      <c r="P3269">
        <v>1</v>
      </c>
      <c r="Q3269" t="s">
        <v>6829</v>
      </c>
      <c r="S3269">
        <v>217.95</v>
      </c>
      <c r="T3269">
        <v>250</v>
      </c>
      <c r="U3269">
        <v>190</v>
      </c>
      <c r="V3269" t="s">
        <v>9</v>
      </c>
      <c r="W3269" t="s">
        <v>10</v>
      </c>
      <c r="X3269" t="s">
        <v>11</v>
      </c>
      <c r="Y3269" t="s">
        <v>52</v>
      </c>
      <c r="AF3269" t="s">
        <v>13</v>
      </c>
      <c r="AG3269" t="str">
        <f>HYPERLINK("https://doi.org/10.1515/9781474440660")</f>
        <v>https://doi.org/10.1515/9781474440660</v>
      </c>
      <c r="AH3269" t="str">
        <f>HYPERLINK("http://www.degruyter.com/isbn/9781474440660")</f>
        <v>http://www.degruyter.com/isbn/9781474440660</v>
      </c>
      <c r="AI3269" t="s">
        <v>14693</v>
      </c>
      <c r="AL3269" t="s">
        <v>15</v>
      </c>
      <c r="AM3269">
        <v>1</v>
      </c>
      <c r="AN3269" s="2">
        <v>9781474440646</v>
      </c>
    </row>
    <row r="3270" spans="1:40" x14ac:dyDescent="0.3">
      <c r="A3270" t="s">
        <v>15396</v>
      </c>
      <c r="B3270" t="s">
        <v>1</v>
      </c>
      <c r="C3270" t="s">
        <v>15397</v>
      </c>
      <c r="E3270" t="s">
        <v>15398</v>
      </c>
      <c r="F3270" t="s">
        <v>5</v>
      </c>
      <c r="G3270" t="s">
        <v>6</v>
      </c>
      <c r="L3270" t="s">
        <v>7</v>
      </c>
      <c r="M3270">
        <v>2022</v>
      </c>
      <c r="N3270" s="1">
        <v>44804</v>
      </c>
      <c r="O3270" t="s">
        <v>15399</v>
      </c>
      <c r="P3270">
        <v>1</v>
      </c>
      <c r="Q3270" t="s">
        <v>7919</v>
      </c>
      <c r="S3270">
        <v>217.95</v>
      </c>
      <c r="T3270">
        <v>250</v>
      </c>
      <c r="U3270">
        <v>190</v>
      </c>
      <c r="V3270" t="s">
        <v>79</v>
      </c>
      <c r="W3270" t="s">
        <v>734</v>
      </c>
      <c r="X3270" t="s">
        <v>734</v>
      </c>
      <c r="Y3270" t="s">
        <v>735</v>
      </c>
      <c r="AF3270" t="s">
        <v>13</v>
      </c>
      <c r="AG3270" t="str">
        <f>HYPERLINK("https://doi.org/10.1515/9781399504829")</f>
        <v>https://doi.org/10.1515/9781399504829</v>
      </c>
      <c r="AH3270" t="str">
        <f>HYPERLINK("http://www.degruyter.com/isbn/9781399504829")</f>
        <v>http://www.degruyter.com/isbn/9781399504829</v>
      </c>
      <c r="AI3270" t="s">
        <v>14633</v>
      </c>
      <c r="AL3270" t="s">
        <v>83</v>
      </c>
      <c r="AM3270">
        <v>1</v>
      </c>
      <c r="AN3270" s="2">
        <v>9781399504805</v>
      </c>
    </row>
    <row r="3271" spans="1:40" x14ac:dyDescent="0.3">
      <c r="A3271" t="s">
        <v>15400</v>
      </c>
      <c r="B3271" t="s">
        <v>1</v>
      </c>
      <c r="C3271" t="s">
        <v>15401</v>
      </c>
      <c r="D3271" t="s">
        <v>15402</v>
      </c>
      <c r="E3271" t="s">
        <v>15403</v>
      </c>
      <c r="F3271" t="s">
        <v>5</v>
      </c>
      <c r="G3271" t="s">
        <v>6</v>
      </c>
      <c r="L3271" t="s">
        <v>7</v>
      </c>
      <c r="M3271">
        <v>2022</v>
      </c>
      <c r="N3271" s="1">
        <v>44887</v>
      </c>
      <c r="O3271" t="s">
        <v>15404</v>
      </c>
      <c r="P3271">
        <v>1</v>
      </c>
      <c r="Q3271" t="s">
        <v>7164</v>
      </c>
      <c r="S3271">
        <v>209.95</v>
      </c>
      <c r="T3271">
        <v>240</v>
      </c>
      <c r="U3271">
        <v>180</v>
      </c>
      <c r="V3271" t="s">
        <v>58</v>
      </c>
      <c r="W3271" t="s">
        <v>59</v>
      </c>
      <c r="X3271" t="s">
        <v>60</v>
      </c>
      <c r="Y3271" t="s">
        <v>73</v>
      </c>
      <c r="AF3271" t="s">
        <v>13</v>
      </c>
      <c r="AG3271" t="str">
        <f>HYPERLINK("https://doi.org/10.1515/9781474478205")</f>
        <v>https://doi.org/10.1515/9781474478205</v>
      </c>
      <c r="AH3271" t="str">
        <f>HYPERLINK("http://www.degruyter.com/isbn/9781474478205")</f>
        <v>http://www.degruyter.com/isbn/9781474478205</v>
      </c>
      <c r="AI3271" t="s">
        <v>14853</v>
      </c>
      <c r="AL3271" t="s">
        <v>62</v>
      </c>
      <c r="AM3271">
        <v>1</v>
      </c>
      <c r="AN3271" s="2">
        <v>9781474478182</v>
      </c>
    </row>
    <row r="3272" spans="1:40" x14ac:dyDescent="0.3">
      <c r="A3272" t="s">
        <v>15405</v>
      </c>
      <c r="B3272" t="s">
        <v>1</v>
      </c>
      <c r="C3272" t="s">
        <v>15406</v>
      </c>
      <c r="D3272" t="s">
        <v>15407</v>
      </c>
      <c r="E3272" t="s">
        <v>15408</v>
      </c>
      <c r="F3272" t="s">
        <v>5</v>
      </c>
      <c r="G3272" t="s">
        <v>6</v>
      </c>
      <c r="L3272" t="s">
        <v>7</v>
      </c>
      <c r="M3272">
        <v>2022</v>
      </c>
      <c r="N3272" s="1">
        <v>44726</v>
      </c>
      <c r="O3272" t="s">
        <v>15409</v>
      </c>
      <c r="P3272">
        <v>1</v>
      </c>
      <c r="Q3272" t="s">
        <v>9162</v>
      </c>
      <c r="S3272">
        <v>227.95</v>
      </c>
      <c r="T3272">
        <v>260</v>
      </c>
      <c r="U3272">
        <v>200</v>
      </c>
      <c r="V3272" t="s">
        <v>42</v>
      </c>
      <c r="W3272" t="s">
        <v>107</v>
      </c>
      <c r="X3272" t="s">
        <v>108</v>
      </c>
      <c r="Y3272" t="s">
        <v>952</v>
      </c>
      <c r="AF3272" t="s">
        <v>13</v>
      </c>
      <c r="AG3272" t="str">
        <f>HYPERLINK("https://doi.org/10.1515/9781474457279")</f>
        <v>https://doi.org/10.1515/9781474457279</v>
      </c>
      <c r="AH3272" t="str">
        <f>HYPERLINK("http://www.degruyter.com/isbn/9781474457279")</f>
        <v>http://www.degruyter.com/isbn/9781474457279</v>
      </c>
      <c r="AI3272" t="s">
        <v>14638</v>
      </c>
      <c r="AL3272" t="s">
        <v>47</v>
      </c>
      <c r="AM3272">
        <v>1</v>
      </c>
      <c r="AN3272" s="2">
        <v>9781474457262</v>
      </c>
    </row>
    <row r="3273" spans="1:40" x14ac:dyDescent="0.3">
      <c r="A3273" t="s">
        <v>15410</v>
      </c>
      <c r="B3273" t="s">
        <v>1</v>
      </c>
      <c r="C3273" t="s">
        <v>15411</v>
      </c>
      <c r="E3273" t="s">
        <v>15412</v>
      </c>
      <c r="F3273" t="s">
        <v>5</v>
      </c>
      <c r="G3273" t="s">
        <v>6</v>
      </c>
      <c r="K3273" t="s">
        <v>15205</v>
      </c>
      <c r="L3273" t="s">
        <v>7</v>
      </c>
      <c r="M3273">
        <v>2022</v>
      </c>
      <c r="N3273" s="1">
        <v>44783</v>
      </c>
      <c r="O3273" t="s">
        <v>15413</v>
      </c>
      <c r="P3273">
        <v>1</v>
      </c>
      <c r="Q3273" t="s">
        <v>8096</v>
      </c>
      <c r="V3273" t="s">
        <v>42</v>
      </c>
      <c r="W3273" t="s">
        <v>116</v>
      </c>
      <c r="X3273" t="s">
        <v>116</v>
      </c>
      <c r="Y3273" t="s">
        <v>11160</v>
      </c>
      <c r="AF3273" t="s">
        <v>13</v>
      </c>
      <c r="AG3273" t="str">
        <f>HYPERLINK("https://doi.org/10.1515/9781474482448")</f>
        <v>https://doi.org/10.1515/9781474482448</v>
      </c>
      <c r="AH3273" t="str">
        <f>HYPERLINK("http://www.degruyter.com/isbn/9781474482448")</f>
        <v>http://www.degruyter.com/isbn/9781474482448</v>
      </c>
      <c r="AI3273" t="s">
        <v>14638</v>
      </c>
      <c r="AM3273">
        <v>1</v>
      </c>
      <c r="AN3273" s="2"/>
    </row>
    <row r="3274" spans="1:40" x14ac:dyDescent="0.3">
      <c r="A3274" t="s">
        <v>15414</v>
      </c>
      <c r="B3274" t="s">
        <v>1</v>
      </c>
      <c r="C3274" t="s">
        <v>15415</v>
      </c>
      <c r="E3274" t="s">
        <v>15416</v>
      </c>
      <c r="F3274" t="s">
        <v>5</v>
      </c>
      <c r="G3274" t="s">
        <v>6</v>
      </c>
      <c r="L3274" t="s">
        <v>7</v>
      </c>
      <c r="M3274">
        <v>2022</v>
      </c>
      <c r="N3274" s="1">
        <v>44728</v>
      </c>
      <c r="O3274" t="s">
        <v>15409</v>
      </c>
      <c r="P3274">
        <v>1</v>
      </c>
      <c r="Q3274" t="s">
        <v>9162</v>
      </c>
      <c r="S3274">
        <v>227.95</v>
      </c>
      <c r="T3274">
        <v>260</v>
      </c>
      <c r="U3274">
        <v>200</v>
      </c>
      <c r="V3274" t="s">
        <v>42</v>
      </c>
      <c r="W3274" t="s">
        <v>43</v>
      </c>
      <c r="X3274" t="s">
        <v>6163</v>
      </c>
      <c r="Y3274" t="s">
        <v>117</v>
      </c>
      <c r="AF3274" t="s">
        <v>13</v>
      </c>
      <c r="AG3274" t="str">
        <f>HYPERLINK("https://doi.org/10.1515/9781474458542")</f>
        <v>https://doi.org/10.1515/9781474458542</v>
      </c>
      <c r="AH3274" t="str">
        <f>HYPERLINK("http://www.degruyter.com/isbn/9781474458542")</f>
        <v>http://www.degruyter.com/isbn/9781474458542</v>
      </c>
      <c r="AI3274" t="s">
        <v>14638</v>
      </c>
      <c r="AL3274" t="s">
        <v>47</v>
      </c>
      <c r="AM3274">
        <v>1</v>
      </c>
      <c r="AN3274" s="2">
        <v>9781474458535</v>
      </c>
    </row>
    <row r="3275" spans="1:40" x14ac:dyDescent="0.3">
      <c r="A3275" t="s">
        <v>15417</v>
      </c>
      <c r="B3275" t="s">
        <v>1</v>
      </c>
      <c r="C3275" t="s">
        <v>15418</v>
      </c>
      <c r="D3275" t="s">
        <v>15419</v>
      </c>
      <c r="E3275" t="s">
        <v>15420</v>
      </c>
      <c r="F3275" t="s">
        <v>5</v>
      </c>
      <c r="G3275" t="s">
        <v>6</v>
      </c>
      <c r="L3275" t="s">
        <v>7</v>
      </c>
      <c r="M3275">
        <v>2023</v>
      </c>
      <c r="N3275" s="1">
        <v>44957</v>
      </c>
      <c r="O3275" t="s">
        <v>15421</v>
      </c>
      <c r="P3275">
        <v>1</v>
      </c>
      <c r="S3275">
        <v>217.95</v>
      </c>
      <c r="T3275">
        <v>250</v>
      </c>
      <c r="U3275">
        <v>190</v>
      </c>
      <c r="V3275" t="s">
        <v>9</v>
      </c>
      <c r="W3275" t="s">
        <v>10</v>
      </c>
      <c r="X3275" t="s">
        <v>11</v>
      </c>
      <c r="Y3275" t="s">
        <v>52</v>
      </c>
      <c r="AF3275" t="s">
        <v>13</v>
      </c>
      <c r="AH3275" t="str">
        <f>HYPERLINK("http://www.degruyter.com/isbn/9781474493925")</f>
        <v>http://www.degruyter.com/isbn/9781474493925</v>
      </c>
      <c r="AI3275" t="s">
        <v>15325</v>
      </c>
      <c r="AL3275" t="s">
        <v>638</v>
      </c>
      <c r="AM3275">
        <v>1</v>
      </c>
      <c r="AN3275" s="2">
        <v>9781474493901</v>
      </c>
    </row>
    <row r="3276" spans="1:40" x14ac:dyDescent="0.3">
      <c r="A3276" t="s">
        <v>15422</v>
      </c>
      <c r="B3276" t="s">
        <v>1</v>
      </c>
      <c r="C3276" t="s">
        <v>15423</v>
      </c>
      <c r="D3276" t="s">
        <v>15424</v>
      </c>
      <c r="E3276" t="s">
        <v>15425</v>
      </c>
      <c r="F3276" t="s">
        <v>5</v>
      </c>
      <c r="G3276" t="s">
        <v>6</v>
      </c>
      <c r="L3276" t="s">
        <v>7</v>
      </c>
      <c r="M3276">
        <v>2022</v>
      </c>
      <c r="N3276" s="1">
        <v>44804</v>
      </c>
      <c r="O3276" t="s">
        <v>15426</v>
      </c>
      <c r="P3276">
        <v>1</v>
      </c>
      <c r="Q3276" t="s">
        <v>6858</v>
      </c>
      <c r="S3276">
        <v>217.95</v>
      </c>
      <c r="T3276">
        <v>250</v>
      </c>
      <c r="U3276">
        <v>190</v>
      </c>
      <c r="V3276" t="s">
        <v>268</v>
      </c>
      <c r="W3276" t="s">
        <v>1408</v>
      </c>
      <c r="X3276" t="s">
        <v>1409</v>
      </c>
      <c r="Y3276" t="s">
        <v>1410</v>
      </c>
      <c r="AF3276" t="s">
        <v>13</v>
      </c>
      <c r="AG3276" t="str">
        <f>HYPERLINK("https://doi.org/10.1515/9781474496513")</f>
        <v>https://doi.org/10.1515/9781474496513</v>
      </c>
      <c r="AH3276" t="str">
        <f>HYPERLINK("http://www.degruyter.com/isbn/9781474496513")</f>
        <v>http://www.degruyter.com/isbn/9781474496513</v>
      </c>
      <c r="AI3276" t="s">
        <v>14839</v>
      </c>
      <c r="AL3276" t="s">
        <v>272</v>
      </c>
      <c r="AM3276">
        <v>1</v>
      </c>
      <c r="AN3276" s="2">
        <v>9781474496490</v>
      </c>
    </row>
    <row r="3277" spans="1:40" x14ac:dyDescent="0.3">
      <c r="A3277" t="s">
        <v>15427</v>
      </c>
      <c r="B3277" t="s">
        <v>1</v>
      </c>
      <c r="C3277" t="s">
        <v>15428</v>
      </c>
      <c r="D3277" t="s">
        <v>15429</v>
      </c>
      <c r="E3277" t="s">
        <v>15430</v>
      </c>
      <c r="F3277" t="s">
        <v>5</v>
      </c>
      <c r="G3277" t="s">
        <v>6</v>
      </c>
      <c r="L3277" t="s">
        <v>7</v>
      </c>
      <c r="M3277">
        <v>2022</v>
      </c>
      <c r="N3277" s="1">
        <v>44690</v>
      </c>
      <c r="O3277" t="s">
        <v>15431</v>
      </c>
      <c r="P3277">
        <v>1</v>
      </c>
      <c r="Q3277" t="s">
        <v>14046</v>
      </c>
      <c r="S3277">
        <v>253.95</v>
      </c>
      <c r="T3277">
        <v>290</v>
      </c>
      <c r="U3277">
        <v>220</v>
      </c>
      <c r="V3277" t="s">
        <v>42</v>
      </c>
      <c r="W3277" t="s">
        <v>116</v>
      </c>
      <c r="X3277" t="s">
        <v>116</v>
      </c>
      <c r="Y3277" t="s">
        <v>9177</v>
      </c>
      <c r="AF3277" t="s">
        <v>13</v>
      </c>
      <c r="AG3277" t="str">
        <f>HYPERLINK("https://doi.org/10.1515/9781474461535")</f>
        <v>https://doi.org/10.1515/9781474461535</v>
      </c>
      <c r="AH3277" t="str">
        <f>HYPERLINK("http://www.degruyter.com/isbn/9781474461535")</f>
        <v>http://www.degruyter.com/isbn/9781474461535</v>
      </c>
      <c r="AI3277" t="s">
        <v>14638</v>
      </c>
      <c r="AL3277" t="s">
        <v>47</v>
      </c>
      <c r="AM3277">
        <v>1</v>
      </c>
      <c r="AN3277" s="2">
        <v>9781474461528</v>
      </c>
    </row>
    <row r="3278" spans="1:40" x14ac:dyDescent="0.3">
      <c r="A3278" t="s">
        <v>15432</v>
      </c>
      <c r="B3278" t="s">
        <v>1</v>
      </c>
      <c r="C3278" t="s">
        <v>15433</v>
      </c>
      <c r="D3278" t="s">
        <v>15434</v>
      </c>
      <c r="E3278" t="s">
        <v>15435</v>
      </c>
      <c r="F3278" t="s">
        <v>5</v>
      </c>
      <c r="G3278" t="s">
        <v>6</v>
      </c>
      <c r="L3278" t="s">
        <v>7</v>
      </c>
      <c r="M3278">
        <v>2022</v>
      </c>
      <c r="N3278" s="1">
        <v>44742</v>
      </c>
      <c r="O3278" t="s">
        <v>15436</v>
      </c>
      <c r="P3278">
        <v>1</v>
      </c>
      <c r="S3278">
        <v>227.95</v>
      </c>
      <c r="T3278">
        <v>260</v>
      </c>
      <c r="U3278">
        <v>200</v>
      </c>
      <c r="V3278" t="s">
        <v>305</v>
      </c>
      <c r="W3278" t="s">
        <v>306</v>
      </c>
      <c r="X3278" t="s">
        <v>306</v>
      </c>
      <c r="Y3278" t="s">
        <v>3135</v>
      </c>
      <c r="AF3278" t="s">
        <v>13</v>
      </c>
      <c r="AG3278" t="str">
        <f>HYPERLINK("https://doi.org/10.1515/9781474486194")</f>
        <v>https://doi.org/10.1515/9781474486194</v>
      </c>
      <c r="AH3278" t="str">
        <f>HYPERLINK("http://www.degruyter.com/isbn/9781474486194")</f>
        <v>http://www.degruyter.com/isbn/9781474486194</v>
      </c>
      <c r="AI3278" t="s">
        <v>14768</v>
      </c>
      <c r="AL3278" t="s">
        <v>308</v>
      </c>
      <c r="AM3278">
        <v>1</v>
      </c>
      <c r="AN3278" s="2">
        <v>9781474486170</v>
      </c>
    </row>
    <row r="3279" spans="1:40" x14ac:dyDescent="0.3">
      <c r="A3279" t="s">
        <v>15437</v>
      </c>
      <c r="B3279" t="s">
        <v>1</v>
      </c>
      <c r="C3279" t="s">
        <v>15438</v>
      </c>
      <c r="D3279" t="s">
        <v>15439</v>
      </c>
      <c r="E3279" t="s">
        <v>15440</v>
      </c>
      <c r="F3279" t="s">
        <v>5</v>
      </c>
      <c r="G3279" t="s">
        <v>6</v>
      </c>
      <c r="L3279" t="s">
        <v>7</v>
      </c>
      <c r="M3279">
        <v>2022</v>
      </c>
      <c r="N3279" s="1">
        <v>44690</v>
      </c>
      <c r="O3279" t="s">
        <v>15441</v>
      </c>
      <c r="P3279">
        <v>1</v>
      </c>
      <c r="S3279">
        <v>243.95</v>
      </c>
      <c r="T3279">
        <v>280</v>
      </c>
      <c r="U3279">
        <v>210</v>
      </c>
      <c r="V3279" t="s">
        <v>79</v>
      </c>
      <c r="W3279" t="s">
        <v>123</v>
      </c>
      <c r="X3279" t="s">
        <v>123</v>
      </c>
      <c r="Y3279" t="s">
        <v>124</v>
      </c>
      <c r="AF3279" t="s">
        <v>13</v>
      </c>
      <c r="AG3279" t="str">
        <f>HYPERLINK("https://doi.org/10.1515/9781474483155")</f>
        <v>https://doi.org/10.1515/9781474483155</v>
      </c>
      <c r="AH3279" t="str">
        <f>HYPERLINK("http://www.degruyter.com/isbn/9781474483155")</f>
        <v>http://www.degruyter.com/isbn/9781474483155</v>
      </c>
      <c r="AI3279" t="s">
        <v>14633</v>
      </c>
      <c r="AL3279" t="s">
        <v>83</v>
      </c>
      <c r="AM3279">
        <v>1</v>
      </c>
      <c r="AN3279" s="2">
        <v>9781474483131</v>
      </c>
    </row>
    <row r="3280" spans="1:40" x14ac:dyDescent="0.3">
      <c r="A3280" t="s">
        <v>15442</v>
      </c>
      <c r="B3280" t="s">
        <v>1</v>
      </c>
      <c r="C3280" t="s">
        <v>15443</v>
      </c>
      <c r="E3280" t="s">
        <v>15444</v>
      </c>
      <c r="F3280" t="s">
        <v>5</v>
      </c>
      <c r="G3280" t="s">
        <v>6</v>
      </c>
      <c r="L3280" t="s">
        <v>7</v>
      </c>
      <c r="M3280">
        <v>2022</v>
      </c>
      <c r="N3280" s="1">
        <v>44804</v>
      </c>
      <c r="O3280" t="s">
        <v>12445</v>
      </c>
      <c r="P3280">
        <v>1</v>
      </c>
      <c r="S3280">
        <v>227.95</v>
      </c>
      <c r="T3280">
        <v>260</v>
      </c>
      <c r="U3280">
        <v>200</v>
      </c>
      <c r="V3280" t="s">
        <v>42</v>
      </c>
      <c r="W3280" t="s">
        <v>107</v>
      </c>
      <c r="X3280" t="s">
        <v>108</v>
      </c>
      <c r="Y3280" t="s">
        <v>221</v>
      </c>
      <c r="AF3280" t="s">
        <v>13</v>
      </c>
      <c r="AG3280" t="str">
        <f>HYPERLINK("https://doi.org/10.1515/9781474497886")</f>
        <v>https://doi.org/10.1515/9781474497886</v>
      </c>
      <c r="AH3280" t="str">
        <f>HYPERLINK("http://www.degruyter.com/isbn/9781474497886")</f>
        <v>http://www.degruyter.com/isbn/9781474497886</v>
      </c>
      <c r="AI3280" t="s">
        <v>14638</v>
      </c>
      <c r="AL3280" t="s">
        <v>47</v>
      </c>
      <c r="AM3280">
        <v>1</v>
      </c>
      <c r="AN3280" s="2">
        <v>9781474497862</v>
      </c>
    </row>
    <row r="3281" spans="1:40" x14ac:dyDescent="0.3">
      <c r="A3281" t="s">
        <v>15445</v>
      </c>
      <c r="B3281" t="s">
        <v>1</v>
      </c>
      <c r="C3281" t="s">
        <v>15446</v>
      </c>
      <c r="D3281" t="s">
        <v>15447</v>
      </c>
      <c r="E3281" t="s">
        <v>15448</v>
      </c>
      <c r="F3281" t="s">
        <v>5</v>
      </c>
      <c r="G3281" t="s">
        <v>6</v>
      </c>
      <c r="L3281" t="s">
        <v>7</v>
      </c>
      <c r="M3281">
        <v>2022</v>
      </c>
      <c r="N3281" s="1">
        <v>44672</v>
      </c>
      <c r="O3281" t="s">
        <v>15449</v>
      </c>
      <c r="P3281">
        <v>1</v>
      </c>
      <c r="Q3281" t="s">
        <v>6779</v>
      </c>
      <c r="S3281">
        <v>217.95</v>
      </c>
      <c r="T3281">
        <v>250</v>
      </c>
      <c r="U3281">
        <v>190</v>
      </c>
      <c r="V3281" t="s">
        <v>9</v>
      </c>
      <c r="W3281" t="s">
        <v>10</v>
      </c>
      <c r="X3281" t="s">
        <v>11</v>
      </c>
      <c r="Y3281" t="s">
        <v>52</v>
      </c>
      <c r="AF3281" t="s">
        <v>13</v>
      </c>
      <c r="AG3281" t="str">
        <f>HYPERLINK("https://doi.org/10.1515/9781474493888")</f>
        <v>https://doi.org/10.1515/9781474493888</v>
      </c>
      <c r="AH3281" t="str">
        <f>HYPERLINK("http://www.degruyter.com/isbn/9781474493888")</f>
        <v>http://www.degruyter.com/isbn/9781474493888</v>
      </c>
      <c r="AI3281" t="s">
        <v>14693</v>
      </c>
      <c r="AJ3281" t="s">
        <v>35</v>
      </c>
      <c r="AM3281">
        <v>1</v>
      </c>
      <c r="AN3281" s="2">
        <v>9781474493864</v>
      </c>
    </row>
    <row r="3282" spans="1:40" x14ac:dyDescent="0.3">
      <c r="A3282" t="s">
        <v>15450</v>
      </c>
      <c r="B3282" t="s">
        <v>1</v>
      </c>
      <c r="C3282" t="s">
        <v>15451</v>
      </c>
      <c r="D3282" t="s">
        <v>15452</v>
      </c>
      <c r="E3282" t="s">
        <v>15453</v>
      </c>
      <c r="F3282" t="s">
        <v>5</v>
      </c>
      <c r="G3282" t="s">
        <v>6</v>
      </c>
      <c r="L3282" t="s">
        <v>7</v>
      </c>
      <c r="M3282">
        <v>2022</v>
      </c>
      <c r="N3282" s="1">
        <v>44672</v>
      </c>
      <c r="O3282" t="s">
        <v>15454</v>
      </c>
      <c r="P3282">
        <v>1</v>
      </c>
      <c r="S3282">
        <v>217.95</v>
      </c>
      <c r="T3282">
        <v>250</v>
      </c>
      <c r="U3282">
        <v>190</v>
      </c>
      <c r="V3282" t="s">
        <v>305</v>
      </c>
      <c r="W3282" t="s">
        <v>306</v>
      </c>
      <c r="X3282" t="s">
        <v>306</v>
      </c>
      <c r="Y3282" t="s">
        <v>3135</v>
      </c>
      <c r="AF3282" t="s">
        <v>13</v>
      </c>
      <c r="AG3282" t="str">
        <f>HYPERLINK("https://doi.org/10.1515/9781474492249")</f>
        <v>https://doi.org/10.1515/9781474492249</v>
      </c>
      <c r="AH3282" t="str">
        <f>HYPERLINK("http://www.degruyter.com/isbn/9781474492249")</f>
        <v>http://www.degruyter.com/isbn/9781474492249</v>
      </c>
      <c r="AI3282" t="s">
        <v>14768</v>
      </c>
      <c r="AL3282" t="s">
        <v>308</v>
      </c>
      <c r="AM3282">
        <v>1</v>
      </c>
      <c r="AN3282" s="2">
        <v>9781474492225</v>
      </c>
    </row>
    <row r="3283" spans="1:40" x14ac:dyDescent="0.3">
      <c r="A3283" t="s">
        <v>15455</v>
      </c>
      <c r="B3283" t="s">
        <v>1</v>
      </c>
      <c r="C3283" t="s">
        <v>15456</v>
      </c>
      <c r="D3283" t="s">
        <v>15457</v>
      </c>
      <c r="E3283" t="s">
        <v>15458</v>
      </c>
      <c r="F3283" t="s">
        <v>5</v>
      </c>
      <c r="G3283" t="s">
        <v>6</v>
      </c>
      <c r="L3283" t="s">
        <v>7</v>
      </c>
      <c r="M3283">
        <v>2022</v>
      </c>
      <c r="N3283" s="1">
        <v>44677</v>
      </c>
      <c r="O3283" t="s">
        <v>15459</v>
      </c>
      <c r="P3283">
        <v>1</v>
      </c>
      <c r="S3283">
        <v>243.95</v>
      </c>
      <c r="T3283">
        <v>280</v>
      </c>
      <c r="U3283">
        <v>210</v>
      </c>
      <c r="V3283" t="s">
        <v>79</v>
      </c>
      <c r="W3283" t="s">
        <v>123</v>
      </c>
      <c r="X3283" t="s">
        <v>123</v>
      </c>
      <c r="Y3283" t="s">
        <v>124</v>
      </c>
      <c r="AF3283" t="s">
        <v>13</v>
      </c>
      <c r="AG3283" t="str">
        <f>HYPERLINK("https://doi.org/10.1515/9781474462143")</f>
        <v>https://doi.org/10.1515/9781474462143</v>
      </c>
      <c r="AH3283" t="str">
        <f>HYPERLINK("http://www.degruyter.com/isbn/9781474462143")</f>
        <v>http://www.degruyter.com/isbn/9781474462143</v>
      </c>
      <c r="AI3283" t="s">
        <v>14633</v>
      </c>
      <c r="AL3283" t="s">
        <v>83</v>
      </c>
      <c r="AM3283">
        <v>1</v>
      </c>
      <c r="AN3283" s="2">
        <v>9781474462112</v>
      </c>
    </row>
    <row r="3284" spans="1:40" x14ac:dyDescent="0.3">
      <c r="A3284" t="s">
        <v>15460</v>
      </c>
      <c r="B3284" t="s">
        <v>1</v>
      </c>
      <c r="C3284" t="s">
        <v>15461</v>
      </c>
      <c r="D3284" t="s">
        <v>15462</v>
      </c>
      <c r="E3284" t="s">
        <v>15463</v>
      </c>
      <c r="F3284" t="s">
        <v>5</v>
      </c>
      <c r="G3284" t="s">
        <v>6</v>
      </c>
      <c r="L3284" t="s">
        <v>7</v>
      </c>
      <c r="M3284">
        <v>2022</v>
      </c>
      <c r="N3284" s="1">
        <v>44685</v>
      </c>
      <c r="O3284" t="s">
        <v>545</v>
      </c>
      <c r="P3284">
        <v>1</v>
      </c>
      <c r="S3284">
        <v>217.95</v>
      </c>
      <c r="T3284">
        <v>250</v>
      </c>
      <c r="U3284">
        <v>190</v>
      </c>
      <c r="V3284" t="s">
        <v>79</v>
      </c>
      <c r="W3284" t="s">
        <v>123</v>
      </c>
      <c r="X3284" t="s">
        <v>123</v>
      </c>
      <c r="Y3284" t="s">
        <v>124</v>
      </c>
      <c r="AF3284" t="s">
        <v>13</v>
      </c>
      <c r="AG3284" t="str">
        <f>HYPERLINK("https://doi.org/10.1515/9781474494960")</f>
        <v>https://doi.org/10.1515/9781474494960</v>
      </c>
      <c r="AH3284" t="str">
        <f>HYPERLINK("http://www.degruyter.com/isbn/9781474494960")</f>
        <v>http://www.degruyter.com/isbn/9781474494960</v>
      </c>
      <c r="AI3284" t="s">
        <v>14633</v>
      </c>
      <c r="AL3284" t="s">
        <v>83</v>
      </c>
      <c r="AM3284">
        <v>1</v>
      </c>
      <c r="AN3284" s="2">
        <v>9781474494946</v>
      </c>
    </row>
    <row r="3285" spans="1:40" x14ac:dyDescent="0.3">
      <c r="A3285" t="s">
        <v>15464</v>
      </c>
      <c r="B3285" t="s">
        <v>1</v>
      </c>
      <c r="C3285" t="s">
        <v>15465</v>
      </c>
      <c r="E3285" t="s">
        <v>15466</v>
      </c>
      <c r="F3285" t="s">
        <v>5</v>
      </c>
      <c r="G3285" t="s">
        <v>6</v>
      </c>
      <c r="L3285" t="s">
        <v>7</v>
      </c>
      <c r="M3285">
        <v>2022</v>
      </c>
      <c r="N3285" s="1">
        <v>44804</v>
      </c>
      <c r="O3285" t="s">
        <v>5043</v>
      </c>
      <c r="P3285">
        <v>1</v>
      </c>
      <c r="S3285">
        <v>217.95</v>
      </c>
      <c r="T3285">
        <v>250</v>
      </c>
      <c r="U3285">
        <v>190</v>
      </c>
      <c r="V3285" t="s">
        <v>9</v>
      </c>
      <c r="W3285" t="s">
        <v>10</v>
      </c>
      <c r="X3285" t="s">
        <v>11</v>
      </c>
      <c r="Y3285" t="s">
        <v>52</v>
      </c>
      <c r="AF3285" t="s">
        <v>13</v>
      </c>
      <c r="AG3285" t="str">
        <f>HYPERLINK("https://doi.org/10.1515/9781474475211")</f>
        <v>https://doi.org/10.1515/9781474475211</v>
      </c>
      <c r="AH3285" t="str">
        <f>HYPERLINK("http://www.degruyter.com/isbn/9781474475211")</f>
        <v>http://www.degruyter.com/isbn/9781474475211</v>
      </c>
      <c r="AI3285" t="s">
        <v>14693</v>
      </c>
      <c r="AL3285" t="s">
        <v>15</v>
      </c>
      <c r="AM3285">
        <v>1</v>
      </c>
      <c r="AN3285" s="2">
        <v>9781474475198</v>
      </c>
    </row>
    <row r="3286" spans="1:40" x14ac:dyDescent="0.3">
      <c r="A3286" t="s">
        <v>15467</v>
      </c>
      <c r="B3286" t="s">
        <v>1</v>
      </c>
      <c r="C3286" t="s">
        <v>15468</v>
      </c>
      <c r="E3286" t="s">
        <v>15469</v>
      </c>
      <c r="F3286" t="s">
        <v>5</v>
      </c>
      <c r="G3286" t="s">
        <v>6</v>
      </c>
      <c r="L3286" t="s">
        <v>7</v>
      </c>
      <c r="M3286">
        <v>2022</v>
      </c>
      <c r="N3286" s="1">
        <v>44804</v>
      </c>
      <c r="O3286" t="s">
        <v>15470</v>
      </c>
      <c r="P3286">
        <v>1</v>
      </c>
      <c r="Q3286" t="s">
        <v>6785</v>
      </c>
      <c r="S3286">
        <v>217.95</v>
      </c>
      <c r="T3286">
        <v>250</v>
      </c>
      <c r="U3286">
        <v>190</v>
      </c>
      <c r="V3286" t="s">
        <v>58</v>
      </c>
      <c r="W3286" t="s">
        <v>59</v>
      </c>
      <c r="X3286" t="s">
        <v>60</v>
      </c>
      <c r="Y3286" t="s">
        <v>61</v>
      </c>
      <c r="AF3286" t="s">
        <v>13</v>
      </c>
      <c r="AG3286" t="str">
        <f>HYPERLINK("https://doi.org/10.1515/9781399504416")</f>
        <v>https://doi.org/10.1515/9781399504416</v>
      </c>
      <c r="AH3286" t="str">
        <f>HYPERLINK("http://www.degruyter.com/isbn/9781399504416")</f>
        <v>http://www.degruyter.com/isbn/9781399504416</v>
      </c>
      <c r="AI3286" t="s">
        <v>14853</v>
      </c>
      <c r="AL3286" t="s">
        <v>62</v>
      </c>
      <c r="AM3286">
        <v>1</v>
      </c>
      <c r="AN3286" s="2">
        <v>9781399504393</v>
      </c>
    </row>
    <row r="3287" spans="1:40" x14ac:dyDescent="0.3">
      <c r="A3287" t="s">
        <v>15471</v>
      </c>
      <c r="B3287" t="s">
        <v>1</v>
      </c>
      <c r="C3287" t="s">
        <v>15472</v>
      </c>
      <c r="D3287" t="s">
        <v>15473</v>
      </c>
      <c r="E3287" t="s">
        <v>15474</v>
      </c>
      <c r="F3287" t="s">
        <v>5</v>
      </c>
      <c r="G3287" t="s">
        <v>6</v>
      </c>
      <c r="L3287" t="s">
        <v>7</v>
      </c>
      <c r="M3287">
        <v>2022</v>
      </c>
      <c r="N3287" s="1">
        <v>44804</v>
      </c>
      <c r="O3287" t="s">
        <v>15475</v>
      </c>
      <c r="P3287">
        <v>1</v>
      </c>
      <c r="S3287">
        <v>217.95</v>
      </c>
      <c r="T3287">
        <v>250</v>
      </c>
      <c r="U3287">
        <v>190</v>
      </c>
      <c r="V3287" t="s">
        <v>58</v>
      </c>
      <c r="W3287" t="s">
        <v>59</v>
      </c>
      <c r="X3287" t="s">
        <v>60</v>
      </c>
      <c r="Y3287" t="s">
        <v>15476</v>
      </c>
      <c r="AF3287" t="s">
        <v>13</v>
      </c>
      <c r="AG3287" t="str">
        <f>HYPERLINK("https://doi.org/10.1515/9781399507929")</f>
        <v>https://doi.org/10.1515/9781399507929</v>
      </c>
      <c r="AH3287" t="str">
        <f>HYPERLINK("http://www.degruyter.com/isbn/9781399507929")</f>
        <v>http://www.degruyter.com/isbn/9781399507929</v>
      </c>
      <c r="AI3287" t="s">
        <v>14853</v>
      </c>
      <c r="AL3287" t="s">
        <v>62</v>
      </c>
      <c r="AM3287">
        <v>1</v>
      </c>
      <c r="AN3287" s="2">
        <v>9781399507905</v>
      </c>
    </row>
    <row r="3288" spans="1:40" x14ac:dyDescent="0.3">
      <c r="A3288" t="s">
        <v>15477</v>
      </c>
      <c r="B3288" t="s">
        <v>1</v>
      </c>
      <c r="C3288" t="s">
        <v>15478</v>
      </c>
      <c r="E3288" t="s">
        <v>15479</v>
      </c>
      <c r="F3288" t="s">
        <v>5</v>
      </c>
      <c r="G3288" t="s">
        <v>6</v>
      </c>
      <c r="L3288" t="s">
        <v>7</v>
      </c>
      <c r="M3288">
        <v>2022</v>
      </c>
      <c r="N3288" s="1">
        <v>44804</v>
      </c>
      <c r="O3288" t="s">
        <v>15480</v>
      </c>
      <c r="P3288">
        <v>1</v>
      </c>
      <c r="Q3288" t="s">
        <v>15481</v>
      </c>
      <c r="S3288">
        <v>217.95</v>
      </c>
      <c r="T3288">
        <v>250</v>
      </c>
      <c r="U3288">
        <v>190</v>
      </c>
      <c r="V3288" t="s">
        <v>89</v>
      </c>
      <c r="W3288" t="s">
        <v>90</v>
      </c>
      <c r="X3288" t="s">
        <v>91</v>
      </c>
      <c r="Y3288" t="s">
        <v>717</v>
      </c>
      <c r="AF3288" t="s">
        <v>13</v>
      </c>
      <c r="AG3288" t="str">
        <f>HYPERLINK("https://doi.org/10.1515/9781399503518")</f>
        <v>https://doi.org/10.1515/9781399503518</v>
      </c>
      <c r="AH3288" t="str">
        <f>HYPERLINK("http://www.degruyter.com/isbn/9781399503518")</f>
        <v>http://www.degruyter.com/isbn/9781399503518</v>
      </c>
      <c r="AI3288" t="s">
        <v>15482</v>
      </c>
      <c r="AJ3288" t="s">
        <v>35</v>
      </c>
      <c r="AM3288">
        <v>1</v>
      </c>
      <c r="AN3288" s="2">
        <v>9781399503495</v>
      </c>
    </row>
    <row r="3289" spans="1:40" x14ac:dyDescent="0.3">
      <c r="A3289" t="s">
        <v>15483</v>
      </c>
      <c r="B3289" t="s">
        <v>1</v>
      </c>
      <c r="C3289" t="s">
        <v>15484</v>
      </c>
      <c r="D3289" t="s">
        <v>15485</v>
      </c>
      <c r="E3289" t="s">
        <v>15486</v>
      </c>
      <c r="F3289" t="s">
        <v>5</v>
      </c>
      <c r="G3289" t="s">
        <v>6</v>
      </c>
      <c r="L3289" t="s">
        <v>7</v>
      </c>
      <c r="M3289">
        <v>2022</v>
      </c>
      <c r="N3289" s="1">
        <v>44887</v>
      </c>
      <c r="O3289" t="s">
        <v>761</v>
      </c>
      <c r="P3289">
        <v>1</v>
      </c>
      <c r="Q3289" t="s">
        <v>13880</v>
      </c>
      <c r="S3289">
        <v>209.95</v>
      </c>
      <c r="T3289">
        <v>240</v>
      </c>
      <c r="U3289">
        <v>180</v>
      </c>
      <c r="V3289" t="s">
        <v>79</v>
      </c>
      <c r="W3289" t="s">
        <v>227</v>
      </c>
      <c r="X3289" t="s">
        <v>234</v>
      </c>
      <c r="Y3289" t="s">
        <v>5159</v>
      </c>
      <c r="AF3289" t="s">
        <v>13</v>
      </c>
      <c r="AG3289" t="str">
        <f>HYPERLINK("https://doi.org/10.1515/9781399508308")</f>
        <v>https://doi.org/10.1515/9781399508308</v>
      </c>
      <c r="AH3289" t="str">
        <f>HYPERLINK("http://www.degruyter.com/isbn/9781399508308")</f>
        <v>http://www.degruyter.com/isbn/9781399508308</v>
      </c>
      <c r="AI3289" t="s">
        <v>14633</v>
      </c>
      <c r="AL3289" t="s">
        <v>83</v>
      </c>
      <c r="AM3289">
        <v>1</v>
      </c>
      <c r="AN3289" s="2">
        <v>9781399508285</v>
      </c>
    </row>
    <row r="3290" spans="1:40" x14ac:dyDescent="0.3">
      <c r="A3290" t="s">
        <v>15487</v>
      </c>
      <c r="B3290" t="s">
        <v>1</v>
      </c>
      <c r="C3290" t="s">
        <v>15488</v>
      </c>
      <c r="D3290" t="s">
        <v>15489</v>
      </c>
      <c r="E3290" t="s">
        <v>15490</v>
      </c>
      <c r="F3290" t="s">
        <v>5</v>
      </c>
      <c r="G3290" t="s">
        <v>6</v>
      </c>
      <c r="L3290" t="s">
        <v>7</v>
      </c>
      <c r="M3290">
        <v>2022</v>
      </c>
      <c r="N3290" s="1">
        <v>44903</v>
      </c>
      <c r="O3290" t="s">
        <v>15491</v>
      </c>
      <c r="P3290">
        <v>1</v>
      </c>
      <c r="Q3290" t="s">
        <v>6829</v>
      </c>
      <c r="S3290">
        <v>209.95</v>
      </c>
      <c r="T3290">
        <v>240</v>
      </c>
      <c r="U3290">
        <v>180</v>
      </c>
      <c r="V3290" t="s">
        <v>9</v>
      </c>
      <c r="W3290" t="s">
        <v>10</v>
      </c>
      <c r="X3290" t="s">
        <v>11</v>
      </c>
      <c r="Y3290" t="s">
        <v>52</v>
      </c>
      <c r="AF3290" t="s">
        <v>13</v>
      </c>
      <c r="AH3290" t="str">
        <f>HYPERLINK("http://www.degruyter.com/isbn/9781474448802")</f>
        <v>http://www.degruyter.com/isbn/9781474448802</v>
      </c>
      <c r="AI3290" t="s">
        <v>14693</v>
      </c>
      <c r="AL3290" t="s">
        <v>15</v>
      </c>
      <c r="AM3290">
        <v>1</v>
      </c>
      <c r="AN3290" s="2">
        <v>9781474448789</v>
      </c>
    </row>
    <row r="3291" spans="1:40" x14ac:dyDescent="0.3">
      <c r="A3291" t="s">
        <v>15492</v>
      </c>
      <c r="B3291" t="s">
        <v>1</v>
      </c>
      <c r="C3291" t="s">
        <v>15493</v>
      </c>
      <c r="D3291" t="s">
        <v>15494</v>
      </c>
      <c r="E3291" t="s">
        <v>15495</v>
      </c>
      <c r="F3291" t="s">
        <v>5</v>
      </c>
      <c r="G3291" t="s">
        <v>6</v>
      </c>
      <c r="L3291" t="s">
        <v>7</v>
      </c>
      <c r="M3291">
        <v>2022</v>
      </c>
      <c r="N3291" s="1">
        <v>44903</v>
      </c>
      <c r="O3291" t="s">
        <v>15496</v>
      </c>
      <c r="P3291">
        <v>1</v>
      </c>
      <c r="Q3291" t="s">
        <v>15497</v>
      </c>
      <c r="S3291">
        <v>217.95</v>
      </c>
      <c r="T3291">
        <v>250</v>
      </c>
      <c r="U3291">
        <v>190</v>
      </c>
      <c r="V3291" t="s">
        <v>9</v>
      </c>
      <c r="W3291" t="s">
        <v>10</v>
      </c>
      <c r="X3291" t="s">
        <v>11</v>
      </c>
      <c r="Y3291" t="s">
        <v>52</v>
      </c>
      <c r="AF3291" t="s">
        <v>13</v>
      </c>
      <c r="AH3291" t="str">
        <f>HYPERLINK("http://www.degruyter.com/isbn/9781474448642")</f>
        <v>http://www.degruyter.com/isbn/9781474448642</v>
      </c>
      <c r="AI3291" t="s">
        <v>14693</v>
      </c>
      <c r="AL3291" t="s">
        <v>15</v>
      </c>
      <c r="AM3291">
        <v>1</v>
      </c>
      <c r="AN3291" s="2">
        <v>9781474448628</v>
      </c>
    </row>
    <row r="3292" spans="1:40" x14ac:dyDescent="0.3">
      <c r="A3292" t="s">
        <v>15498</v>
      </c>
      <c r="B3292" t="s">
        <v>1</v>
      </c>
      <c r="C3292" t="s">
        <v>15499</v>
      </c>
      <c r="D3292" t="s">
        <v>15500</v>
      </c>
      <c r="E3292" t="s">
        <v>15501</v>
      </c>
      <c r="F3292" t="s">
        <v>5</v>
      </c>
      <c r="G3292" t="s">
        <v>6</v>
      </c>
      <c r="K3292" t="s">
        <v>923</v>
      </c>
      <c r="L3292" t="s">
        <v>7</v>
      </c>
      <c r="M3292">
        <v>2022</v>
      </c>
      <c r="N3292" s="1">
        <v>44725</v>
      </c>
      <c r="O3292" t="s">
        <v>15502</v>
      </c>
      <c r="P3292">
        <v>1</v>
      </c>
      <c r="Q3292" t="s">
        <v>15503</v>
      </c>
      <c r="V3292" t="s">
        <v>42</v>
      </c>
      <c r="W3292" t="s">
        <v>107</v>
      </c>
      <c r="X3292" t="s">
        <v>108</v>
      </c>
      <c r="Y3292" t="s">
        <v>221</v>
      </c>
      <c r="AF3292" t="s">
        <v>13</v>
      </c>
      <c r="AG3292" t="str">
        <f>HYPERLINK("https://doi.org/10.1515/9781399500883")</f>
        <v>https://doi.org/10.1515/9781399500883</v>
      </c>
      <c r="AH3292" t="str">
        <f>HYPERLINK("http://www.degruyter.com/isbn/9781399500883")</f>
        <v>http://www.degruyter.com/isbn/9781399500883</v>
      </c>
      <c r="AI3292" t="s">
        <v>14638</v>
      </c>
      <c r="AM3292">
        <v>1</v>
      </c>
      <c r="AN3292" s="2"/>
    </row>
    <row r="3293" spans="1:40" x14ac:dyDescent="0.3">
      <c r="A3293" t="s">
        <v>15504</v>
      </c>
      <c r="B3293" t="s">
        <v>1</v>
      </c>
      <c r="C3293" t="s">
        <v>15505</v>
      </c>
      <c r="D3293" t="s">
        <v>15506</v>
      </c>
      <c r="E3293" t="s">
        <v>15507</v>
      </c>
      <c r="F3293" t="s">
        <v>5</v>
      </c>
      <c r="G3293" t="s">
        <v>6</v>
      </c>
      <c r="L3293" t="s">
        <v>7</v>
      </c>
      <c r="M3293">
        <v>2022</v>
      </c>
      <c r="N3293" s="1">
        <v>44887</v>
      </c>
      <c r="O3293" t="s">
        <v>15508</v>
      </c>
      <c r="P3293">
        <v>1</v>
      </c>
      <c r="S3293">
        <v>227.95</v>
      </c>
      <c r="T3293">
        <v>260</v>
      </c>
      <c r="U3293">
        <v>200</v>
      </c>
      <c r="V3293" t="s">
        <v>42</v>
      </c>
      <c r="W3293" t="s">
        <v>43</v>
      </c>
      <c r="X3293" t="s">
        <v>1061</v>
      </c>
      <c r="Y3293" t="s">
        <v>1339</v>
      </c>
      <c r="AF3293" t="s">
        <v>13</v>
      </c>
      <c r="AG3293" t="str">
        <f>HYPERLINK("https://doi.org/10.1515/9781399502832")</f>
        <v>https://doi.org/10.1515/9781399502832</v>
      </c>
      <c r="AH3293" t="str">
        <f>HYPERLINK("http://www.degruyter.com/isbn/9781399502832")</f>
        <v>http://www.degruyter.com/isbn/9781399502832</v>
      </c>
      <c r="AI3293" t="s">
        <v>14656</v>
      </c>
      <c r="AL3293" t="s">
        <v>47</v>
      </c>
      <c r="AM3293">
        <v>1</v>
      </c>
      <c r="AN3293" s="2">
        <v>9781399502818</v>
      </c>
    </row>
    <row r="3294" spans="1:40" x14ac:dyDescent="0.3">
      <c r="A3294" t="s">
        <v>15509</v>
      </c>
      <c r="B3294" t="s">
        <v>1</v>
      </c>
      <c r="C3294" t="s">
        <v>15510</v>
      </c>
      <c r="D3294" t="s">
        <v>15511</v>
      </c>
      <c r="E3294" t="s">
        <v>15512</v>
      </c>
      <c r="F3294" t="s">
        <v>5</v>
      </c>
      <c r="G3294" t="s">
        <v>6</v>
      </c>
      <c r="L3294" t="s">
        <v>7</v>
      </c>
      <c r="M3294">
        <v>2022</v>
      </c>
      <c r="N3294" s="1">
        <v>44865</v>
      </c>
      <c r="O3294" t="s">
        <v>15513</v>
      </c>
      <c r="P3294">
        <v>1</v>
      </c>
      <c r="S3294">
        <v>347.95</v>
      </c>
      <c r="T3294">
        <v>400</v>
      </c>
      <c r="U3294">
        <v>310</v>
      </c>
      <c r="V3294" t="s">
        <v>268</v>
      </c>
      <c r="W3294" t="s">
        <v>705</v>
      </c>
      <c r="X3294" t="s">
        <v>706</v>
      </c>
      <c r="Y3294" t="s">
        <v>707</v>
      </c>
      <c r="AF3294" t="s">
        <v>13</v>
      </c>
      <c r="AH3294" t="str">
        <f>HYPERLINK("http://www.degruyter.com/isbn/9781474477413")</f>
        <v>http://www.degruyter.com/isbn/9781474477413</v>
      </c>
      <c r="AI3294" t="s">
        <v>15514</v>
      </c>
      <c r="AL3294" t="s">
        <v>272</v>
      </c>
      <c r="AM3294">
        <v>1</v>
      </c>
      <c r="AN3294" s="2">
        <v>9781474483650</v>
      </c>
    </row>
    <row r="3295" spans="1:40" x14ac:dyDescent="0.3">
      <c r="A3295" t="s">
        <v>15515</v>
      </c>
      <c r="B3295" t="s">
        <v>1</v>
      </c>
      <c r="C3295" t="s">
        <v>15516</v>
      </c>
      <c r="D3295" t="s">
        <v>15517</v>
      </c>
      <c r="E3295" t="s">
        <v>15518</v>
      </c>
      <c r="F3295" t="s">
        <v>5</v>
      </c>
      <c r="G3295" t="s">
        <v>6</v>
      </c>
      <c r="L3295" t="s">
        <v>7</v>
      </c>
      <c r="M3295">
        <v>2022</v>
      </c>
      <c r="N3295" s="1">
        <v>44865</v>
      </c>
      <c r="O3295" t="s">
        <v>15519</v>
      </c>
      <c r="P3295">
        <v>1</v>
      </c>
      <c r="Q3295" t="s">
        <v>14307</v>
      </c>
      <c r="S3295">
        <v>227.95</v>
      </c>
      <c r="T3295">
        <v>260</v>
      </c>
      <c r="U3295">
        <v>200</v>
      </c>
      <c r="V3295" t="s">
        <v>329</v>
      </c>
      <c r="W3295" t="s">
        <v>330</v>
      </c>
      <c r="X3295" t="s">
        <v>331</v>
      </c>
      <c r="Y3295" t="s">
        <v>332</v>
      </c>
      <c r="AF3295" t="s">
        <v>13</v>
      </c>
      <c r="AH3295" t="str">
        <f>HYPERLINK("http://www.degruyter.com/isbn/9781399506366")</f>
        <v>http://www.degruyter.com/isbn/9781399506366</v>
      </c>
      <c r="AI3295" t="s">
        <v>15374</v>
      </c>
      <c r="AL3295" t="s">
        <v>333</v>
      </c>
      <c r="AM3295">
        <v>1</v>
      </c>
      <c r="AN3295" s="2">
        <v>9781399506342</v>
      </c>
    </row>
    <row r="3296" spans="1:40" x14ac:dyDescent="0.3">
      <c r="A3296" t="s">
        <v>15520</v>
      </c>
      <c r="B3296" t="s">
        <v>1</v>
      </c>
      <c r="C3296" t="s">
        <v>15521</v>
      </c>
      <c r="D3296" t="s">
        <v>15522</v>
      </c>
      <c r="E3296" t="s">
        <v>15523</v>
      </c>
      <c r="F3296" t="s">
        <v>5</v>
      </c>
      <c r="G3296" t="s">
        <v>6</v>
      </c>
      <c r="L3296" t="s">
        <v>7</v>
      </c>
      <c r="M3296">
        <v>2022</v>
      </c>
      <c r="N3296" s="1">
        <v>44865</v>
      </c>
      <c r="O3296" t="s">
        <v>15524</v>
      </c>
      <c r="P3296">
        <v>1</v>
      </c>
      <c r="Q3296" t="s">
        <v>6876</v>
      </c>
      <c r="S3296">
        <v>209.95</v>
      </c>
      <c r="T3296">
        <v>240</v>
      </c>
      <c r="U3296">
        <v>180</v>
      </c>
      <c r="V3296" t="s">
        <v>98</v>
      </c>
      <c r="W3296" t="s">
        <v>99</v>
      </c>
      <c r="X3296" t="s">
        <v>100</v>
      </c>
      <c r="Y3296" t="s">
        <v>4420</v>
      </c>
      <c r="AF3296" t="s">
        <v>13</v>
      </c>
      <c r="AH3296" t="str">
        <f>HYPERLINK("http://www.degruyter.com/isbn/9781474467179")</f>
        <v>http://www.degruyter.com/isbn/9781474467179</v>
      </c>
      <c r="AI3296" t="s">
        <v>15374</v>
      </c>
      <c r="AJ3296" t="s">
        <v>35</v>
      </c>
      <c r="AM3296">
        <v>1</v>
      </c>
      <c r="AN3296" s="2">
        <v>9781474467155</v>
      </c>
    </row>
    <row r="3297" spans="1:40" x14ac:dyDescent="0.3">
      <c r="A3297" t="s">
        <v>15525</v>
      </c>
      <c r="B3297" t="s">
        <v>1</v>
      </c>
      <c r="C3297" t="s">
        <v>15526</v>
      </c>
      <c r="D3297" t="s">
        <v>15527</v>
      </c>
      <c r="E3297" t="s">
        <v>15528</v>
      </c>
      <c r="F3297" t="s">
        <v>5</v>
      </c>
      <c r="G3297" t="s">
        <v>6</v>
      </c>
      <c r="L3297" t="s">
        <v>7</v>
      </c>
      <c r="M3297">
        <v>2022</v>
      </c>
      <c r="N3297" s="1">
        <v>44894</v>
      </c>
      <c r="O3297" t="s">
        <v>15529</v>
      </c>
      <c r="P3297">
        <v>1</v>
      </c>
      <c r="S3297">
        <v>209.95</v>
      </c>
      <c r="T3297">
        <v>240</v>
      </c>
      <c r="U3297">
        <v>180</v>
      </c>
      <c r="V3297" t="s">
        <v>98</v>
      </c>
      <c r="W3297" t="s">
        <v>1513</v>
      </c>
      <c r="X3297" t="s">
        <v>1514</v>
      </c>
      <c r="Y3297" t="s">
        <v>1515</v>
      </c>
      <c r="AF3297" t="s">
        <v>13</v>
      </c>
      <c r="AG3297" t="str">
        <f>HYPERLINK("https://doi.org/10.1515/9781474490221")</f>
        <v>https://doi.org/10.1515/9781474490221</v>
      </c>
      <c r="AH3297" t="str">
        <f>HYPERLINK("http://www.degruyter.com/isbn/9781474490221")</f>
        <v>http://www.degruyter.com/isbn/9781474490221</v>
      </c>
      <c r="AI3297" t="s">
        <v>14651</v>
      </c>
      <c r="AL3297" t="s">
        <v>102</v>
      </c>
      <c r="AM3297">
        <v>1</v>
      </c>
      <c r="AN3297" s="2">
        <v>9781474490207</v>
      </c>
    </row>
    <row r="3298" spans="1:40" x14ac:dyDescent="0.3">
      <c r="A3298" t="s">
        <v>15530</v>
      </c>
      <c r="B3298" t="s">
        <v>1</v>
      </c>
      <c r="C3298" t="s">
        <v>15531</v>
      </c>
      <c r="D3298" t="s">
        <v>15532</v>
      </c>
      <c r="E3298" t="s">
        <v>15533</v>
      </c>
      <c r="F3298" t="s">
        <v>5</v>
      </c>
      <c r="G3298" t="s">
        <v>6</v>
      </c>
      <c r="L3298" t="s">
        <v>7</v>
      </c>
      <c r="M3298">
        <v>2022</v>
      </c>
      <c r="N3298" s="1">
        <v>44887</v>
      </c>
      <c r="O3298" t="s">
        <v>15534</v>
      </c>
      <c r="P3298">
        <v>1</v>
      </c>
      <c r="S3298">
        <v>209.95</v>
      </c>
      <c r="T3298">
        <v>240</v>
      </c>
      <c r="U3298">
        <v>180</v>
      </c>
      <c r="V3298" t="s">
        <v>79</v>
      </c>
      <c r="W3298" t="s">
        <v>783</v>
      </c>
      <c r="X3298" t="s">
        <v>783</v>
      </c>
      <c r="Y3298" t="s">
        <v>12691</v>
      </c>
      <c r="AF3298" t="s">
        <v>13</v>
      </c>
      <c r="AG3298" t="str">
        <f>HYPERLINK("https://doi.org/10.1515/9781399504331")</f>
        <v>https://doi.org/10.1515/9781399504331</v>
      </c>
      <c r="AH3298" t="str">
        <f>HYPERLINK("http://www.degruyter.com/isbn/9781399504331")</f>
        <v>http://www.degruyter.com/isbn/9781399504331</v>
      </c>
      <c r="AI3298" t="s">
        <v>14633</v>
      </c>
      <c r="AL3298" t="s">
        <v>83</v>
      </c>
      <c r="AM3298">
        <v>1</v>
      </c>
      <c r="AN3298" s="2">
        <v>9781399504317</v>
      </c>
    </row>
    <row r="3299" spans="1:40" x14ac:dyDescent="0.3">
      <c r="A3299" t="s">
        <v>15535</v>
      </c>
      <c r="B3299" t="s">
        <v>1</v>
      </c>
      <c r="C3299" t="s">
        <v>15536</v>
      </c>
      <c r="D3299" t="s">
        <v>15537</v>
      </c>
      <c r="E3299" t="s">
        <v>15538</v>
      </c>
      <c r="F3299" t="s">
        <v>5</v>
      </c>
      <c r="G3299" t="s">
        <v>6</v>
      </c>
      <c r="L3299" t="s">
        <v>7</v>
      </c>
      <c r="M3299">
        <v>2022</v>
      </c>
      <c r="N3299" s="1">
        <v>44887</v>
      </c>
      <c r="O3299" t="s">
        <v>15539</v>
      </c>
      <c r="P3299">
        <v>1</v>
      </c>
      <c r="Q3299" t="s">
        <v>6539</v>
      </c>
      <c r="S3299">
        <v>209.95</v>
      </c>
      <c r="T3299">
        <v>240</v>
      </c>
      <c r="U3299">
        <v>180</v>
      </c>
      <c r="V3299" t="s">
        <v>42</v>
      </c>
      <c r="W3299" t="s">
        <v>107</v>
      </c>
      <c r="X3299" t="s">
        <v>108</v>
      </c>
      <c r="Y3299" t="s">
        <v>109</v>
      </c>
      <c r="AF3299" t="s">
        <v>13</v>
      </c>
      <c r="AG3299" t="str">
        <f>HYPERLINK("https://doi.org/10.1515/9781399507721")</f>
        <v>https://doi.org/10.1515/9781399507721</v>
      </c>
      <c r="AH3299" t="str">
        <f>HYPERLINK("http://www.degruyter.com/isbn/9781399507721")</f>
        <v>http://www.degruyter.com/isbn/9781399507721</v>
      </c>
      <c r="AI3299" t="s">
        <v>14638</v>
      </c>
      <c r="AL3299" t="s">
        <v>47</v>
      </c>
      <c r="AM3299">
        <v>1</v>
      </c>
      <c r="AN3299" s="2">
        <v>9781399507707</v>
      </c>
    </row>
    <row r="3300" spans="1:40" x14ac:dyDescent="0.3">
      <c r="A3300" t="s">
        <v>15540</v>
      </c>
      <c r="B3300" t="s">
        <v>1</v>
      </c>
      <c r="C3300" t="s">
        <v>15541</v>
      </c>
      <c r="D3300" t="s">
        <v>15542</v>
      </c>
      <c r="E3300" t="s">
        <v>15543</v>
      </c>
      <c r="F3300" t="s">
        <v>5</v>
      </c>
      <c r="G3300" t="s">
        <v>6</v>
      </c>
      <c r="L3300" t="s">
        <v>7</v>
      </c>
      <c r="M3300">
        <v>2022</v>
      </c>
      <c r="N3300" s="1">
        <v>44894</v>
      </c>
      <c r="O3300" t="s">
        <v>15544</v>
      </c>
      <c r="P3300">
        <v>1</v>
      </c>
      <c r="Q3300" t="s">
        <v>7616</v>
      </c>
      <c r="S3300">
        <v>209.95</v>
      </c>
      <c r="T3300">
        <v>240</v>
      </c>
      <c r="U3300">
        <v>180</v>
      </c>
      <c r="V3300" t="s">
        <v>268</v>
      </c>
      <c r="W3300" t="s">
        <v>269</v>
      </c>
      <c r="X3300" t="s">
        <v>269</v>
      </c>
      <c r="Y3300" t="s">
        <v>15545</v>
      </c>
      <c r="AF3300" t="s">
        <v>13</v>
      </c>
      <c r="AG3300" t="str">
        <f>HYPERLINK("https://doi.org/10.1515/9781474485388")</f>
        <v>https://doi.org/10.1515/9781474485388</v>
      </c>
      <c r="AH3300" t="str">
        <f>HYPERLINK("http://www.degruyter.com/isbn/9781474485388")</f>
        <v>http://www.degruyter.com/isbn/9781474485388</v>
      </c>
      <c r="AI3300" t="s">
        <v>15546</v>
      </c>
      <c r="AL3300" t="s">
        <v>272</v>
      </c>
      <c r="AM3300">
        <v>1</v>
      </c>
      <c r="AN3300" s="2">
        <v>9781474485364</v>
      </c>
    </row>
    <row r="3301" spans="1:40" x14ac:dyDescent="0.3">
      <c r="A3301" t="s">
        <v>15547</v>
      </c>
      <c r="B3301" t="s">
        <v>1</v>
      </c>
      <c r="C3301" t="s">
        <v>15548</v>
      </c>
      <c r="D3301" t="s">
        <v>15549</v>
      </c>
      <c r="E3301" t="s">
        <v>15550</v>
      </c>
      <c r="F3301" t="s">
        <v>5</v>
      </c>
      <c r="G3301" t="s">
        <v>6</v>
      </c>
      <c r="L3301" t="s">
        <v>7</v>
      </c>
      <c r="M3301">
        <v>2022</v>
      </c>
      <c r="N3301" s="1">
        <v>44887</v>
      </c>
      <c r="O3301" t="s">
        <v>15551</v>
      </c>
      <c r="P3301">
        <v>1</v>
      </c>
      <c r="S3301">
        <v>227.95</v>
      </c>
      <c r="T3301">
        <v>260</v>
      </c>
      <c r="U3301">
        <v>200</v>
      </c>
      <c r="V3301" t="s">
        <v>20</v>
      </c>
      <c r="W3301" t="s">
        <v>21</v>
      </c>
      <c r="X3301" t="s">
        <v>458</v>
      </c>
      <c r="Y3301" t="s">
        <v>459</v>
      </c>
      <c r="AF3301" t="s">
        <v>13</v>
      </c>
      <c r="AG3301" t="str">
        <f>HYPERLINK("https://doi.org/10.1515/9781399508582")</f>
        <v>https://doi.org/10.1515/9781399508582</v>
      </c>
      <c r="AH3301" t="str">
        <f>HYPERLINK("http://www.degruyter.com/isbn/9781399508582")</f>
        <v>http://www.degruyter.com/isbn/9781399508582</v>
      </c>
      <c r="AI3301" t="s">
        <v>15046</v>
      </c>
      <c r="AL3301" t="s">
        <v>15</v>
      </c>
      <c r="AM3301">
        <v>1</v>
      </c>
      <c r="AN3301" s="2">
        <v>9781399508568</v>
      </c>
    </row>
    <row r="3302" spans="1:40" x14ac:dyDescent="0.3">
      <c r="A3302" t="s">
        <v>15552</v>
      </c>
      <c r="B3302" t="s">
        <v>1</v>
      </c>
      <c r="C3302" t="s">
        <v>15553</v>
      </c>
      <c r="D3302" t="s">
        <v>15554</v>
      </c>
      <c r="E3302" t="s">
        <v>15555</v>
      </c>
      <c r="F3302" t="s">
        <v>5</v>
      </c>
      <c r="G3302" t="s">
        <v>6</v>
      </c>
      <c r="L3302" t="s">
        <v>7</v>
      </c>
      <c r="M3302">
        <v>2022</v>
      </c>
      <c r="N3302" s="1">
        <v>44894</v>
      </c>
      <c r="O3302" t="s">
        <v>1591</v>
      </c>
      <c r="P3302">
        <v>1</v>
      </c>
      <c r="S3302">
        <v>209.95</v>
      </c>
      <c r="T3302">
        <v>240</v>
      </c>
      <c r="U3302">
        <v>180</v>
      </c>
      <c r="V3302" t="s">
        <v>42</v>
      </c>
      <c r="W3302" t="s">
        <v>107</v>
      </c>
      <c r="X3302" t="s">
        <v>108</v>
      </c>
      <c r="Y3302" t="s">
        <v>109</v>
      </c>
      <c r="AF3302" t="s">
        <v>13</v>
      </c>
      <c r="AG3302" t="str">
        <f>HYPERLINK("https://doi.org/10.1515/9781474499026")</f>
        <v>https://doi.org/10.1515/9781474499026</v>
      </c>
      <c r="AH3302" t="str">
        <f>HYPERLINK("http://www.degruyter.com/isbn/9781474499026")</f>
        <v>http://www.degruyter.com/isbn/9781474499026</v>
      </c>
      <c r="AI3302" t="s">
        <v>14638</v>
      </c>
      <c r="AL3302" t="s">
        <v>47</v>
      </c>
      <c r="AM3302">
        <v>1</v>
      </c>
      <c r="AN3302" s="2">
        <v>9781474499002</v>
      </c>
    </row>
    <row r="3303" spans="1:40" x14ac:dyDescent="0.3">
      <c r="A3303" t="s">
        <v>15556</v>
      </c>
      <c r="B3303" t="s">
        <v>1</v>
      </c>
      <c r="C3303" t="s">
        <v>15557</v>
      </c>
      <c r="E3303" t="s">
        <v>15558</v>
      </c>
      <c r="F3303" t="s">
        <v>5</v>
      </c>
      <c r="G3303" t="s">
        <v>6</v>
      </c>
      <c r="K3303" t="s">
        <v>4259</v>
      </c>
      <c r="L3303" t="s">
        <v>7</v>
      </c>
      <c r="M3303">
        <v>2022</v>
      </c>
      <c r="N3303" s="1">
        <v>44889</v>
      </c>
      <c r="O3303" t="s">
        <v>15559</v>
      </c>
      <c r="P3303">
        <v>1</v>
      </c>
      <c r="Q3303" t="s">
        <v>11407</v>
      </c>
      <c r="V3303" t="s">
        <v>329</v>
      </c>
      <c r="W3303" t="s">
        <v>330</v>
      </c>
      <c r="X3303" t="s">
        <v>331</v>
      </c>
      <c r="Y3303" t="s">
        <v>1035</v>
      </c>
      <c r="AF3303" t="s">
        <v>13</v>
      </c>
      <c r="AH3303" t="str">
        <f>HYPERLINK("http://www.degruyter.com/isbn/9781474493642")</f>
        <v>http://www.degruyter.com/isbn/9781474493642</v>
      </c>
      <c r="AI3303" t="s">
        <v>15374</v>
      </c>
      <c r="AM3303">
        <v>1</v>
      </c>
      <c r="AN3303" s="2"/>
    </row>
    <row r="3304" spans="1:40" x14ac:dyDescent="0.3">
      <c r="A3304" t="s">
        <v>15560</v>
      </c>
      <c r="B3304" t="s">
        <v>1</v>
      </c>
      <c r="C3304" t="s">
        <v>15561</v>
      </c>
      <c r="E3304" t="s">
        <v>15562</v>
      </c>
      <c r="F3304" t="s">
        <v>5</v>
      </c>
      <c r="G3304" t="s">
        <v>6</v>
      </c>
      <c r="L3304" t="s">
        <v>7</v>
      </c>
      <c r="M3304">
        <v>2022</v>
      </c>
      <c r="N3304" s="1">
        <v>44865</v>
      </c>
      <c r="O3304" t="s">
        <v>15563</v>
      </c>
      <c r="P3304">
        <v>1</v>
      </c>
      <c r="S3304">
        <v>209.95</v>
      </c>
      <c r="T3304">
        <v>240</v>
      </c>
      <c r="U3304">
        <v>180</v>
      </c>
      <c r="V3304" t="s">
        <v>9</v>
      </c>
      <c r="W3304" t="s">
        <v>10</v>
      </c>
      <c r="X3304" t="s">
        <v>11</v>
      </c>
      <c r="Y3304" t="s">
        <v>52</v>
      </c>
      <c r="AF3304" t="s">
        <v>13</v>
      </c>
      <c r="AH3304" t="str">
        <f>HYPERLINK("http://www.degruyter.com/isbn/9781399501057")</f>
        <v>http://www.degruyter.com/isbn/9781399501057</v>
      </c>
      <c r="AI3304" t="s">
        <v>15374</v>
      </c>
      <c r="AL3304" t="s">
        <v>15</v>
      </c>
      <c r="AM3304">
        <v>1</v>
      </c>
      <c r="AN3304" s="2">
        <v>9781399501033</v>
      </c>
    </row>
    <row r="3305" spans="1:40" x14ac:dyDescent="0.3">
      <c r="A3305" t="s">
        <v>15564</v>
      </c>
      <c r="B3305" t="s">
        <v>1</v>
      </c>
      <c r="C3305" t="s">
        <v>15565</v>
      </c>
      <c r="D3305" t="s">
        <v>15566</v>
      </c>
      <c r="E3305" t="s">
        <v>15567</v>
      </c>
      <c r="F3305" t="s">
        <v>5</v>
      </c>
      <c r="G3305" t="s">
        <v>6</v>
      </c>
      <c r="L3305" t="s">
        <v>7</v>
      </c>
      <c r="M3305">
        <v>2022</v>
      </c>
      <c r="N3305" s="1">
        <v>44894</v>
      </c>
      <c r="O3305" t="s">
        <v>15568</v>
      </c>
      <c r="P3305">
        <v>1</v>
      </c>
      <c r="S3305">
        <v>209.95</v>
      </c>
      <c r="T3305">
        <v>240</v>
      </c>
      <c r="U3305">
        <v>180</v>
      </c>
      <c r="V3305" t="s">
        <v>847</v>
      </c>
      <c r="W3305" t="s">
        <v>848</v>
      </c>
      <c r="X3305" t="s">
        <v>1771</v>
      </c>
      <c r="Y3305" t="s">
        <v>15569</v>
      </c>
      <c r="AF3305" t="s">
        <v>13</v>
      </c>
      <c r="AG3305" t="str">
        <f>HYPERLINK("https://doi.org/10.1515/9781474486590")</f>
        <v>https://doi.org/10.1515/9781474486590</v>
      </c>
      <c r="AH3305" t="str">
        <f>HYPERLINK("http://www.degruyter.com/isbn/9781474486590")</f>
        <v>http://www.degruyter.com/isbn/9781474486590</v>
      </c>
      <c r="AI3305" t="s">
        <v>15251</v>
      </c>
      <c r="AL3305" t="s">
        <v>1070</v>
      </c>
      <c r="AM3305">
        <v>1</v>
      </c>
      <c r="AN3305" s="2">
        <v>9781474486576</v>
      </c>
    </row>
    <row r="3306" spans="1:40" x14ac:dyDescent="0.3">
      <c r="A3306" t="s">
        <v>15570</v>
      </c>
      <c r="B3306" t="s">
        <v>1</v>
      </c>
      <c r="C3306" t="s">
        <v>15571</v>
      </c>
      <c r="E3306" t="s">
        <v>15572</v>
      </c>
      <c r="F3306" t="s">
        <v>5</v>
      </c>
      <c r="G3306" t="s">
        <v>6</v>
      </c>
      <c r="L3306" t="s">
        <v>7</v>
      </c>
      <c r="M3306">
        <v>2022</v>
      </c>
      <c r="N3306" s="1">
        <v>44865</v>
      </c>
      <c r="O3306" t="s">
        <v>1940</v>
      </c>
      <c r="P3306">
        <v>1</v>
      </c>
      <c r="Q3306" t="s">
        <v>8750</v>
      </c>
      <c r="S3306">
        <v>217.95</v>
      </c>
      <c r="T3306">
        <v>250</v>
      </c>
      <c r="U3306">
        <v>190</v>
      </c>
      <c r="V3306" t="s">
        <v>42</v>
      </c>
      <c r="W3306" t="s">
        <v>107</v>
      </c>
      <c r="X3306" t="s">
        <v>108</v>
      </c>
      <c r="Y3306" t="s">
        <v>952</v>
      </c>
      <c r="AF3306" t="s">
        <v>13</v>
      </c>
      <c r="AH3306" t="str">
        <f>HYPERLINK("http://www.degruyter.com/isbn/9781399509978")</f>
        <v>http://www.degruyter.com/isbn/9781399509978</v>
      </c>
      <c r="AI3306" t="s">
        <v>15374</v>
      </c>
      <c r="AL3306" t="s">
        <v>47</v>
      </c>
      <c r="AM3306">
        <v>1</v>
      </c>
      <c r="AN3306" s="2">
        <v>9781399509947</v>
      </c>
    </row>
    <row r="3307" spans="1:40" x14ac:dyDescent="0.3">
      <c r="A3307" t="s">
        <v>15573</v>
      </c>
      <c r="B3307" t="s">
        <v>1</v>
      </c>
      <c r="C3307" t="s">
        <v>15574</v>
      </c>
      <c r="E3307" t="s">
        <v>15575</v>
      </c>
      <c r="F3307" t="s">
        <v>5</v>
      </c>
      <c r="G3307" t="s">
        <v>6</v>
      </c>
      <c r="K3307" t="s">
        <v>15576</v>
      </c>
      <c r="L3307" t="s">
        <v>7</v>
      </c>
      <c r="M3307">
        <v>2022</v>
      </c>
      <c r="N3307" s="1">
        <v>44853</v>
      </c>
      <c r="O3307" t="s">
        <v>15577</v>
      </c>
      <c r="P3307">
        <v>1</v>
      </c>
      <c r="Q3307" t="s">
        <v>13843</v>
      </c>
      <c r="V3307" t="s">
        <v>58</v>
      </c>
      <c r="W3307" t="s">
        <v>59</v>
      </c>
      <c r="X3307" t="s">
        <v>3060</v>
      </c>
      <c r="Y3307" t="s">
        <v>3061</v>
      </c>
      <c r="AF3307" t="s">
        <v>13</v>
      </c>
      <c r="AG3307" t="str">
        <f>HYPERLINK("https://doi.org/10.1515/9781474490061")</f>
        <v>https://doi.org/10.1515/9781474490061</v>
      </c>
      <c r="AH3307" t="str">
        <f>HYPERLINK("http://www.degruyter.com/isbn/9781474490061")</f>
        <v>http://www.degruyter.com/isbn/9781474490061</v>
      </c>
      <c r="AI3307" t="s">
        <v>14853</v>
      </c>
      <c r="AM3307">
        <v>1</v>
      </c>
      <c r="AN3307" s="2"/>
    </row>
    <row r="3308" spans="1:40" x14ac:dyDescent="0.3">
      <c r="A3308" t="s">
        <v>15578</v>
      </c>
      <c r="B3308" t="s">
        <v>1</v>
      </c>
      <c r="C3308" t="s">
        <v>15579</v>
      </c>
      <c r="D3308" t="s">
        <v>15580</v>
      </c>
      <c r="E3308" t="s">
        <v>15581</v>
      </c>
      <c r="F3308" t="s">
        <v>5</v>
      </c>
      <c r="G3308" t="s">
        <v>6</v>
      </c>
      <c r="L3308" t="s">
        <v>7</v>
      </c>
      <c r="M3308">
        <v>2022</v>
      </c>
      <c r="N3308" s="1">
        <v>44887</v>
      </c>
      <c r="O3308" t="s">
        <v>15582</v>
      </c>
      <c r="P3308">
        <v>1</v>
      </c>
      <c r="S3308">
        <v>209.95</v>
      </c>
      <c r="T3308">
        <v>240</v>
      </c>
      <c r="U3308">
        <v>180</v>
      </c>
      <c r="V3308" t="s">
        <v>9</v>
      </c>
      <c r="W3308" t="s">
        <v>10</v>
      </c>
      <c r="X3308" t="s">
        <v>11</v>
      </c>
      <c r="Y3308" t="s">
        <v>12</v>
      </c>
      <c r="AF3308" t="s">
        <v>13</v>
      </c>
      <c r="AG3308" t="str">
        <f>HYPERLINK("https://doi.org/10.1515/9781474476140")</f>
        <v>https://doi.org/10.1515/9781474476140</v>
      </c>
      <c r="AH3308" t="str">
        <f>HYPERLINK("http://www.degruyter.com/isbn/9781474476140")</f>
        <v>http://www.degruyter.com/isbn/9781474476140</v>
      </c>
      <c r="AI3308" t="s">
        <v>14693</v>
      </c>
      <c r="AL3308" t="s">
        <v>15</v>
      </c>
      <c r="AM3308">
        <v>1</v>
      </c>
      <c r="AN3308" s="2">
        <v>9781474476126</v>
      </c>
    </row>
    <row r="3309" spans="1:40" x14ac:dyDescent="0.3">
      <c r="A3309" t="s">
        <v>15583</v>
      </c>
      <c r="B3309" t="s">
        <v>1</v>
      </c>
      <c r="C3309" t="s">
        <v>15584</v>
      </c>
      <c r="D3309" t="s">
        <v>15585</v>
      </c>
      <c r="E3309" t="s">
        <v>15586</v>
      </c>
      <c r="F3309" t="s">
        <v>5</v>
      </c>
      <c r="G3309" t="s">
        <v>6</v>
      </c>
      <c r="L3309" t="s">
        <v>7</v>
      </c>
      <c r="M3309">
        <v>2022</v>
      </c>
      <c r="N3309" s="1">
        <v>44865</v>
      </c>
      <c r="O3309" t="s">
        <v>15587</v>
      </c>
      <c r="P3309">
        <v>1</v>
      </c>
      <c r="Q3309" t="s">
        <v>9604</v>
      </c>
      <c r="S3309">
        <v>209.95</v>
      </c>
      <c r="T3309">
        <v>240</v>
      </c>
      <c r="U3309">
        <v>180</v>
      </c>
      <c r="V3309" t="s">
        <v>58</v>
      </c>
      <c r="W3309" t="s">
        <v>59</v>
      </c>
      <c r="X3309" t="s">
        <v>278</v>
      </c>
      <c r="Y3309" t="s">
        <v>932</v>
      </c>
      <c r="AF3309" t="s">
        <v>13</v>
      </c>
      <c r="AH3309" t="str">
        <f>HYPERLINK("http://www.degruyter.com/isbn/9781399505536")</f>
        <v>http://www.degruyter.com/isbn/9781399505536</v>
      </c>
      <c r="AI3309" t="s">
        <v>15374</v>
      </c>
      <c r="AL3309" t="s">
        <v>62</v>
      </c>
      <c r="AM3309">
        <v>1</v>
      </c>
      <c r="AN3309" s="2">
        <v>9781399505512</v>
      </c>
    </row>
    <row r="3310" spans="1:40" x14ac:dyDescent="0.3">
      <c r="A3310" t="s">
        <v>15588</v>
      </c>
      <c r="B3310" t="s">
        <v>1</v>
      </c>
      <c r="C3310" t="s">
        <v>15589</v>
      </c>
      <c r="E3310" t="s">
        <v>15590</v>
      </c>
      <c r="F3310" t="s">
        <v>5</v>
      </c>
      <c r="G3310" t="s">
        <v>6</v>
      </c>
      <c r="L3310" t="s">
        <v>7</v>
      </c>
      <c r="M3310">
        <v>2022</v>
      </c>
      <c r="N3310" s="1">
        <v>44865</v>
      </c>
      <c r="O3310" t="s">
        <v>15591</v>
      </c>
      <c r="P3310">
        <v>1</v>
      </c>
      <c r="S3310">
        <v>209.95</v>
      </c>
      <c r="T3310">
        <v>240</v>
      </c>
      <c r="U3310">
        <v>180</v>
      </c>
      <c r="V3310" t="s">
        <v>9</v>
      </c>
      <c r="W3310" t="s">
        <v>10</v>
      </c>
      <c r="X3310" t="s">
        <v>11</v>
      </c>
      <c r="Y3310" t="s">
        <v>52</v>
      </c>
      <c r="AF3310" t="s">
        <v>13</v>
      </c>
      <c r="AH3310" t="str">
        <f>HYPERLINK("http://www.degruyter.com/isbn/9781399501415")</f>
        <v>http://www.degruyter.com/isbn/9781399501415</v>
      </c>
      <c r="AI3310" t="s">
        <v>15374</v>
      </c>
      <c r="AL3310" t="s">
        <v>15</v>
      </c>
      <c r="AM3310">
        <v>1</v>
      </c>
      <c r="AN3310" s="2">
        <v>9781399501392</v>
      </c>
    </row>
    <row r="3311" spans="1:40" x14ac:dyDescent="0.3">
      <c r="A3311" t="s">
        <v>15592</v>
      </c>
      <c r="B3311" t="s">
        <v>1</v>
      </c>
      <c r="C3311" t="s">
        <v>15593</v>
      </c>
      <c r="E3311" t="s">
        <v>15594</v>
      </c>
      <c r="F3311" t="s">
        <v>5</v>
      </c>
      <c r="G3311" t="s">
        <v>6</v>
      </c>
      <c r="L3311" t="s">
        <v>7</v>
      </c>
      <c r="M3311">
        <v>2022</v>
      </c>
      <c r="N3311" s="1">
        <v>44865</v>
      </c>
      <c r="O3311" t="s">
        <v>15595</v>
      </c>
      <c r="P3311">
        <v>1</v>
      </c>
      <c r="S3311">
        <v>217.95</v>
      </c>
      <c r="T3311">
        <v>250</v>
      </c>
      <c r="U3311">
        <v>190</v>
      </c>
      <c r="V3311" t="s">
        <v>847</v>
      </c>
      <c r="W3311" t="s">
        <v>848</v>
      </c>
      <c r="X3311" t="s">
        <v>20</v>
      </c>
      <c r="Y3311" t="s">
        <v>15596</v>
      </c>
      <c r="AF3311" t="s">
        <v>13</v>
      </c>
      <c r="AH3311" t="str">
        <f>HYPERLINK("http://www.degruyter.com/isbn/9781474498326")</f>
        <v>http://www.degruyter.com/isbn/9781474498326</v>
      </c>
      <c r="AI3311" t="s">
        <v>15597</v>
      </c>
      <c r="AL3311" t="s">
        <v>1070</v>
      </c>
      <c r="AM3311">
        <v>1</v>
      </c>
      <c r="AN3311" s="2">
        <v>9781474498302</v>
      </c>
    </row>
    <row r="3312" spans="1:40" x14ac:dyDescent="0.3">
      <c r="A3312" t="s">
        <v>15598</v>
      </c>
      <c r="B3312" t="s">
        <v>1</v>
      </c>
      <c r="C3312" t="s">
        <v>15599</v>
      </c>
      <c r="E3312" t="s">
        <v>15600</v>
      </c>
      <c r="F3312" t="s">
        <v>5</v>
      </c>
      <c r="G3312" t="s">
        <v>6</v>
      </c>
      <c r="L3312" t="s">
        <v>7</v>
      </c>
      <c r="M3312">
        <v>2023</v>
      </c>
      <c r="N3312" s="1">
        <v>44957</v>
      </c>
      <c r="O3312" t="s">
        <v>15601</v>
      </c>
      <c r="P3312">
        <v>1</v>
      </c>
      <c r="S3312">
        <v>157.94999999999999</v>
      </c>
      <c r="T3312">
        <v>180</v>
      </c>
      <c r="U3312">
        <v>140</v>
      </c>
      <c r="V3312" t="s">
        <v>6821</v>
      </c>
      <c r="W3312" t="s">
        <v>8472</v>
      </c>
      <c r="X3312" t="s">
        <v>15602</v>
      </c>
      <c r="Y3312" t="s">
        <v>15603</v>
      </c>
      <c r="AF3312" t="s">
        <v>13</v>
      </c>
      <c r="AH3312" t="str">
        <f>HYPERLINK("http://www.degruyter.com/isbn/9781399502672")</f>
        <v>http://www.degruyter.com/isbn/9781399502672</v>
      </c>
      <c r="AI3312" t="s">
        <v>15604</v>
      </c>
      <c r="AL3312" t="s">
        <v>638</v>
      </c>
      <c r="AM3312">
        <v>1</v>
      </c>
      <c r="AN3312" s="2">
        <v>9781399502658</v>
      </c>
    </row>
    <row r="3313" spans="1:40" x14ac:dyDescent="0.3">
      <c r="A3313" t="s">
        <v>15605</v>
      </c>
      <c r="B3313" t="s">
        <v>1</v>
      </c>
      <c r="C3313" t="s">
        <v>15606</v>
      </c>
      <c r="D3313" t="s">
        <v>15607</v>
      </c>
      <c r="E3313" t="s">
        <v>15608</v>
      </c>
      <c r="F3313" t="s">
        <v>5</v>
      </c>
      <c r="G3313" t="s">
        <v>6</v>
      </c>
      <c r="L3313" t="s">
        <v>7</v>
      </c>
      <c r="M3313">
        <v>2022</v>
      </c>
      <c r="N3313" s="1">
        <v>44865</v>
      </c>
      <c r="O3313" t="s">
        <v>856</v>
      </c>
      <c r="P3313">
        <v>1</v>
      </c>
      <c r="S3313">
        <v>209.95</v>
      </c>
      <c r="T3313">
        <v>240</v>
      </c>
      <c r="U3313">
        <v>180</v>
      </c>
      <c r="V3313" t="s">
        <v>20</v>
      </c>
      <c r="W3313" t="s">
        <v>21</v>
      </c>
      <c r="X3313" t="s">
        <v>22</v>
      </c>
      <c r="Y3313" t="s">
        <v>23</v>
      </c>
      <c r="AF3313" t="s">
        <v>13</v>
      </c>
      <c r="AH3313" t="str">
        <f>HYPERLINK("http://www.degruyter.com/isbn/9781474457002")</f>
        <v>http://www.degruyter.com/isbn/9781474457002</v>
      </c>
      <c r="AI3313" t="s">
        <v>15374</v>
      </c>
      <c r="AL3313" t="s">
        <v>15</v>
      </c>
      <c r="AM3313">
        <v>1</v>
      </c>
      <c r="AN3313" s="2">
        <v>9781474456982</v>
      </c>
    </row>
    <row r="3314" spans="1:40" x14ac:dyDescent="0.3">
      <c r="A3314" t="s">
        <v>15609</v>
      </c>
      <c r="B3314" t="s">
        <v>1</v>
      </c>
      <c r="C3314" t="s">
        <v>15610</v>
      </c>
      <c r="D3314" t="s">
        <v>15611</v>
      </c>
      <c r="E3314" t="s">
        <v>15612</v>
      </c>
      <c r="F3314" t="s">
        <v>5</v>
      </c>
      <c r="G3314" t="s">
        <v>6</v>
      </c>
      <c r="L3314" t="s">
        <v>7</v>
      </c>
      <c r="M3314">
        <v>2022</v>
      </c>
      <c r="N3314" s="1">
        <v>44865</v>
      </c>
      <c r="O3314" t="s">
        <v>15613</v>
      </c>
      <c r="P3314">
        <v>1</v>
      </c>
      <c r="Q3314" t="s">
        <v>6665</v>
      </c>
      <c r="S3314">
        <v>217.95</v>
      </c>
      <c r="T3314">
        <v>250</v>
      </c>
      <c r="U3314">
        <v>190</v>
      </c>
      <c r="V3314" t="s">
        <v>9</v>
      </c>
      <c r="W3314" t="s">
        <v>10</v>
      </c>
      <c r="X3314" t="s">
        <v>11</v>
      </c>
      <c r="Y3314" t="s">
        <v>52</v>
      </c>
      <c r="AF3314" t="s">
        <v>13</v>
      </c>
      <c r="AH3314" t="str">
        <f>HYPERLINK("http://www.degruyter.com/isbn/9781474457866")</f>
        <v>http://www.degruyter.com/isbn/9781474457866</v>
      </c>
      <c r="AI3314" t="s">
        <v>15374</v>
      </c>
      <c r="AL3314" t="s">
        <v>15</v>
      </c>
      <c r="AM3314">
        <v>1</v>
      </c>
      <c r="AN3314" s="2">
        <v>9781474457842</v>
      </c>
    </row>
    <row r="3315" spans="1:40" x14ac:dyDescent="0.3">
      <c r="A3315" t="s">
        <v>15614</v>
      </c>
      <c r="B3315" t="s">
        <v>1</v>
      </c>
      <c r="C3315" t="s">
        <v>15615</v>
      </c>
      <c r="E3315" t="s">
        <v>15616</v>
      </c>
      <c r="F3315" t="s">
        <v>5</v>
      </c>
      <c r="G3315" t="s">
        <v>6</v>
      </c>
      <c r="L3315" t="s">
        <v>7</v>
      </c>
      <c r="M3315">
        <v>2022</v>
      </c>
      <c r="N3315" s="1">
        <v>44894</v>
      </c>
      <c r="O3315" t="s">
        <v>15617</v>
      </c>
      <c r="P3315">
        <v>1</v>
      </c>
      <c r="S3315">
        <v>209.95</v>
      </c>
      <c r="T3315">
        <v>240</v>
      </c>
      <c r="U3315">
        <v>180</v>
      </c>
      <c r="V3315" t="s">
        <v>42</v>
      </c>
      <c r="W3315" t="s">
        <v>43</v>
      </c>
      <c r="X3315" t="s">
        <v>178</v>
      </c>
      <c r="Y3315" t="s">
        <v>15618</v>
      </c>
      <c r="AF3315" t="s">
        <v>13</v>
      </c>
      <c r="AG3315" t="str">
        <f>HYPERLINK("https://doi.org/10.1515/9781474487313")</f>
        <v>https://doi.org/10.1515/9781474487313</v>
      </c>
      <c r="AH3315" t="str">
        <f>HYPERLINK("http://www.degruyter.com/isbn/9781474487313")</f>
        <v>http://www.degruyter.com/isbn/9781474487313</v>
      </c>
      <c r="AI3315" t="s">
        <v>14638</v>
      </c>
      <c r="AL3315" t="s">
        <v>47</v>
      </c>
      <c r="AM3315">
        <v>1</v>
      </c>
      <c r="AN3315" s="2">
        <v>9781474487290</v>
      </c>
    </row>
    <row r="3316" spans="1:40" x14ac:dyDescent="0.3">
      <c r="A3316" t="s">
        <v>15619</v>
      </c>
      <c r="B3316" t="s">
        <v>1</v>
      </c>
      <c r="C3316" t="s">
        <v>15620</v>
      </c>
      <c r="D3316" t="s">
        <v>15621</v>
      </c>
      <c r="E3316" t="s">
        <v>15622</v>
      </c>
      <c r="F3316" t="s">
        <v>5</v>
      </c>
      <c r="G3316" t="s">
        <v>6</v>
      </c>
      <c r="K3316" t="s">
        <v>15576</v>
      </c>
      <c r="L3316" t="s">
        <v>7</v>
      </c>
      <c r="M3316">
        <v>2022</v>
      </c>
      <c r="N3316" s="1">
        <v>44753</v>
      </c>
      <c r="O3316" t="s">
        <v>14185</v>
      </c>
      <c r="P3316">
        <v>1</v>
      </c>
      <c r="V3316" t="s">
        <v>42</v>
      </c>
      <c r="W3316" t="s">
        <v>43</v>
      </c>
      <c r="X3316" t="s">
        <v>15623</v>
      </c>
      <c r="Y3316" t="s">
        <v>1515</v>
      </c>
      <c r="AF3316" t="s">
        <v>13</v>
      </c>
      <c r="AH3316" t="str">
        <f>HYPERLINK("http://www.degruyter.com/isbn/9781399502436")</f>
        <v>http://www.degruyter.com/isbn/9781399502436</v>
      </c>
      <c r="AI3316" t="s">
        <v>15374</v>
      </c>
      <c r="AM3316">
        <v>1</v>
      </c>
      <c r="AN3316" s="2"/>
    </row>
    <row r="3317" spans="1:40" x14ac:dyDescent="0.3">
      <c r="A3317" t="s">
        <v>15624</v>
      </c>
      <c r="B3317" t="s">
        <v>1</v>
      </c>
      <c r="C3317" t="s">
        <v>15625</v>
      </c>
      <c r="E3317" t="s">
        <v>15626</v>
      </c>
      <c r="F3317" t="s">
        <v>5</v>
      </c>
      <c r="G3317" t="s">
        <v>6</v>
      </c>
      <c r="L3317" t="s">
        <v>7</v>
      </c>
      <c r="M3317">
        <v>2022</v>
      </c>
      <c r="N3317" s="1">
        <v>44894</v>
      </c>
      <c r="O3317" t="s">
        <v>15627</v>
      </c>
      <c r="P3317">
        <v>1</v>
      </c>
      <c r="Q3317" t="s">
        <v>7728</v>
      </c>
      <c r="S3317">
        <v>183.95</v>
      </c>
      <c r="T3317">
        <v>210</v>
      </c>
      <c r="U3317">
        <v>160</v>
      </c>
      <c r="V3317" t="s">
        <v>42</v>
      </c>
      <c r="W3317" t="s">
        <v>43</v>
      </c>
      <c r="X3317" t="s">
        <v>178</v>
      </c>
      <c r="Y3317" t="s">
        <v>4382</v>
      </c>
      <c r="AF3317" t="s">
        <v>13</v>
      </c>
      <c r="AG3317" t="str">
        <f>HYPERLINK("https://doi.org/10.1515/9781474491822")</f>
        <v>https://doi.org/10.1515/9781474491822</v>
      </c>
      <c r="AH3317" t="str">
        <f>HYPERLINK("http://www.degruyter.com/isbn/9781474491822")</f>
        <v>http://www.degruyter.com/isbn/9781474491822</v>
      </c>
      <c r="AI3317" t="s">
        <v>14638</v>
      </c>
      <c r="AL3317" t="s">
        <v>47</v>
      </c>
      <c r="AM3317">
        <v>1</v>
      </c>
      <c r="AN3317" s="2">
        <v>9781474491808</v>
      </c>
    </row>
    <row r="3318" spans="1:40" x14ac:dyDescent="0.3">
      <c r="A3318" t="s">
        <v>15628</v>
      </c>
      <c r="B3318" t="s">
        <v>1</v>
      </c>
      <c r="C3318" t="s">
        <v>15629</v>
      </c>
      <c r="D3318" t="s">
        <v>15630</v>
      </c>
      <c r="E3318" t="s">
        <v>15631</v>
      </c>
      <c r="F3318" t="s">
        <v>5</v>
      </c>
      <c r="G3318" t="s">
        <v>6</v>
      </c>
      <c r="L3318" t="s">
        <v>7</v>
      </c>
      <c r="M3318">
        <v>2022</v>
      </c>
      <c r="N3318" s="1">
        <v>44865</v>
      </c>
      <c r="O3318" t="s">
        <v>15632</v>
      </c>
      <c r="P3318">
        <v>1</v>
      </c>
      <c r="Q3318" t="s">
        <v>11407</v>
      </c>
      <c r="S3318">
        <v>227.95</v>
      </c>
      <c r="T3318">
        <v>260</v>
      </c>
      <c r="U3318">
        <v>200</v>
      </c>
      <c r="V3318" t="s">
        <v>329</v>
      </c>
      <c r="W3318" t="s">
        <v>330</v>
      </c>
      <c r="X3318" t="s">
        <v>331</v>
      </c>
      <c r="Y3318" t="s">
        <v>4770</v>
      </c>
      <c r="AF3318" t="s">
        <v>13</v>
      </c>
      <c r="AH3318" t="str">
        <f>HYPERLINK("http://www.degruyter.com/isbn/9781474478120")</f>
        <v>http://www.degruyter.com/isbn/9781474478120</v>
      </c>
      <c r="AI3318" t="s">
        <v>15374</v>
      </c>
      <c r="AL3318" t="s">
        <v>333</v>
      </c>
      <c r="AM3318">
        <v>1</v>
      </c>
      <c r="AN3318" s="2">
        <v>9781474478106</v>
      </c>
    </row>
    <row r="3319" spans="1:40" x14ac:dyDescent="0.3">
      <c r="A3319" t="s">
        <v>15633</v>
      </c>
      <c r="B3319" t="s">
        <v>1</v>
      </c>
      <c r="C3319" t="s">
        <v>15634</v>
      </c>
      <c r="D3319" t="s">
        <v>15635</v>
      </c>
      <c r="E3319" t="s">
        <v>15636</v>
      </c>
      <c r="F3319" t="s">
        <v>5</v>
      </c>
      <c r="G3319" t="s">
        <v>6</v>
      </c>
      <c r="L3319" t="s">
        <v>7</v>
      </c>
      <c r="M3319">
        <v>2022</v>
      </c>
      <c r="N3319" s="1">
        <v>44894</v>
      </c>
      <c r="O3319" t="s">
        <v>15637</v>
      </c>
      <c r="P3319">
        <v>1</v>
      </c>
      <c r="S3319">
        <v>217.95</v>
      </c>
      <c r="T3319">
        <v>250</v>
      </c>
      <c r="U3319">
        <v>190</v>
      </c>
      <c r="V3319" t="s">
        <v>20</v>
      </c>
      <c r="W3319" t="s">
        <v>21</v>
      </c>
      <c r="X3319" t="s">
        <v>22</v>
      </c>
      <c r="Y3319" t="s">
        <v>23</v>
      </c>
      <c r="AF3319" t="s">
        <v>13</v>
      </c>
      <c r="AG3319" t="str">
        <f>HYPERLINK("https://doi.org/10.1515/9781474493529")</f>
        <v>https://doi.org/10.1515/9781474493529</v>
      </c>
      <c r="AH3319" t="str">
        <f>HYPERLINK("http://www.degruyter.com/isbn/9781474493529")</f>
        <v>http://www.degruyter.com/isbn/9781474493529</v>
      </c>
      <c r="AI3319" t="s">
        <v>14656</v>
      </c>
      <c r="AL3319" t="s">
        <v>15</v>
      </c>
      <c r="AM3319">
        <v>1</v>
      </c>
      <c r="AN3319" s="2">
        <v>9781474493505</v>
      </c>
    </row>
    <row r="3320" spans="1:40" x14ac:dyDescent="0.3">
      <c r="A3320" t="s">
        <v>15638</v>
      </c>
      <c r="B3320" t="s">
        <v>1</v>
      </c>
      <c r="C3320" t="s">
        <v>15639</v>
      </c>
      <c r="E3320" t="s">
        <v>15640</v>
      </c>
      <c r="F3320" t="s">
        <v>5</v>
      </c>
      <c r="G3320" t="s">
        <v>6</v>
      </c>
      <c r="L3320" t="s">
        <v>7</v>
      </c>
      <c r="M3320">
        <v>2023</v>
      </c>
      <c r="N3320" s="1">
        <v>45007</v>
      </c>
      <c r="O3320" t="s">
        <v>15641</v>
      </c>
      <c r="P3320">
        <v>1</v>
      </c>
      <c r="Q3320" t="s">
        <v>6987</v>
      </c>
      <c r="S3320">
        <v>217.95</v>
      </c>
      <c r="T3320">
        <v>250</v>
      </c>
      <c r="U3320">
        <v>190</v>
      </c>
      <c r="V3320" t="s">
        <v>9</v>
      </c>
      <c r="W3320" t="s">
        <v>10</v>
      </c>
      <c r="X3320" t="s">
        <v>11</v>
      </c>
      <c r="Y3320" t="s">
        <v>52</v>
      </c>
      <c r="AF3320" t="s">
        <v>13</v>
      </c>
      <c r="AH3320" t="str">
        <f>HYPERLINK("http://www.degruyter.com/isbn/9781474452885")</f>
        <v>http://www.degruyter.com/isbn/9781474452885</v>
      </c>
      <c r="AI3320" t="s">
        <v>15325</v>
      </c>
      <c r="AL3320" t="s">
        <v>638</v>
      </c>
      <c r="AM3320">
        <v>1</v>
      </c>
      <c r="AN3320" s="2">
        <v>9781474452861</v>
      </c>
    </row>
    <row r="3321" spans="1:40" x14ac:dyDescent="0.3">
      <c r="A3321" t="s">
        <v>15642</v>
      </c>
      <c r="B3321" t="s">
        <v>1</v>
      </c>
      <c r="C3321" t="s">
        <v>15643</v>
      </c>
      <c r="D3321" t="s">
        <v>15644</v>
      </c>
      <c r="E3321" t="s">
        <v>15645</v>
      </c>
      <c r="F3321" t="s">
        <v>5</v>
      </c>
      <c r="G3321" t="s">
        <v>6</v>
      </c>
      <c r="L3321" t="s">
        <v>7</v>
      </c>
      <c r="M3321">
        <v>2023</v>
      </c>
      <c r="N3321" s="1">
        <v>45044</v>
      </c>
      <c r="O3321" t="s">
        <v>15646</v>
      </c>
      <c r="P3321">
        <v>1</v>
      </c>
      <c r="Q3321" t="s">
        <v>14976</v>
      </c>
      <c r="S3321">
        <v>209.95</v>
      </c>
      <c r="T3321">
        <v>240</v>
      </c>
      <c r="U3321">
        <v>180</v>
      </c>
      <c r="V3321" t="s">
        <v>305</v>
      </c>
      <c r="W3321" t="s">
        <v>650</v>
      </c>
      <c r="X3321" t="s">
        <v>650</v>
      </c>
      <c r="Y3321" t="s">
        <v>651</v>
      </c>
      <c r="AF3321" t="s">
        <v>13</v>
      </c>
      <c r="AH3321" t="str">
        <f>HYPERLINK("http://www.degruyter.com/isbn/9781474489782")</f>
        <v>http://www.degruyter.com/isbn/9781474489782</v>
      </c>
      <c r="AI3321" t="s">
        <v>15325</v>
      </c>
      <c r="AL3321" t="s">
        <v>638</v>
      </c>
      <c r="AM3321">
        <v>1</v>
      </c>
      <c r="AN3321" s="2">
        <v>9781474489768</v>
      </c>
    </row>
    <row r="3322" spans="1:40" x14ac:dyDescent="0.3">
      <c r="A3322" t="s">
        <v>15647</v>
      </c>
      <c r="B3322" t="s">
        <v>1</v>
      </c>
      <c r="C3322" t="s">
        <v>15648</v>
      </c>
      <c r="D3322" t="s">
        <v>15649</v>
      </c>
      <c r="E3322" t="s">
        <v>15650</v>
      </c>
      <c r="F3322" t="s">
        <v>5</v>
      </c>
      <c r="G3322" t="s">
        <v>6</v>
      </c>
      <c r="L3322" t="s">
        <v>7</v>
      </c>
      <c r="M3322">
        <v>2022</v>
      </c>
      <c r="N3322" s="1">
        <v>44865</v>
      </c>
      <c r="O3322" t="s">
        <v>15651</v>
      </c>
      <c r="P3322">
        <v>1</v>
      </c>
      <c r="Q3322" t="s">
        <v>7303</v>
      </c>
      <c r="S3322">
        <v>209.95</v>
      </c>
      <c r="T3322">
        <v>240</v>
      </c>
      <c r="U3322">
        <v>180</v>
      </c>
      <c r="V3322" t="s">
        <v>79</v>
      </c>
      <c r="W3322" t="s">
        <v>123</v>
      </c>
      <c r="X3322" t="s">
        <v>123</v>
      </c>
      <c r="Y3322" t="s">
        <v>124</v>
      </c>
      <c r="AF3322" t="s">
        <v>13</v>
      </c>
      <c r="AH3322" t="str">
        <f>HYPERLINK("http://www.degruyter.com/isbn/9781399509923")</f>
        <v>http://www.degruyter.com/isbn/9781399509923</v>
      </c>
      <c r="AI3322" t="s">
        <v>15374</v>
      </c>
      <c r="AL3322" t="s">
        <v>83</v>
      </c>
      <c r="AM3322">
        <v>1</v>
      </c>
      <c r="AN3322" s="2">
        <v>9781399509909</v>
      </c>
    </row>
    <row r="3323" spans="1:40" x14ac:dyDescent="0.3">
      <c r="A3323" t="s">
        <v>15652</v>
      </c>
      <c r="B3323" t="s">
        <v>1</v>
      </c>
      <c r="C3323" t="s">
        <v>15653</v>
      </c>
      <c r="E3323" t="s">
        <v>15654</v>
      </c>
      <c r="F3323" t="s">
        <v>5</v>
      </c>
      <c r="G3323" t="s">
        <v>6</v>
      </c>
      <c r="L3323" t="s">
        <v>7</v>
      </c>
      <c r="M3323">
        <v>2022</v>
      </c>
      <c r="N3323" s="1">
        <v>44887</v>
      </c>
      <c r="O3323" t="s">
        <v>15655</v>
      </c>
      <c r="P3323">
        <v>1</v>
      </c>
      <c r="Q3323" t="s">
        <v>15656</v>
      </c>
      <c r="S3323">
        <v>217.95</v>
      </c>
      <c r="T3323">
        <v>250</v>
      </c>
      <c r="U3323">
        <v>190</v>
      </c>
      <c r="V3323" t="s">
        <v>329</v>
      </c>
      <c r="W3323" t="s">
        <v>330</v>
      </c>
      <c r="X3323" t="s">
        <v>331</v>
      </c>
      <c r="Y3323" t="s">
        <v>332</v>
      </c>
      <c r="AF3323" t="s">
        <v>13</v>
      </c>
      <c r="AG3323" t="str">
        <f>HYPERLINK("https://doi.org/10.1515/9781399503594")</f>
        <v>https://doi.org/10.1515/9781399503594</v>
      </c>
      <c r="AH3323" t="str">
        <f>HYPERLINK("http://www.degruyter.com/isbn/9781399503594")</f>
        <v>http://www.degruyter.com/isbn/9781399503594</v>
      </c>
      <c r="AI3323" t="s">
        <v>14704</v>
      </c>
      <c r="AL3323" t="s">
        <v>333</v>
      </c>
      <c r="AM3323">
        <v>1</v>
      </c>
      <c r="AN3323" s="2">
        <v>9781399503570</v>
      </c>
    </row>
    <row r="3324" spans="1:40" x14ac:dyDescent="0.3">
      <c r="A3324" t="s">
        <v>15657</v>
      </c>
      <c r="B3324" t="s">
        <v>1</v>
      </c>
      <c r="C3324" t="s">
        <v>15658</v>
      </c>
      <c r="E3324" t="s">
        <v>15659</v>
      </c>
      <c r="F3324" t="s">
        <v>5</v>
      </c>
      <c r="G3324" t="s">
        <v>6</v>
      </c>
      <c r="L3324" t="s">
        <v>7</v>
      </c>
      <c r="M3324">
        <v>2022</v>
      </c>
      <c r="N3324" s="1">
        <v>44865</v>
      </c>
      <c r="O3324" t="s">
        <v>15660</v>
      </c>
      <c r="P3324">
        <v>1</v>
      </c>
      <c r="Q3324" t="s">
        <v>15661</v>
      </c>
      <c r="S3324">
        <v>217.95</v>
      </c>
      <c r="T3324">
        <v>250</v>
      </c>
      <c r="U3324">
        <v>190</v>
      </c>
      <c r="V3324" t="s">
        <v>42</v>
      </c>
      <c r="W3324" t="s">
        <v>107</v>
      </c>
      <c r="X3324" t="s">
        <v>108</v>
      </c>
      <c r="Y3324" t="s">
        <v>109</v>
      </c>
      <c r="AF3324" t="s">
        <v>13</v>
      </c>
      <c r="AH3324" t="str">
        <f>HYPERLINK("http://www.degruyter.com/isbn/9781474463096")</f>
        <v>http://www.degruyter.com/isbn/9781474463096</v>
      </c>
      <c r="AI3324" t="s">
        <v>15374</v>
      </c>
      <c r="AL3324" t="s">
        <v>47</v>
      </c>
      <c r="AM3324">
        <v>1</v>
      </c>
      <c r="AN3324" s="2">
        <v>9781474463072</v>
      </c>
    </row>
    <row r="3325" spans="1:40" x14ac:dyDescent="0.3">
      <c r="A3325" t="s">
        <v>15662</v>
      </c>
      <c r="B3325" t="s">
        <v>1</v>
      </c>
      <c r="C3325" t="s">
        <v>15663</v>
      </c>
      <c r="D3325" t="s">
        <v>15664</v>
      </c>
      <c r="E3325" t="s">
        <v>15665</v>
      </c>
      <c r="F3325" t="s">
        <v>5</v>
      </c>
      <c r="G3325" t="s">
        <v>6</v>
      </c>
      <c r="L3325" t="s">
        <v>7</v>
      </c>
      <c r="M3325">
        <v>2022</v>
      </c>
      <c r="N3325" s="1">
        <v>44865</v>
      </c>
      <c r="O3325" t="s">
        <v>15666</v>
      </c>
      <c r="P3325">
        <v>1</v>
      </c>
      <c r="Q3325" t="s">
        <v>15661</v>
      </c>
      <c r="S3325">
        <v>217.95</v>
      </c>
      <c r="T3325">
        <v>250</v>
      </c>
      <c r="U3325">
        <v>190</v>
      </c>
      <c r="V3325" t="s">
        <v>42</v>
      </c>
      <c r="W3325" t="s">
        <v>107</v>
      </c>
      <c r="X3325" t="s">
        <v>108</v>
      </c>
      <c r="Y3325" t="s">
        <v>109</v>
      </c>
      <c r="AF3325" t="s">
        <v>13</v>
      </c>
      <c r="AH3325" t="str">
        <f>HYPERLINK("http://www.degruyter.com/isbn/9781474497688")</f>
        <v>http://www.degruyter.com/isbn/9781474497688</v>
      </c>
      <c r="AI3325" t="s">
        <v>15374</v>
      </c>
      <c r="AL3325" t="s">
        <v>47</v>
      </c>
      <c r="AM3325">
        <v>1</v>
      </c>
      <c r="AN3325" s="2">
        <v>9781474497664</v>
      </c>
    </row>
    <row r="3326" spans="1:40" x14ac:dyDescent="0.3">
      <c r="A3326" t="s">
        <v>15667</v>
      </c>
      <c r="B3326" t="s">
        <v>1</v>
      </c>
      <c r="C3326" t="s">
        <v>15668</v>
      </c>
      <c r="E3326" t="s">
        <v>15669</v>
      </c>
      <c r="F3326" t="s">
        <v>5</v>
      </c>
      <c r="G3326" t="s">
        <v>6</v>
      </c>
      <c r="L3326" t="s">
        <v>7</v>
      </c>
      <c r="M3326">
        <v>2022</v>
      </c>
      <c r="N3326" s="1">
        <v>44865</v>
      </c>
      <c r="O3326" t="s">
        <v>14007</v>
      </c>
      <c r="P3326">
        <v>1</v>
      </c>
      <c r="S3326">
        <v>227.95</v>
      </c>
      <c r="T3326">
        <v>260</v>
      </c>
      <c r="U3326">
        <v>200</v>
      </c>
      <c r="V3326" t="s">
        <v>79</v>
      </c>
      <c r="W3326" t="s">
        <v>734</v>
      </c>
      <c r="X3326" t="s">
        <v>734</v>
      </c>
      <c r="Y3326" t="s">
        <v>735</v>
      </c>
      <c r="AF3326" t="s">
        <v>13</v>
      </c>
      <c r="AH3326" t="str">
        <f>HYPERLINK("http://www.degruyter.com/isbn/9781399509848")</f>
        <v>http://www.degruyter.com/isbn/9781399509848</v>
      </c>
      <c r="AI3326" t="s">
        <v>15374</v>
      </c>
      <c r="AL3326" t="s">
        <v>83</v>
      </c>
      <c r="AM3326">
        <v>1</v>
      </c>
      <c r="AN3326" s="2">
        <v>9781399509824</v>
      </c>
    </row>
    <row r="3327" spans="1:40" x14ac:dyDescent="0.3">
      <c r="A3327" t="s">
        <v>15670</v>
      </c>
      <c r="B3327" t="s">
        <v>1</v>
      </c>
      <c r="C3327" t="s">
        <v>15671</v>
      </c>
      <c r="D3327" t="s">
        <v>15672</v>
      </c>
      <c r="E3327" t="s">
        <v>15673</v>
      </c>
      <c r="F3327" t="s">
        <v>5</v>
      </c>
      <c r="G3327" t="s">
        <v>6</v>
      </c>
      <c r="L3327" t="s">
        <v>7</v>
      </c>
      <c r="M3327">
        <v>2022</v>
      </c>
      <c r="N3327" s="1">
        <v>44895</v>
      </c>
      <c r="O3327" t="s">
        <v>2052</v>
      </c>
      <c r="P3327">
        <v>1</v>
      </c>
      <c r="S3327">
        <v>209.95</v>
      </c>
      <c r="T3327">
        <v>240</v>
      </c>
      <c r="U3327">
        <v>180</v>
      </c>
      <c r="V3327" t="s">
        <v>268</v>
      </c>
      <c r="W3327" t="s">
        <v>269</v>
      </c>
      <c r="X3327" t="s">
        <v>269</v>
      </c>
      <c r="Y3327" t="s">
        <v>10184</v>
      </c>
      <c r="AF3327" t="s">
        <v>13</v>
      </c>
      <c r="AH3327" t="str">
        <f>HYPERLINK("http://www.degruyter.com/isbn/9781474455992")</f>
        <v>http://www.degruyter.com/isbn/9781474455992</v>
      </c>
      <c r="AI3327" t="s">
        <v>15674</v>
      </c>
      <c r="AL3327" t="s">
        <v>272</v>
      </c>
      <c r="AM3327">
        <v>1</v>
      </c>
      <c r="AN3327" s="2">
        <v>9781474455978</v>
      </c>
    </row>
    <row r="3328" spans="1:40" x14ac:dyDescent="0.3">
      <c r="A3328" t="s">
        <v>15675</v>
      </c>
      <c r="B3328" t="s">
        <v>1</v>
      </c>
      <c r="C3328" t="s">
        <v>15676</v>
      </c>
      <c r="E3328" t="s">
        <v>15677</v>
      </c>
      <c r="F3328" t="s">
        <v>5</v>
      </c>
      <c r="G3328" t="s">
        <v>6</v>
      </c>
      <c r="L3328" t="s">
        <v>7</v>
      </c>
      <c r="M3328">
        <v>2022</v>
      </c>
      <c r="N3328" s="1">
        <v>44887</v>
      </c>
      <c r="O3328" t="s">
        <v>15678</v>
      </c>
      <c r="P3328">
        <v>1</v>
      </c>
      <c r="S3328">
        <v>209.95</v>
      </c>
      <c r="T3328">
        <v>240</v>
      </c>
      <c r="U3328">
        <v>180</v>
      </c>
      <c r="V3328" t="s">
        <v>79</v>
      </c>
      <c r="W3328" t="s">
        <v>4974</v>
      </c>
      <c r="X3328" t="s">
        <v>4975</v>
      </c>
      <c r="Y3328" t="s">
        <v>4976</v>
      </c>
      <c r="AF3328" t="s">
        <v>13</v>
      </c>
      <c r="AG3328" t="str">
        <f>HYPERLINK("https://doi.org/10.1515/9781399510998")</f>
        <v>https://doi.org/10.1515/9781399510998</v>
      </c>
      <c r="AH3328" t="str">
        <f>HYPERLINK("http://www.degruyter.com/isbn/9781399510998")</f>
        <v>http://www.degruyter.com/isbn/9781399510998</v>
      </c>
      <c r="AI3328" t="s">
        <v>14633</v>
      </c>
      <c r="AL3328" t="s">
        <v>83</v>
      </c>
      <c r="AM3328">
        <v>1</v>
      </c>
      <c r="AN3328" s="2">
        <v>9781399510974</v>
      </c>
    </row>
    <row r="3329" spans="1:40" x14ac:dyDescent="0.3">
      <c r="A3329" t="s">
        <v>15679</v>
      </c>
      <c r="B3329" t="s">
        <v>1</v>
      </c>
      <c r="C3329" t="s">
        <v>15680</v>
      </c>
      <c r="D3329" t="s">
        <v>15681</v>
      </c>
      <c r="E3329" t="s">
        <v>15682</v>
      </c>
      <c r="F3329" t="s">
        <v>5</v>
      </c>
      <c r="G3329" t="s">
        <v>6</v>
      </c>
      <c r="L3329" t="s">
        <v>7</v>
      </c>
      <c r="M3329">
        <v>2022</v>
      </c>
      <c r="N3329" s="1">
        <v>44865</v>
      </c>
      <c r="O3329" t="s">
        <v>15683</v>
      </c>
      <c r="P3329">
        <v>1</v>
      </c>
      <c r="Q3329" t="s">
        <v>5911</v>
      </c>
      <c r="S3329">
        <v>217.95</v>
      </c>
      <c r="T3329">
        <v>250</v>
      </c>
      <c r="U3329">
        <v>190</v>
      </c>
      <c r="V3329" t="s">
        <v>329</v>
      </c>
      <c r="W3329" t="s">
        <v>330</v>
      </c>
      <c r="X3329" t="s">
        <v>331</v>
      </c>
      <c r="Y3329" t="s">
        <v>4770</v>
      </c>
      <c r="AF3329" t="s">
        <v>13</v>
      </c>
      <c r="AH3329" t="str">
        <f>HYPERLINK("http://www.degruyter.com/isbn/9781474446907")</f>
        <v>http://www.degruyter.com/isbn/9781474446907</v>
      </c>
      <c r="AI3329" t="s">
        <v>15374</v>
      </c>
      <c r="AL3329" t="s">
        <v>333</v>
      </c>
      <c r="AM3329">
        <v>1</v>
      </c>
      <c r="AN3329" s="2">
        <v>9781474446884</v>
      </c>
    </row>
    <row r="3330" spans="1:40" x14ac:dyDescent="0.3">
      <c r="A3330" t="s">
        <v>15684</v>
      </c>
      <c r="B3330" t="s">
        <v>1</v>
      </c>
      <c r="C3330" t="s">
        <v>15685</v>
      </c>
      <c r="D3330" t="s">
        <v>15686</v>
      </c>
      <c r="E3330" t="s">
        <v>15687</v>
      </c>
      <c r="F3330" t="s">
        <v>5</v>
      </c>
      <c r="G3330" t="s">
        <v>6</v>
      </c>
      <c r="L3330" t="s">
        <v>7</v>
      </c>
      <c r="M3330">
        <v>2022</v>
      </c>
      <c r="N3330" s="1">
        <v>44895</v>
      </c>
      <c r="O3330" t="s">
        <v>12467</v>
      </c>
      <c r="P3330">
        <v>1</v>
      </c>
      <c r="Q3330" t="s">
        <v>7164</v>
      </c>
      <c r="S3330">
        <v>217.95</v>
      </c>
      <c r="T3330">
        <v>250</v>
      </c>
      <c r="U3330">
        <v>190</v>
      </c>
      <c r="V3330" t="s">
        <v>20</v>
      </c>
      <c r="W3330" t="s">
        <v>21</v>
      </c>
      <c r="X3330" t="s">
        <v>3445</v>
      </c>
      <c r="Y3330" t="s">
        <v>3446</v>
      </c>
      <c r="AF3330" t="s">
        <v>13</v>
      </c>
      <c r="AH3330" t="str">
        <f>HYPERLINK("http://www.degruyter.com/isbn/9781399507967")</f>
        <v>http://www.degruyter.com/isbn/9781399507967</v>
      </c>
      <c r="AI3330" t="s">
        <v>15374</v>
      </c>
      <c r="AL3330" t="s">
        <v>15</v>
      </c>
      <c r="AM3330">
        <v>1</v>
      </c>
      <c r="AN3330" s="2">
        <v>9781399507943</v>
      </c>
    </row>
    <row r="3331" spans="1:40" x14ac:dyDescent="0.3">
      <c r="A3331" t="s">
        <v>15688</v>
      </c>
      <c r="B3331" t="s">
        <v>1</v>
      </c>
      <c r="C3331" t="s">
        <v>15689</v>
      </c>
      <c r="E3331" t="s">
        <v>15690</v>
      </c>
      <c r="F3331" t="s">
        <v>5</v>
      </c>
      <c r="G3331" t="s">
        <v>6</v>
      </c>
      <c r="L3331" t="s">
        <v>7</v>
      </c>
      <c r="M3331">
        <v>2022</v>
      </c>
      <c r="N3331" s="1">
        <v>44895</v>
      </c>
      <c r="O3331" t="s">
        <v>15691</v>
      </c>
      <c r="P3331">
        <v>1</v>
      </c>
      <c r="S3331">
        <v>227.95</v>
      </c>
      <c r="T3331">
        <v>260</v>
      </c>
      <c r="U3331">
        <v>200</v>
      </c>
      <c r="V3331" t="s">
        <v>58</v>
      </c>
      <c r="W3331" t="s">
        <v>59</v>
      </c>
      <c r="X3331" t="s">
        <v>278</v>
      </c>
      <c r="Y3331" t="s">
        <v>932</v>
      </c>
      <c r="AF3331" t="s">
        <v>13</v>
      </c>
      <c r="AH3331" t="str">
        <f>HYPERLINK("http://www.degruyter.com/isbn/9781399505451")</f>
        <v>http://www.degruyter.com/isbn/9781399505451</v>
      </c>
      <c r="AI3331" t="s">
        <v>15374</v>
      </c>
      <c r="AJ3331" t="s">
        <v>35</v>
      </c>
      <c r="AM3331">
        <v>1</v>
      </c>
      <c r="AN3331" s="2">
        <v>9781399505437</v>
      </c>
    </row>
    <row r="3332" spans="1:40" x14ac:dyDescent="0.3">
      <c r="A3332" t="s">
        <v>15692</v>
      </c>
      <c r="B3332" t="s">
        <v>1</v>
      </c>
      <c r="C3332" t="s">
        <v>15693</v>
      </c>
      <c r="D3332" t="s">
        <v>15694</v>
      </c>
      <c r="E3332" t="s">
        <v>15695</v>
      </c>
      <c r="F3332" t="s">
        <v>5</v>
      </c>
      <c r="G3332" t="s">
        <v>6</v>
      </c>
      <c r="K3332" t="s">
        <v>923</v>
      </c>
      <c r="L3332" t="s">
        <v>7</v>
      </c>
      <c r="M3332">
        <v>2022</v>
      </c>
      <c r="N3332" s="1">
        <v>44838</v>
      </c>
      <c r="O3332" t="s">
        <v>15696</v>
      </c>
      <c r="P3332">
        <v>1</v>
      </c>
      <c r="Q3332" t="s">
        <v>6876</v>
      </c>
      <c r="V3332" t="s">
        <v>42</v>
      </c>
      <c r="W3332" t="s">
        <v>161</v>
      </c>
      <c r="X3332" t="s">
        <v>4261</v>
      </c>
      <c r="Y3332" t="s">
        <v>393</v>
      </c>
      <c r="AF3332" t="s">
        <v>13</v>
      </c>
      <c r="AH3332" t="str">
        <f>HYPERLINK("http://www.degruyter.com/isbn/9781399500142")</f>
        <v>http://www.degruyter.com/isbn/9781399500142</v>
      </c>
      <c r="AI3332" t="s">
        <v>15374</v>
      </c>
      <c r="AM3332">
        <v>1</v>
      </c>
      <c r="AN3332" s="2"/>
    </row>
    <row r="3333" spans="1:40" x14ac:dyDescent="0.3">
      <c r="A3333" t="s">
        <v>15697</v>
      </c>
      <c r="B3333" t="s">
        <v>1</v>
      </c>
      <c r="C3333" t="s">
        <v>15698</v>
      </c>
      <c r="E3333" t="s">
        <v>15699</v>
      </c>
      <c r="F3333" t="s">
        <v>5</v>
      </c>
      <c r="G3333" t="s">
        <v>6</v>
      </c>
      <c r="L3333" t="s">
        <v>7</v>
      </c>
      <c r="M3333">
        <v>2022</v>
      </c>
      <c r="N3333" s="1">
        <v>44865</v>
      </c>
      <c r="O3333" t="s">
        <v>15700</v>
      </c>
      <c r="P3333">
        <v>1</v>
      </c>
      <c r="S3333">
        <v>227.95</v>
      </c>
      <c r="T3333">
        <v>260</v>
      </c>
      <c r="U3333">
        <v>200</v>
      </c>
      <c r="V3333" t="s">
        <v>9</v>
      </c>
      <c r="W3333" t="s">
        <v>10</v>
      </c>
      <c r="X3333" t="s">
        <v>11</v>
      </c>
      <c r="Y3333" t="s">
        <v>52</v>
      </c>
      <c r="AF3333" t="s">
        <v>13</v>
      </c>
      <c r="AH3333" t="str">
        <f>HYPERLINK("http://www.degruyter.com/isbn/9781399508056")</f>
        <v>http://www.degruyter.com/isbn/9781399508056</v>
      </c>
      <c r="AI3333" t="s">
        <v>15374</v>
      </c>
      <c r="AL3333" t="s">
        <v>15</v>
      </c>
      <c r="AM3333">
        <v>1</v>
      </c>
      <c r="AN3333" s="2">
        <v>9781399508032</v>
      </c>
    </row>
    <row r="3334" spans="1:40" x14ac:dyDescent="0.3">
      <c r="A3334" t="s">
        <v>15701</v>
      </c>
      <c r="B3334" t="s">
        <v>1</v>
      </c>
      <c r="C3334" t="s">
        <v>15702</v>
      </c>
      <c r="E3334" t="s">
        <v>15703</v>
      </c>
      <c r="F3334" t="s">
        <v>5</v>
      </c>
      <c r="G3334" t="s">
        <v>6</v>
      </c>
      <c r="L3334" t="s">
        <v>7</v>
      </c>
      <c r="M3334">
        <v>2022</v>
      </c>
      <c r="N3334" s="1">
        <v>44865</v>
      </c>
      <c r="O3334" t="s">
        <v>15704</v>
      </c>
      <c r="P3334">
        <v>1</v>
      </c>
      <c r="Q3334" t="s">
        <v>13309</v>
      </c>
      <c r="S3334">
        <v>380.95</v>
      </c>
      <c r="T3334">
        <v>430</v>
      </c>
      <c r="U3334">
        <v>330</v>
      </c>
      <c r="V3334" t="s">
        <v>42</v>
      </c>
      <c r="W3334" t="s">
        <v>107</v>
      </c>
      <c r="X3334" t="s">
        <v>108</v>
      </c>
      <c r="Y3334" t="s">
        <v>221</v>
      </c>
      <c r="AF3334" t="s">
        <v>13</v>
      </c>
      <c r="AH3334" t="str">
        <f>HYPERLINK("http://www.degruyter.com/isbn/9781474486033")</f>
        <v>http://www.degruyter.com/isbn/9781474486033</v>
      </c>
      <c r="AI3334" t="s">
        <v>15374</v>
      </c>
      <c r="AL3334" t="s">
        <v>47</v>
      </c>
      <c r="AM3334">
        <v>1</v>
      </c>
      <c r="AN3334" s="2">
        <v>9781474486026</v>
      </c>
    </row>
    <row r="3335" spans="1:40" x14ac:dyDescent="0.3">
      <c r="A3335" t="s">
        <v>15705</v>
      </c>
      <c r="B3335" t="s">
        <v>1</v>
      </c>
      <c r="C3335" t="s">
        <v>15706</v>
      </c>
      <c r="D3335" t="s">
        <v>15707</v>
      </c>
      <c r="E3335" t="s">
        <v>15708</v>
      </c>
      <c r="F3335" t="s">
        <v>5</v>
      </c>
      <c r="G3335" t="s">
        <v>6</v>
      </c>
      <c r="L3335" t="s">
        <v>7</v>
      </c>
      <c r="M3335">
        <v>2022</v>
      </c>
      <c r="N3335" s="1">
        <v>44895</v>
      </c>
      <c r="O3335" t="s">
        <v>12556</v>
      </c>
      <c r="P3335">
        <v>1</v>
      </c>
      <c r="Q3335" t="s">
        <v>6876</v>
      </c>
      <c r="S3335">
        <v>209.95</v>
      </c>
      <c r="T3335">
        <v>240</v>
      </c>
      <c r="U3335">
        <v>180</v>
      </c>
      <c r="V3335" t="s">
        <v>20</v>
      </c>
      <c r="W3335" t="s">
        <v>21</v>
      </c>
      <c r="X3335" t="s">
        <v>458</v>
      </c>
      <c r="Y3335" t="s">
        <v>459</v>
      </c>
      <c r="AF3335" t="s">
        <v>13</v>
      </c>
      <c r="AH3335" t="str">
        <f>HYPERLINK("http://www.degruyter.com/isbn/9781399507141")</f>
        <v>http://www.degruyter.com/isbn/9781399507141</v>
      </c>
      <c r="AI3335" t="s">
        <v>15374</v>
      </c>
      <c r="AL3335" t="s">
        <v>15</v>
      </c>
      <c r="AM3335">
        <v>1</v>
      </c>
      <c r="AN3335" s="2">
        <v>9781399507127</v>
      </c>
    </row>
    <row r="3336" spans="1:40" x14ac:dyDescent="0.3">
      <c r="A3336" t="s">
        <v>15709</v>
      </c>
      <c r="B3336" t="s">
        <v>1</v>
      </c>
      <c r="C3336" t="s">
        <v>15710</v>
      </c>
      <c r="D3336" t="s">
        <v>15711</v>
      </c>
      <c r="E3336" t="s">
        <v>15712</v>
      </c>
      <c r="F3336" t="s">
        <v>5</v>
      </c>
      <c r="G3336" t="s">
        <v>6</v>
      </c>
      <c r="L3336" t="s">
        <v>7</v>
      </c>
      <c r="M3336">
        <v>2022</v>
      </c>
      <c r="N3336" s="1">
        <v>44894</v>
      </c>
      <c r="O3336" t="s">
        <v>15713</v>
      </c>
      <c r="P3336">
        <v>1</v>
      </c>
      <c r="S3336">
        <v>209.95</v>
      </c>
      <c r="T3336">
        <v>240</v>
      </c>
      <c r="U3336">
        <v>180</v>
      </c>
      <c r="V3336" t="s">
        <v>42</v>
      </c>
      <c r="W3336" t="s">
        <v>107</v>
      </c>
      <c r="X3336" t="s">
        <v>108</v>
      </c>
      <c r="Y3336" t="s">
        <v>109</v>
      </c>
      <c r="AF3336" t="s">
        <v>13</v>
      </c>
      <c r="AG3336" t="str">
        <f>HYPERLINK("https://doi.org/10.1515/9781474486156")</f>
        <v>https://doi.org/10.1515/9781474486156</v>
      </c>
      <c r="AH3336" t="str">
        <f>HYPERLINK("http://www.degruyter.com/isbn/9781474486156")</f>
        <v>http://www.degruyter.com/isbn/9781474486156</v>
      </c>
      <c r="AI3336" t="s">
        <v>14638</v>
      </c>
      <c r="AL3336" t="s">
        <v>47</v>
      </c>
      <c r="AM3336">
        <v>1</v>
      </c>
      <c r="AN3336" s="2">
        <v>9781474486132</v>
      </c>
    </row>
    <row r="3337" spans="1:40" x14ac:dyDescent="0.3">
      <c r="A3337" t="s">
        <v>15714</v>
      </c>
      <c r="B3337" t="s">
        <v>1</v>
      </c>
      <c r="C3337" t="s">
        <v>15715</v>
      </c>
      <c r="D3337" t="s">
        <v>15716</v>
      </c>
      <c r="E3337" t="s">
        <v>15717</v>
      </c>
      <c r="F3337" t="s">
        <v>5</v>
      </c>
      <c r="G3337" t="s">
        <v>6</v>
      </c>
      <c r="L3337" t="s">
        <v>7</v>
      </c>
      <c r="M3337">
        <v>2022</v>
      </c>
      <c r="N3337" s="1">
        <v>44894</v>
      </c>
      <c r="O3337" t="s">
        <v>15718</v>
      </c>
      <c r="P3337">
        <v>1</v>
      </c>
      <c r="Q3337" t="s">
        <v>13460</v>
      </c>
      <c r="S3337">
        <v>209.95</v>
      </c>
      <c r="T3337">
        <v>240</v>
      </c>
      <c r="U3337">
        <v>180</v>
      </c>
      <c r="V3337" t="s">
        <v>20</v>
      </c>
      <c r="W3337" t="s">
        <v>21</v>
      </c>
      <c r="X3337" t="s">
        <v>839</v>
      </c>
      <c r="Y3337" t="s">
        <v>840</v>
      </c>
      <c r="AF3337" t="s">
        <v>13</v>
      </c>
      <c r="AG3337" t="str">
        <f>HYPERLINK("https://doi.org/10.1515/9781474489553")</f>
        <v>https://doi.org/10.1515/9781474489553</v>
      </c>
      <c r="AH3337" t="str">
        <f>HYPERLINK("http://www.degruyter.com/isbn/9781474489553")</f>
        <v>http://www.degruyter.com/isbn/9781474489553</v>
      </c>
      <c r="AI3337" t="s">
        <v>14656</v>
      </c>
      <c r="AL3337" t="s">
        <v>15</v>
      </c>
      <c r="AM3337">
        <v>1</v>
      </c>
      <c r="AN3337" s="2">
        <v>9781474489522</v>
      </c>
    </row>
    <row r="3338" spans="1:40" x14ac:dyDescent="0.3">
      <c r="A3338" t="s">
        <v>15719</v>
      </c>
      <c r="B3338" t="s">
        <v>1</v>
      </c>
      <c r="C3338" t="s">
        <v>15720</v>
      </c>
      <c r="D3338" t="s">
        <v>15721</v>
      </c>
      <c r="E3338" t="s">
        <v>15722</v>
      </c>
      <c r="F3338" t="s">
        <v>5</v>
      </c>
      <c r="G3338" t="s">
        <v>6</v>
      </c>
      <c r="L3338" t="s">
        <v>7</v>
      </c>
      <c r="M3338">
        <v>2022</v>
      </c>
      <c r="N3338" s="1">
        <v>44804</v>
      </c>
      <c r="O3338" t="s">
        <v>15723</v>
      </c>
      <c r="P3338">
        <v>1</v>
      </c>
      <c r="S3338">
        <v>79.95</v>
      </c>
      <c r="T3338">
        <v>89.95</v>
      </c>
      <c r="U3338">
        <v>69.98</v>
      </c>
      <c r="V3338" t="s">
        <v>20</v>
      </c>
      <c r="W3338" t="s">
        <v>21</v>
      </c>
      <c r="X3338" t="s">
        <v>22</v>
      </c>
      <c r="Y3338" t="s">
        <v>23</v>
      </c>
      <c r="AF3338" t="s">
        <v>13</v>
      </c>
      <c r="AG3338" t="str">
        <f>HYPERLINK("https://doi.org/10.1515/9781399503839")</f>
        <v>https://doi.org/10.1515/9781399503839</v>
      </c>
      <c r="AH3338" t="str">
        <f>HYPERLINK("http://www.degruyter.com/isbn/9781399503839")</f>
        <v>http://www.degruyter.com/isbn/9781399503839</v>
      </c>
      <c r="AI3338" t="s">
        <v>14656</v>
      </c>
      <c r="AL3338" t="s">
        <v>15</v>
      </c>
      <c r="AM3338">
        <v>1</v>
      </c>
      <c r="AN3338" s="2">
        <v>9781399503815</v>
      </c>
    </row>
    <row r="3339" spans="1:40" x14ac:dyDescent="0.3">
      <c r="A3339" t="s">
        <v>15724</v>
      </c>
      <c r="B3339" t="s">
        <v>1</v>
      </c>
      <c r="C3339" t="s">
        <v>15725</v>
      </c>
      <c r="E3339" t="s">
        <v>15726</v>
      </c>
      <c r="F3339" t="s">
        <v>5</v>
      </c>
      <c r="G3339" t="s">
        <v>6</v>
      </c>
      <c r="L3339" t="s">
        <v>7</v>
      </c>
      <c r="M3339">
        <v>2022</v>
      </c>
      <c r="N3339" s="1">
        <v>44895</v>
      </c>
      <c r="O3339" t="s">
        <v>15727</v>
      </c>
      <c r="P3339">
        <v>1</v>
      </c>
      <c r="Q3339" t="s">
        <v>15656</v>
      </c>
      <c r="S3339">
        <v>209.95</v>
      </c>
      <c r="T3339">
        <v>240</v>
      </c>
      <c r="U3339">
        <v>180</v>
      </c>
      <c r="V3339" t="s">
        <v>329</v>
      </c>
      <c r="W3339" t="s">
        <v>330</v>
      </c>
      <c r="X3339" t="s">
        <v>331</v>
      </c>
      <c r="Y3339" t="s">
        <v>332</v>
      </c>
      <c r="AF3339" t="s">
        <v>13</v>
      </c>
      <c r="AH3339" t="str">
        <f>HYPERLINK("http://www.degruyter.com/isbn/9781399502757")</f>
        <v>http://www.degruyter.com/isbn/9781399502757</v>
      </c>
      <c r="AI3339" t="s">
        <v>15374</v>
      </c>
      <c r="AL3339" t="s">
        <v>333</v>
      </c>
      <c r="AM3339">
        <v>1</v>
      </c>
      <c r="AN3339" s="2">
        <v>9781399502733</v>
      </c>
    </row>
    <row r="3340" spans="1:40" x14ac:dyDescent="0.3">
      <c r="A3340" t="s">
        <v>15728</v>
      </c>
      <c r="B3340" t="s">
        <v>1</v>
      </c>
      <c r="C3340" t="s">
        <v>15729</v>
      </c>
      <c r="E3340" t="s">
        <v>15730</v>
      </c>
      <c r="F3340" t="s">
        <v>5</v>
      </c>
      <c r="G3340" t="s">
        <v>6</v>
      </c>
      <c r="L3340" t="s">
        <v>7</v>
      </c>
      <c r="M3340">
        <v>2023</v>
      </c>
      <c r="N3340" s="1">
        <v>44957</v>
      </c>
      <c r="O3340" t="s">
        <v>15731</v>
      </c>
      <c r="P3340">
        <v>1</v>
      </c>
      <c r="Q3340" t="s">
        <v>13309</v>
      </c>
      <c r="S3340">
        <v>347.95</v>
      </c>
      <c r="T3340">
        <v>400</v>
      </c>
      <c r="U3340">
        <v>310</v>
      </c>
      <c r="V3340" t="s">
        <v>42</v>
      </c>
      <c r="W3340" t="s">
        <v>107</v>
      </c>
      <c r="X3340" t="s">
        <v>108</v>
      </c>
      <c r="Y3340" t="s">
        <v>109</v>
      </c>
      <c r="AF3340" t="s">
        <v>13</v>
      </c>
      <c r="AH3340" t="str">
        <f>HYPERLINK("http://www.degruyter.com/isbn/9781474494793")</f>
        <v>http://www.degruyter.com/isbn/9781474494793</v>
      </c>
      <c r="AI3340" t="s">
        <v>15732</v>
      </c>
      <c r="AL3340" t="s">
        <v>638</v>
      </c>
      <c r="AM3340">
        <v>1</v>
      </c>
      <c r="AN3340" s="2">
        <v>9781474494786</v>
      </c>
    </row>
    <row r="3341" spans="1:40" x14ac:dyDescent="0.3">
      <c r="A3341" t="s">
        <v>15733</v>
      </c>
      <c r="B3341" t="s">
        <v>1</v>
      </c>
      <c r="C3341" t="s">
        <v>15734</v>
      </c>
      <c r="E3341" t="s">
        <v>15735</v>
      </c>
      <c r="F3341" t="s">
        <v>5</v>
      </c>
      <c r="G3341" t="s">
        <v>6</v>
      </c>
      <c r="L3341" t="s">
        <v>7</v>
      </c>
      <c r="M3341">
        <v>2023</v>
      </c>
      <c r="N3341" s="1">
        <v>44985</v>
      </c>
      <c r="O3341" t="s">
        <v>15736</v>
      </c>
      <c r="P3341">
        <v>1</v>
      </c>
      <c r="Q3341" t="s">
        <v>14065</v>
      </c>
      <c r="S3341">
        <v>209.95</v>
      </c>
      <c r="T3341">
        <v>240</v>
      </c>
      <c r="U3341">
        <v>180</v>
      </c>
      <c r="V3341" t="s">
        <v>42</v>
      </c>
      <c r="W3341" t="s">
        <v>107</v>
      </c>
      <c r="X3341" t="s">
        <v>108</v>
      </c>
      <c r="Y3341" t="s">
        <v>221</v>
      </c>
      <c r="AF3341" t="s">
        <v>13</v>
      </c>
      <c r="AH3341" t="str">
        <f>HYPERLINK("http://www.degruyter.com/isbn/9781474489980")</f>
        <v>http://www.degruyter.com/isbn/9781474489980</v>
      </c>
      <c r="AI3341" t="s">
        <v>15732</v>
      </c>
      <c r="AL3341" t="s">
        <v>638</v>
      </c>
      <c r="AM3341">
        <v>1</v>
      </c>
      <c r="AN3341" s="2">
        <v>9781474489966</v>
      </c>
    </row>
    <row r="3342" spans="1:40" x14ac:dyDescent="0.3">
      <c r="A3342" t="s">
        <v>15737</v>
      </c>
      <c r="B3342" t="s">
        <v>1</v>
      </c>
      <c r="C3342" t="s">
        <v>15738</v>
      </c>
      <c r="E3342" t="s">
        <v>15739</v>
      </c>
      <c r="F3342" t="s">
        <v>5</v>
      </c>
      <c r="G3342" t="s">
        <v>6</v>
      </c>
      <c r="L3342" t="s">
        <v>7</v>
      </c>
      <c r="M3342">
        <v>2023</v>
      </c>
      <c r="N3342" s="1">
        <v>44903</v>
      </c>
      <c r="O3342" t="s">
        <v>15740</v>
      </c>
      <c r="P3342">
        <v>1</v>
      </c>
      <c r="Q3342" t="s">
        <v>12802</v>
      </c>
      <c r="S3342">
        <v>209.95</v>
      </c>
      <c r="T3342">
        <v>240</v>
      </c>
      <c r="U3342">
        <v>180</v>
      </c>
      <c r="V3342" t="s">
        <v>42</v>
      </c>
      <c r="W3342" t="s">
        <v>43</v>
      </c>
      <c r="X3342" t="s">
        <v>44</v>
      </c>
      <c r="Y3342" t="s">
        <v>45</v>
      </c>
      <c r="AF3342" t="s">
        <v>13</v>
      </c>
      <c r="AH3342" t="str">
        <f>HYPERLINK("http://www.degruyter.com/isbn/9781474446822")</f>
        <v>http://www.degruyter.com/isbn/9781474446822</v>
      </c>
      <c r="AI3342" t="s">
        <v>15741</v>
      </c>
      <c r="AL3342" t="s">
        <v>638</v>
      </c>
      <c r="AM3342">
        <v>1</v>
      </c>
      <c r="AN3342" s="2">
        <v>9781474446808</v>
      </c>
    </row>
    <row r="3343" spans="1:40" x14ac:dyDescent="0.3">
      <c r="A3343" t="s">
        <v>15742</v>
      </c>
      <c r="B3343" t="s">
        <v>1</v>
      </c>
      <c r="C3343" t="s">
        <v>15743</v>
      </c>
      <c r="E3343" t="s">
        <v>15744</v>
      </c>
      <c r="F3343" t="s">
        <v>5</v>
      </c>
      <c r="G3343" t="s">
        <v>6</v>
      </c>
      <c r="L3343" t="s">
        <v>7</v>
      </c>
      <c r="M3343">
        <v>2023</v>
      </c>
      <c r="N3343" s="1">
        <v>44985</v>
      </c>
      <c r="O3343" t="s">
        <v>9295</v>
      </c>
      <c r="P3343">
        <v>1</v>
      </c>
      <c r="Q3343" t="s">
        <v>7655</v>
      </c>
      <c r="S3343">
        <v>227.95</v>
      </c>
      <c r="T3343">
        <v>260</v>
      </c>
      <c r="U3343">
        <v>200</v>
      </c>
      <c r="V3343" t="s">
        <v>9</v>
      </c>
      <c r="W3343" t="s">
        <v>10</v>
      </c>
      <c r="X3343" t="s">
        <v>11</v>
      </c>
      <c r="Y3343" t="s">
        <v>52</v>
      </c>
      <c r="AF3343" t="s">
        <v>13</v>
      </c>
      <c r="AH3343" t="str">
        <f>HYPERLINK("http://www.degruyter.com/isbn/9781474496599")</f>
        <v>http://www.degruyter.com/isbn/9781474496599</v>
      </c>
      <c r="AI3343" t="s">
        <v>15325</v>
      </c>
      <c r="AL3343" t="s">
        <v>638</v>
      </c>
      <c r="AM3343">
        <v>1</v>
      </c>
      <c r="AN3343" s="2">
        <v>9781474496575</v>
      </c>
    </row>
    <row r="3344" spans="1:40" x14ac:dyDescent="0.3">
      <c r="A3344" t="s">
        <v>15745</v>
      </c>
      <c r="B3344" t="s">
        <v>1</v>
      </c>
      <c r="C3344" t="s">
        <v>15746</v>
      </c>
      <c r="D3344" t="s">
        <v>15747</v>
      </c>
      <c r="E3344" t="s">
        <v>15748</v>
      </c>
      <c r="F3344" t="s">
        <v>5</v>
      </c>
      <c r="G3344" t="s">
        <v>6</v>
      </c>
      <c r="L3344" t="s">
        <v>7</v>
      </c>
      <c r="M3344">
        <v>2023</v>
      </c>
      <c r="N3344" s="1">
        <v>44985</v>
      </c>
      <c r="O3344" t="s">
        <v>15749</v>
      </c>
      <c r="P3344">
        <v>1</v>
      </c>
      <c r="S3344">
        <v>227.95</v>
      </c>
      <c r="T3344">
        <v>260</v>
      </c>
      <c r="U3344">
        <v>200</v>
      </c>
      <c r="V3344" t="s">
        <v>79</v>
      </c>
      <c r="W3344" t="s">
        <v>227</v>
      </c>
      <c r="X3344" t="s">
        <v>228</v>
      </c>
      <c r="Y3344" t="s">
        <v>229</v>
      </c>
      <c r="AF3344" t="s">
        <v>13</v>
      </c>
      <c r="AH3344" t="str">
        <f>HYPERLINK("http://www.degruyter.com/isbn/9781474475341")</f>
        <v>http://www.degruyter.com/isbn/9781474475341</v>
      </c>
      <c r="AI3344" t="s">
        <v>15750</v>
      </c>
      <c r="AL3344" t="s">
        <v>638</v>
      </c>
      <c r="AM3344">
        <v>1</v>
      </c>
      <c r="AN3344" s="2">
        <v>9781474475327</v>
      </c>
    </row>
    <row r="3345" spans="1:40" x14ac:dyDescent="0.3">
      <c r="A3345" t="s">
        <v>15751</v>
      </c>
      <c r="B3345" t="s">
        <v>1</v>
      </c>
      <c r="C3345" t="s">
        <v>15752</v>
      </c>
      <c r="E3345" t="s">
        <v>15753</v>
      </c>
      <c r="F3345" t="s">
        <v>5</v>
      </c>
      <c r="G3345" t="s">
        <v>6</v>
      </c>
      <c r="L3345" t="s">
        <v>7</v>
      </c>
      <c r="M3345">
        <v>2023</v>
      </c>
      <c r="N3345" s="1">
        <v>44903</v>
      </c>
      <c r="O3345" t="s">
        <v>15754</v>
      </c>
      <c r="P3345">
        <v>1</v>
      </c>
      <c r="Q3345" t="s">
        <v>8869</v>
      </c>
      <c r="S3345">
        <v>209.95</v>
      </c>
      <c r="T3345">
        <v>240</v>
      </c>
      <c r="U3345">
        <v>180</v>
      </c>
      <c r="V3345" t="s">
        <v>268</v>
      </c>
      <c r="W3345" t="s">
        <v>269</v>
      </c>
      <c r="X3345" t="s">
        <v>269</v>
      </c>
      <c r="Y3345" t="s">
        <v>360</v>
      </c>
      <c r="AF3345" t="s">
        <v>13</v>
      </c>
      <c r="AH3345" t="str">
        <f>HYPERLINK("http://www.degruyter.com/isbn/9781474460941")</f>
        <v>http://www.degruyter.com/isbn/9781474460941</v>
      </c>
      <c r="AI3345" t="s">
        <v>15755</v>
      </c>
      <c r="AL3345" t="s">
        <v>638</v>
      </c>
      <c r="AM3345">
        <v>1</v>
      </c>
      <c r="AN3345" s="2">
        <v>9781474460927</v>
      </c>
    </row>
    <row r="3346" spans="1:40" x14ac:dyDescent="0.3">
      <c r="A3346" t="s">
        <v>15756</v>
      </c>
      <c r="B3346" t="s">
        <v>1</v>
      </c>
      <c r="C3346" t="s">
        <v>15757</v>
      </c>
      <c r="D3346" t="s">
        <v>15758</v>
      </c>
      <c r="E3346" t="s">
        <v>15759</v>
      </c>
      <c r="F3346" t="s">
        <v>5</v>
      </c>
      <c r="G3346" t="s">
        <v>6</v>
      </c>
      <c r="L3346" t="s">
        <v>7</v>
      </c>
      <c r="M3346">
        <v>2023</v>
      </c>
      <c r="N3346" s="1">
        <v>44903</v>
      </c>
      <c r="O3346" t="s">
        <v>15760</v>
      </c>
      <c r="P3346">
        <v>1</v>
      </c>
      <c r="Q3346" t="s">
        <v>15497</v>
      </c>
      <c r="S3346">
        <v>217.95</v>
      </c>
      <c r="T3346">
        <v>250</v>
      </c>
      <c r="U3346">
        <v>190</v>
      </c>
      <c r="V3346" t="s">
        <v>9</v>
      </c>
      <c r="W3346" t="s">
        <v>10</v>
      </c>
      <c r="X3346" t="s">
        <v>11</v>
      </c>
      <c r="Y3346" t="s">
        <v>52</v>
      </c>
      <c r="AF3346" t="s">
        <v>13</v>
      </c>
      <c r="AH3346" t="str">
        <f>HYPERLINK("http://www.degruyter.com/isbn/9781474442138")</f>
        <v>http://www.degruyter.com/isbn/9781474442138</v>
      </c>
      <c r="AI3346" t="s">
        <v>15761</v>
      </c>
      <c r="AL3346" t="s">
        <v>638</v>
      </c>
      <c r="AM3346">
        <v>1</v>
      </c>
      <c r="AN3346" s="2">
        <v>9781474442114</v>
      </c>
    </row>
    <row r="3347" spans="1:40" x14ac:dyDescent="0.3">
      <c r="A3347" t="s">
        <v>15762</v>
      </c>
      <c r="B3347" t="s">
        <v>1</v>
      </c>
      <c r="C3347" t="s">
        <v>15763</v>
      </c>
      <c r="D3347" t="s">
        <v>15764</v>
      </c>
      <c r="E3347" t="s">
        <v>15765</v>
      </c>
      <c r="F3347" t="s">
        <v>5</v>
      </c>
      <c r="G3347" t="s">
        <v>6</v>
      </c>
      <c r="L3347" t="s">
        <v>7</v>
      </c>
      <c r="M3347">
        <v>2023</v>
      </c>
      <c r="N3347" s="1">
        <v>44957</v>
      </c>
      <c r="O3347" t="s">
        <v>15766</v>
      </c>
      <c r="P3347">
        <v>1</v>
      </c>
      <c r="S3347">
        <v>217.95</v>
      </c>
      <c r="T3347">
        <v>250</v>
      </c>
      <c r="U3347">
        <v>190</v>
      </c>
      <c r="V3347" t="s">
        <v>42</v>
      </c>
      <c r="W3347" t="s">
        <v>107</v>
      </c>
      <c r="X3347" t="s">
        <v>108</v>
      </c>
      <c r="Y3347" t="s">
        <v>952</v>
      </c>
      <c r="AF3347" t="s">
        <v>13</v>
      </c>
      <c r="AH3347" t="str">
        <f>HYPERLINK("http://www.degruyter.com/isbn/9781399512312")</f>
        <v>http://www.degruyter.com/isbn/9781399512312</v>
      </c>
      <c r="AI3347" t="s">
        <v>15732</v>
      </c>
      <c r="AL3347" t="s">
        <v>638</v>
      </c>
      <c r="AM3347">
        <v>1</v>
      </c>
      <c r="AN3347" s="2">
        <v>9781399512299</v>
      </c>
    </row>
    <row r="3348" spans="1:40" x14ac:dyDescent="0.3">
      <c r="A3348" t="s">
        <v>15767</v>
      </c>
      <c r="B3348" t="s">
        <v>1</v>
      </c>
      <c r="C3348" t="s">
        <v>15768</v>
      </c>
      <c r="E3348" t="s">
        <v>15769</v>
      </c>
      <c r="F3348" t="s">
        <v>5</v>
      </c>
      <c r="G3348" t="s">
        <v>6</v>
      </c>
      <c r="L3348" t="s">
        <v>7</v>
      </c>
      <c r="M3348">
        <v>2023</v>
      </c>
      <c r="N3348" s="1">
        <v>44903</v>
      </c>
      <c r="O3348" t="s">
        <v>15770</v>
      </c>
      <c r="P3348">
        <v>1</v>
      </c>
      <c r="Q3348" t="s">
        <v>13444</v>
      </c>
      <c r="S3348">
        <v>209.95</v>
      </c>
      <c r="T3348">
        <v>240</v>
      </c>
      <c r="U3348">
        <v>180</v>
      </c>
      <c r="V3348" t="s">
        <v>268</v>
      </c>
      <c r="W3348" t="s">
        <v>269</v>
      </c>
      <c r="X3348" t="s">
        <v>269</v>
      </c>
      <c r="Y3348" t="s">
        <v>4597</v>
      </c>
      <c r="AF3348" t="s">
        <v>13</v>
      </c>
      <c r="AH3348" t="str">
        <f>HYPERLINK("http://www.degruyter.com/isbn/9781399505024")</f>
        <v>http://www.degruyter.com/isbn/9781399505024</v>
      </c>
      <c r="AI3348" t="s">
        <v>15771</v>
      </c>
      <c r="AL3348" t="s">
        <v>638</v>
      </c>
      <c r="AM3348">
        <v>1</v>
      </c>
      <c r="AN3348" s="2">
        <v>9781399505000</v>
      </c>
    </row>
    <row r="3349" spans="1:40" x14ac:dyDescent="0.3">
      <c r="A3349" t="s">
        <v>15772</v>
      </c>
      <c r="B3349" t="s">
        <v>1</v>
      </c>
      <c r="C3349" t="s">
        <v>15773</v>
      </c>
      <c r="D3349" t="s">
        <v>15774</v>
      </c>
      <c r="E3349" t="s">
        <v>15775</v>
      </c>
      <c r="F3349" t="s">
        <v>5</v>
      </c>
      <c r="G3349" t="s">
        <v>6</v>
      </c>
      <c r="L3349" t="s">
        <v>7</v>
      </c>
      <c r="M3349">
        <v>2023</v>
      </c>
      <c r="N3349" s="1">
        <v>44903</v>
      </c>
      <c r="O3349" t="s">
        <v>15776</v>
      </c>
      <c r="P3349">
        <v>1</v>
      </c>
      <c r="S3349">
        <v>209.95</v>
      </c>
      <c r="T3349">
        <v>240</v>
      </c>
      <c r="U3349">
        <v>180</v>
      </c>
      <c r="V3349" t="s">
        <v>42</v>
      </c>
      <c r="W3349" t="s">
        <v>107</v>
      </c>
      <c r="X3349" t="s">
        <v>108</v>
      </c>
      <c r="Y3349" t="s">
        <v>221</v>
      </c>
      <c r="AF3349" t="s">
        <v>13</v>
      </c>
      <c r="AH3349" t="str">
        <f>HYPERLINK("http://www.degruyter.com/isbn/9781474497565")</f>
        <v>http://www.degruyter.com/isbn/9781474497565</v>
      </c>
      <c r="AI3349" t="s">
        <v>15741</v>
      </c>
      <c r="AL3349" t="s">
        <v>638</v>
      </c>
      <c r="AM3349">
        <v>1</v>
      </c>
      <c r="AN3349" s="2">
        <v>9781474497541</v>
      </c>
    </row>
    <row r="3350" spans="1:40" x14ac:dyDescent="0.3">
      <c r="A3350" t="s">
        <v>15777</v>
      </c>
      <c r="B3350" t="s">
        <v>1</v>
      </c>
      <c r="C3350" t="s">
        <v>15778</v>
      </c>
      <c r="E3350" t="s">
        <v>15779</v>
      </c>
      <c r="F3350" t="s">
        <v>5</v>
      </c>
      <c r="G3350" t="s">
        <v>6</v>
      </c>
      <c r="L3350" t="s">
        <v>7</v>
      </c>
      <c r="M3350">
        <v>2022</v>
      </c>
      <c r="N3350" s="1">
        <v>44887</v>
      </c>
      <c r="O3350" t="s">
        <v>9332</v>
      </c>
      <c r="P3350">
        <v>1</v>
      </c>
      <c r="S3350">
        <v>217.95</v>
      </c>
      <c r="T3350">
        <v>250</v>
      </c>
      <c r="U3350">
        <v>190</v>
      </c>
      <c r="V3350" t="s">
        <v>42</v>
      </c>
      <c r="W3350" t="s">
        <v>161</v>
      </c>
      <c r="X3350" t="s">
        <v>162</v>
      </c>
      <c r="Y3350" t="s">
        <v>393</v>
      </c>
      <c r="AF3350" t="s">
        <v>13</v>
      </c>
      <c r="AG3350" t="str">
        <f>HYPERLINK("https://doi.org/10.1515/9781474484084")</f>
        <v>https://doi.org/10.1515/9781474484084</v>
      </c>
      <c r="AH3350" t="str">
        <f>HYPERLINK("http://www.degruyter.com/isbn/9781474484084")</f>
        <v>http://www.degruyter.com/isbn/9781474484084</v>
      </c>
      <c r="AI3350" t="s">
        <v>14638</v>
      </c>
      <c r="AJ3350" t="s">
        <v>35</v>
      </c>
      <c r="AM3350">
        <v>1</v>
      </c>
      <c r="AN3350" s="2">
        <v>9781474484053</v>
      </c>
    </row>
    <row r="3351" spans="1:40" x14ac:dyDescent="0.3">
      <c r="A3351" t="s">
        <v>15780</v>
      </c>
      <c r="B3351" t="s">
        <v>1</v>
      </c>
      <c r="C3351" t="s">
        <v>15781</v>
      </c>
      <c r="D3351" t="s">
        <v>15782</v>
      </c>
      <c r="E3351" t="s">
        <v>15783</v>
      </c>
      <c r="F3351" t="s">
        <v>5</v>
      </c>
      <c r="G3351" t="s">
        <v>6</v>
      </c>
      <c r="K3351" t="s">
        <v>15784</v>
      </c>
      <c r="L3351" t="s">
        <v>7</v>
      </c>
      <c r="M3351">
        <v>2022</v>
      </c>
      <c r="N3351" s="1">
        <v>44883</v>
      </c>
      <c r="O3351" t="s">
        <v>15785</v>
      </c>
      <c r="P3351">
        <v>1</v>
      </c>
      <c r="Q3351" t="s">
        <v>13361</v>
      </c>
      <c r="V3351" t="s">
        <v>42</v>
      </c>
      <c r="W3351" t="s">
        <v>107</v>
      </c>
      <c r="X3351" t="s">
        <v>108</v>
      </c>
      <c r="Y3351" t="s">
        <v>2244</v>
      </c>
      <c r="AF3351" t="s">
        <v>13</v>
      </c>
      <c r="AH3351" t="str">
        <f>HYPERLINK("http://www.degruyter.com/isbn/9781474497848")</f>
        <v>http://www.degruyter.com/isbn/9781474497848</v>
      </c>
      <c r="AI3351" t="s">
        <v>15786</v>
      </c>
      <c r="AM3351">
        <v>1</v>
      </c>
      <c r="AN3351" s="2"/>
    </row>
    <row r="3352" spans="1:40" x14ac:dyDescent="0.3">
      <c r="A3352" t="s">
        <v>15787</v>
      </c>
      <c r="B3352" t="s">
        <v>1</v>
      </c>
      <c r="C3352" t="s">
        <v>15788</v>
      </c>
      <c r="D3352" t="s">
        <v>15789</v>
      </c>
      <c r="E3352" t="s">
        <v>15790</v>
      </c>
      <c r="F3352" t="s">
        <v>5</v>
      </c>
      <c r="G3352" t="s">
        <v>6</v>
      </c>
      <c r="L3352" t="s">
        <v>7</v>
      </c>
      <c r="M3352">
        <v>2023</v>
      </c>
      <c r="N3352" s="1">
        <v>44903</v>
      </c>
      <c r="O3352" t="s">
        <v>15791</v>
      </c>
      <c r="P3352">
        <v>1</v>
      </c>
      <c r="Q3352" t="s">
        <v>6785</v>
      </c>
      <c r="S3352">
        <v>209.95</v>
      </c>
      <c r="T3352">
        <v>240</v>
      </c>
      <c r="U3352">
        <v>180</v>
      </c>
      <c r="V3352" t="s">
        <v>79</v>
      </c>
      <c r="W3352" t="s">
        <v>123</v>
      </c>
      <c r="X3352" t="s">
        <v>123</v>
      </c>
      <c r="Y3352" t="s">
        <v>124</v>
      </c>
      <c r="AF3352" t="s">
        <v>13</v>
      </c>
      <c r="AH3352" t="str">
        <f>HYPERLINK("http://www.degruyter.com/isbn/9781474451871")</f>
        <v>http://www.degruyter.com/isbn/9781474451871</v>
      </c>
      <c r="AI3352" t="s">
        <v>15792</v>
      </c>
      <c r="AL3352" t="s">
        <v>638</v>
      </c>
      <c r="AM3352">
        <v>1</v>
      </c>
      <c r="AN3352" s="2">
        <v>9781474451857</v>
      </c>
    </row>
    <row r="3353" spans="1:40" x14ac:dyDescent="0.3">
      <c r="A3353" t="s">
        <v>15793</v>
      </c>
      <c r="B3353" t="s">
        <v>1</v>
      </c>
      <c r="C3353" t="s">
        <v>15794</v>
      </c>
      <c r="E3353" t="s">
        <v>15795</v>
      </c>
      <c r="F3353" t="s">
        <v>5</v>
      </c>
      <c r="G3353" t="s">
        <v>6</v>
      </c>
      <c r="L3353" t="s">
        <v>7</v>
      </c>
      <c r="M3353">
        <v>2023</v>
      </c>
      <c r="N3353" s="1">
        <v>44957</v>
      </c>
      <c r="O3353" t="s">
        <v>15796</v>
      </c>
      <c r="P3353">
        <v>1</v>
      </c>
      <c r="Q3353" t="s">
        <v>7449</v>
      </c>
      <c r="S3353">
        <v>209.95</v>
      </c>
      <c r="T3353">
        <v>240</v>
      </c>
      <c r="U3353">
        <v>180</v>
      </c>
      <c r="V3353" t="s">
        <v>79</v>
      </c>
      <c r="W3353" t="s">
        <v>123</v>
      </c>
      <c r="X3353" t="s">
        <v>123</v>
      </c>
      <c r="Y3353" t="s">
        <v>124</v>
      </c>
      <c r="AF3353" t="s">
        <v>13</v>
      </c>
      <c r="AH3353" t="str">
        <f>HYPERLINK("http://www.degruyter.com/isbn/9781399505499")</f>
        <v>http://www.degruyter.com/isbn/9781399505499</v>
      </c>
      <c r="AI3353" t="s">
        <v>15797</v>
      </c>
      <c r="AL3353" t="s">
        <v>638</v>
      </c>
      <c r="AM3353">
        <v>1</v>
      </c>
      <c r="AN3353" s="2">
        <v>9781399505475</v>
      </c>
    </row>
    <row r="3354" spans="1:40" x14ac:dyDescent="0.3">
      <c r="A3354" t="s">
        <v>15798</v>
      </c>
      <c r="B3354" t="s">
        <v>1</v>
      </c>
      <c r="C3354" t="s">
        <v>15799</v>
      </c>
      <c r="E3354" t="s">
        <v>15800</v>
      </c>
      <c r="F3354" t="s">
        <v>5</v>
      </c>
      <c r="G3354" t="s">
        <v>6</v>
      </c>
      <c r="L3354" t="s">
        <v>7</v>
      </c>
      <c r="M3354">
        <v>2023</v>
      </c>
      <c r="N3354" s="1">
        <v>44903</v>
      </c>
      <c r="O3354" t="s">
        <v>15801</v>
      </c>
      <c r="P3354">
        <v>1</v>
      </c>
      <c r="Q3354" t="s">
        <v>13309</v>
      </c>
      <c r="S3354">
        <v>347.95</v>
      </c>
      <c r="T3354">
        <v>400</v>
      </c>
      <c r="U3354">
        <v>310</v>
      </c>
      <c r="V3354" t="s">
        <v>42</v>
      </c>
      <c r="W3354" t="s">
        <v>107</v>
      </c>
      <c r="X3354" t="s">
        <v>108</v>
      </c>
      <c r="Y3354" t="s">
        <v>109</v>
      </c>
      <c r="AF3354" t="s">
        <v>13</v>
      </c>
      <c r="AH3354" t="str">
        <f>HYPERLINK("http://www.degruyter.com/isbn/9781474484183")</f>
        <v>http://www.degruyter.com/isbn/9781474484183</v>
      </c>
      <c r="AI3354" t="s">
        <v>15741</v>
      </c>
      <c r="AL3354" t="s">
        <v>638</v>
      </c>
      <c r="AM3354">
        <v>1</v>
      </c>
      <c r="AN3354" s="2">
        <v>9781474484176</v>
      </c>
    </row>
    <row r="3355" spans="1:40" x14ac:dyDescent="0.3">
      <c r="A3355" t="s">
        <v>15802</v>
      </c>
      <c r="B3355" t="s">
        <v>1</v>
      </c>
      <c r="C3355" t="s">
        <v>15803</v>
      </c>
      <c r="E3355" t="s">
        <v>15804</v>
      </c>
      <c r="F3355" t="s">
        <v>5</v>
      </c>
      <c r="G3355" t="s">
        <v>6</v>
      </c>
      <c r="L3355" t="s">
        <v>7</v>
      </c>
      <c r="M3355">
        <v>2023</v>
      </c>
      <c r="N3355" s="1">
        <v>44926</v>
      </c>
      <c r="O3355" t="s">
        <v>15805</v>
      </c>
      <c r="P3355">
        <v>1</v>
      </c>
      <c r="Q3355" t="s">
        <v>7655</v>
      </c>
      <c r="S3355">
        <v>209.95</v>
      </c>
      <c r="T3355">
        <v>240</v>
      </c>
      <c r="U3355">
        <v>180</v>
      </c>
      <c r="V3355" t="s">
        <v>9</v>
      </c>
      <c r="W3355" t="s">
        <v>10</v>
      </c>
      <c r="X3355" t="s">
        <v>11</v>
      </c>
      <c r="Y3355" t="s">
        <v>52</v>
      </c>
      <c r="AF3355" t="s">
        <v>13</v>
      </c>
      <c r="AH3355" t="str">
        <f>HYPERLINK("http://www.degruyter.com/isbn/9781474493840")</f>
        <v>http://www.degruyter.com/isbn/9781474493840</v>
      </c>
      <c r="AI3355" t="s">
        <v>15806</v>
      </c>
      <c r="AL3355" t="s">
        <v>638</v>
      </c>
      <c r="AM3355">
        <v>1</v>
      </c>
      <c r="AN3355" s="2">
        <v>9781474493826</v>
      </c>
    </row>
    <row r="3356" spans="1:40" x14ac:dyDescent="0.3">
      <c r="A3356" t="s">
        <v>15807</v>
      </c>
      <c r="B3356" t="s">
        <v>1</v>
      </c>
      <c r="C3356" t="s">
        <v>15808</v>
      </c>
      <c r="D3356" t="s">
        <v>15809</v>
      </c>
      <c r="E3356" t="s">
        <v>15810</v>
      </c>
      <c r="F3356" t="s">
        <v>5</v>
      </c>
      <c r="G3356" t="s">
        <v>6</v>
      </c>
      <c r="L3356" t="s">
        <v>7</v>
      </c>
      <c r="M3356">
        <v>2023</v>
      </c>
      <c r="N3356" s="1">
        <v>44957</v>
      </c>
      <c r="O3356" t="s">
        <v>15811</v>
      </c>
      <c r="P3356">
        <v>1</v>
      </c>
      <c r="S3356">
        <v>209.95</v>
      </c>
      <c r="T3356">
        <v>240</v>
      </c>
      <c r="U3356">
        <v>180</v>
      </c>
      <c r="V3356" t="s">
        <v>20</v>
      </c>
      <c r="W3356" t="s">
        <v>556</v>
      </c>
      <c r="X3356" t="s">
        <v>902</v>
      </c>
      <c r="Y3356" t="s">
        <v>903</v>
      </c>
      <c r="AF3356" t="s">
        <v>13</v>
      </c>
      <c r="AH3356" t="str">
        <f>HYPERLINK("http://www.degruyter.com/isbn/9781399503631")</f>
        <v>http://www.degruyter.com/isbn/9781399503631</v>
      </c>
      <c r="AI3356" t="s">
        <v>15812</v>
      </c>
      <c r="AL3356" t="s">
        <v>638</v>
      </c>
      <c r="AM3356">
        <v>1</v>
      </c>
      <c r="AN3356" s="2">
        <v>9781399503617</v>
      </c>
    </row>
    <row r="3357" spans="1:40" x14ac:dyDescent="0.3">
      <c r="A3357" t="s">
        <v>15813</v>
      </c>
      <c r="B3357" t="s">
        <v>1</v>
      </c>
      <c r="C3357" t="s">
        <v>15814</v>
      </c>
      <c r="E3357" t="s">
        <v>15815</v>
      </c>
      <c r="F3357" t="s">
        <v>5</v>
      </c>
      <c r="G3357" t="s">
        <v>6</v>
      </c>
      <c r="L3357" t="s">
        <v>7</v>
      </c>
      <c r="M3357">
        <v>2023</v>
      </c>
      <c r="N3357" s="1">
        <v>44985</v>
      </c>
      <c r="O3357" t="s">
        <v>15816</v>
      </c>
      <c r="P3357">
        <v>1</v>
      </c>
      <c r="S3357">
        <v>227.95</v>
      </c>
      <c r="T3357">
        <v>260</v>
      </c>
      <c r="U3357">
        <v>200</v>
      </c>
      <c r="V3357" t="s">
        <v>58</v>
      </c>
      <c r="W3357" t="s">
        <v>1135</v>
      </c>
      <c r="X3357" t="s">
        <v>15817</v>
      </c>
      <c r="Y3357" t="s">
        <v>15818</v>
      </c>
      <c r="AF3357" t="s">
        <v>13</v>
      </c>
      <c r="AH3357" t="str">
        <f>HYPERLINK("http://www.degruyter.com/isbn/9781474497367")</f>
        <v>http://www.degruyter.com/isbn/9781474497367</v>
      </c>
      <c r="AI3357" t="s">
        <v>15819</v>
      </c>
      <c r="AL3357" t="s">
        <v>638</v>
      </c>
      <c r="AM3357">
        <v>1</v>
      </c>
      <c r="AN3357" s="2">
        <v>9781474497343</v>
      </c>
    </row>
    <row r="3358" spans="1:40" x14ac:dyDescent="0.3">
      <c r="A3358" t="s">
        <v>15820</v>
      </c>
      <c r="B3358" t="s">
        <v>1</v>
      </c>
      <c r="C3358" t="s">
        <v>15821</v>
      </c>
      <c r="E3358" t="s">
        <v>15822</v>
      </c>
      <c r="F3358" t="s">
        <v>5</v>
      </c>
      <c r="G3358" t="s">
        <v>6</v>
      </c>
      <c r="L3358" t="s">
        <v>7</v>
      </c>
      <c r="M3358">
        <v>2023</v>
      </c>
      <c r="N3358" s="1">
        <v>45048</v>
      </c>
      <c r="O3358" t="s">
        <v>15823</v>
      </c>
      <c r="P3358">
        <v>1</v>
      </c>
      <c r="Q3358" t="s">
        <v>14046</v>
      </c>
      <c r="S3358">
        <v>295.95</v>
      </c>
      <c r="T3358">
        <v>340</v>
      </c>
      <c r="U3358">
        <v>260</v>
      </c>
      <c r="V3358" t="s">
        <v>42</v>
      </c>
      <c r="W3358" t="s">
        <v>116</v>
      </c>
      <c r="X3358" t="s">
        <v>116</v>
      </c>
      <c r="Y3358" t="s">
        <v>586</v>
      </c>
      <c r="AF3358" t="s">
        <v>13</v>
      </c>
      <c r="AH3358" t="str">
        <f>HYPERLINK("http://www.degruyter.com/isbn/9781399501026")</f>
        <v>http://www.degruyter.com/isbn/9781399501026</v>
      </c>
      <c r="AI3358" t="s">
        <v>15732</v>
      </c>
      <c r="AL3358" t="s">
        <v>638</v>
      </c>
      <c r="AM3358">
        <v>1</v>
      </c>
      <c r="AN3358" s="2">
        <v>9781474410267</v>
      </c>
    </row>
    <row r="3359" spans="1:40" x14ac:dyDescent="0.3">
      <c r="A3359" t="s">
        <v>15824</v>
      </c>
      <c r="B3359" t="s">
        <v>1</v>
      </c>
      <c r="C3359" t="s">
        <v>15825</v>
      </c>
      <c r="D3359" t="s">
        <v>15826</v>
      </c>
      <c r="E3359" t="s">
        <v>15827</v>
      </c>
      <c r="F3359" t="s">
        <v>5</v>
      </c>
      <c r="G3359" t="s">
        <v>6</v>
      </c>
      <c r="L3359" t="s">
        <v>7</v>
      </c>
      <c r="M3359">
        <v>2023</v>
      </c>
      <c r="N3359" s="1">
        <v>44985</v>
      </c>
      <c r="O3359" t="s">
        <v>15828</v>
      </c>
      <c r="P3359">
        <v>1</v>
      </c>
      <c r="S3359">
        <v>209.95</v>
      </c>
      <c r="T3359">
        <v>240</v>
      </c>
      <c r="U3359">
        <v>180</v>
      </c>
      <c r="V3359" t="s">
        <v>305</v>
      </c>
      <c r="W3359" t="s">
        <v>2129</v>
      </c>
      <c r="X3359" t="s">
        <v>2130</v>
      </c>
      <c r="Y3359" t="s">
        <v>2131</v>
      </c>
      <c r="AF3359" t="s">
        <v>13</v>
      </c>
      <c r="AH3359" t="str">
        <f>HYPERLINK("http://www.degruyter.com/isbn/9781399508438")</f>
        <v>http://www.degruyter.com/isbn/9781399508438</v>
      </c>
      <c r="AI3359" t="s">
        <v>15325</v>
      </c>
      <c r="AL3359" t="s">
        <v>638</v>
      </c>
      <c r="AM3359">
        <v>1</v>
      </c>
      <c r="AN3359" s="2">
        <v>9781399508414</v>
      </c>
    </row>
    <row r="3360" spans="1:40" x14ac:dyDescent="0.3">
      <c r="A3360" t="s">
        <v>15829</v>
      </c>
      <c r="B3360" t="s">
        <v>1</v>
      </c>
      <c r="C3360" t="s">
        <v>15830</v>
      </c>
      <c r="E3360" t="s">
        <v>15831</v>
      </c>
      <c r="F3360" t="s">
        <v>5</v>
      </c>
      <c r="G3360" t="s">
        <v>6</v>
      </c>
      <c r="L3360" t="s">
        <v>7</v>
      </c>
      <c r="M3360">
        <v>2023</v>
      </c>
      <c r="N3360" s="1">
        <v>44926</v>
      </c>
      <c r="O3360" t="s">
        <v>15832</v>
      </c>
      <c r="P3360">
        <v>1</v>
      </c>
      <c r="Q3360" t="s">
        <v>6418</v>
      </c>
      <c r="S3360">
        <v>227.95</v>
      </c>
      <c r="T3360">
        <v>260</v>
      </c>
      <c r="U3360">
        <v>200</v>
      </c>
      <c r="V3360" t="s">
        <v>79</v>
      </c>
      <c r="W3360" t="s">
        <v>123</v>
      </c>
      <c r="X3360" t="s">
        <v>123</v>
      </c>
      <c r="Y3360" t="s">
        <v>124</v>
      </c>
      <c r="AF3360" t="s">
        <v>13</v>
      </c>
      <c r="AH3360" t="str">
        <f>HYPERLINK("http://www.degruyter.com/isbn/9781399505246")</f>
        <v>http://www.degruyter.com/isbn/9781399505246</v>
      </c>
      <c r="AI3360" t="s">
        <v>15833</v>
      </c>
      <c r="AL3360" t="s">
        <v>638</v>
      </c>
      <c r="AM3360">
        <v>1</v>
      </c>
      <c r="AN3360" s="2">
        <v>9781399505222</v>
      </c>
    </row>
    <row r="3361" spans="1:40" x14ac:dyDescent="0.3">
      <c r="A3361" t="s">
        <v>15834</v>
      </c>
      <c r="B3361" t="s">
        <v>1</v>
      </c>
      <c r="C3361" t="s">
        <v>15835</v>
      </c>
      <c r="E3361" t="s">
        <v>15836</v>
      </c>
      <c r="F3361" t="s">
        <v>5</v>
      </c>
      <c r="G3361" t="s">
        <v>6</v>
      </c>
      <c r="K3361" t="s">
        <v>15837</v>
      </c>
      <c r="L3361" t="s">
        <v>7</v>
      </c>
      <c r="M3361">
        <v>2022</v>
      </c>
      <c r="N3361" s="1">
        <v>44908</v>
      </c>
      <c r="O3361" t="s">
        <v>15838</v>
      </c>
      <c r="P3361">
        <v>1</v>
      </c>
      <c r="V3361" t="s">
        <v>58</v>
      </c>
      <c r="W3361" t="s">
        <v>59</v>
      </c>
      <c r="X3361" t="s">
        <v>15839</v>
      </c>
      <c r="Y3361" t="s">
        <v>1171</v>
      </c>
      <c r="AF3361" t="s">
        <v>13</v>
      </c>
      <c r="AH3361" t="str">
        <f>HYPERLINK("http://www.degruyter.com/isbn/9781399512510")</f>
        <v>http://www.degruyter.com/isbn/9781399512510</v>
      </c>
      <c r="AI3361" t="s">
        <v>15840</v>
      </c>
      <c r="AM3361">
        <v>1</v>
      </c>
      <c r="AN3361" s="2"/>
    </row>
    <row r="3362" spans="1:40" x14ac:dyDescent="0.3">
      <c r="A3362" t="s">
        <v>15841</v>
      </c>
      <c r="B3362" t="s">
        <v>1</v>
      </c>
      <c r="C3362" t="s">
        <v>15842</v>
      </c>
      <c r="D3362" t="s">
        <v>15843</v>
      </c>
      <c r="E3362" t="s">
        <v>14450</v>
      </c>
      <c r="F3362" t="s">
        <v>5</v>
      </c>
      <c r="G3362" t="s">
        <v>6</v>
      </c>
      <c r="L3362" t="s">
        <v>7</v>
      </c>
      <c r="M3362">
        <v>2023</v>
      </c>
      <c r="N3362" s="1">
        <v>44985</v>
      </c>
      <c r="O3362" t="s">
        <v>15844</v>
      </c>
      <c r="P3362">
        <v>1</v>
      </c>
      <c r="Q3362" t="s">
        <v>14452</v>
      </c>
      <c r="R3362" s="3" t="s">
        <v>13327</v>
      </c>
      <c r="S3362">
        <v>453.95</v>
      </c>
      <c r="T3362">
        <v>520</v>
      </c>
      <c r="U3362">
        <v>400</v>
      </c>
      <c r="V3362" t="s">
        <v>42</v>
      </c>
      <c r="W3362" t="s">
        <v>107</v>
      </c>
      <c r="X3362" t="s">
        <v>108</v>
      </c>
      <c r="Y3362" t="s">
        <v>109</v>
      </c>
      <c r="AF3362" t="s">
        <v>13</v>
      </c>
      <c r="AH3362" t="str">
        <f>HYPERLINK("http://www.degruyter.com/isbn/9781474499194")</f>
        <v>http://www.degruyter.com/isbn/9781474499194</v>
      </c>
      <c r="AI3362" t="s">
        <v>15845</v>
      </c>
      <c r="AL3362" t="s">
        <v>638</v>
      </c>
      <c r="AM3362">
        <v>1</v>
      </c>
      <c r="AN3362" s="2">
        <v>9781474499170</v>
      </c>
    </row>
    <row r="3363" spans="1:40" x14ac:dyDescent="0.3">
      <c r="A3363" t="s">
        <v>15846</v>
      </c>
      <c r="B3363" t="s">
        <v>1</v>
      </c>
      <c r="C3363" t="s">
        <v>15847</v>
      </c>
      <c r="D3363" t="s">
        <v>15848</v>
      </c>
      <c r="E3363" t="s">
        <v>15849</v>
      </c>
      <c r="F3363" t="s">
        <v>5</v>
      </c>
      <c r="G3363" t="s">
        <v>6</v>
      </c>
      <c r="L3363" t="s">
        <v>7</v>
      </c>
      <c r="M3363">
        <v>2023</v>
      </c>
      <c r="N3363" s="1">
        <v>44957</v>
      </c>
      <c r="O3363" t="s">
        <v>15850</v>
      </c>
      <c r="P3363">
        <v>1</v>
      </c>
      <c r="Q3363" t="s">
        <v>7086</v>
      </c>
      <c r="S3363">
        <v>217.95</v>
      </c>
      <c r="T3363">
        <v>250</v>
      </c>
      <c r="U3363">
        <v>190</v>
      </c>
      <c r="V3363" t="s">
        <v>20</v>
      </c>
      <c r="W3363" t="s">
        <v>470</v>
      </c>
      <c r="X3363" t="s">
        <v>2114</v>
      </c>
      <c r="Y3363" t="s">
        <v>2115</v>
      </c>
      <c r="AF3363" t="s">
        <v>13</v>
      </c>
      <c r="AH3363" t="str">
        <f>HYPERLINK("http://www.degruyter.com/isbn/9781399510455")</f>
        <v>http://www.degruyter.com/isbn/9781399510455</v>
      </c>
      <c r="AI3363" t="s">
        <v>15812</v>
      </c>
      <c r="AL3363" t="s">
        <v>638</v>
      </c>
      <c r="AM3363">
        <v>1</v>
      </c>
      <c r="AN3363" s="2">
        <v>9781399510424</v>
      </c>
    </row>
    <row r="3364" spans="1:40" x14ac:dyDescent="0.3">
      <c r="A3364" t="s">
        <v>15851</v>
      </c>
      <c r="B3364" t="s">
        <v>1</v>
      </c>
      <c r="C3364" t="s">
        <v>15852</v>
      </c>
      <c r="D3364" t="s">
        <v>15853</v>
      </c>
      <c r="E3364" t="s">
        <v>15854</v>
      </c>
      <c r="F3364" t="s">
        <v>5</v>
      </c>
      <c r="G3364" t="s">
        <v>6</v>
      </c>
      <c r="L3364" t="s">
        <v>7</v>
      </c>
      <c r="M3364">
        <v>2023</v>
      </c>
      <c r="N3364" s="1">
        <v>44957</v>
      </c>
      <c r="O3364" t="s">
        <v>15855</v>
      </c>
      <c r="P3364">
        <v>1</v>
      </c>
      <c r="S3364">
        <v>121.95</v>
      </c>
      <c r="T3364">
        <v>140</v>
      </c>
      <c r="U3364">
        <v>110</v>
      </c>
      <c r="V3364" t="s">
        <v>305</v>
      </c>
      <c r="W3364" t="s">
        <v>650</v>
      </c>
      <c r="X3364" t="s">
        <v>650</v>
      </c>
      <c r="Y3364" t="s">
        <v>651</v>
      </c>
      <c r="AF3364" t="s">
        <v>13</v>
      </c>
      <c r="AH3364" t="str">
        <f>HYPERLINK("http://www.degruyter.com/isbn/9781399515986")</f>
        <v>http://www.degruyter.com/isbn/9781399515986</v>
      </c>
      <c r="AI3364" t="s">
        <v>15325</v>
      </c>
      <c r="AL3364" t="s">
        <v>638</v>
      </c>
      <c r="AM3364">
        <v>1</v>
      </c>
      <c r="AN3364" s="2">
        <v>9781399515979</v>
      </c>
    </row>
    <row r="3365" spans="1:40" x14ac:dyDescent="0.3">
      <c r="A3365" t="s">
        <v>15856</v>
      </c>
      <c r="B3365" t="s">
        <v>1</v>
      </c>
      <c r="C3365" t="s">
        <v>15857</v>
      </c>
      <c r="D3365" t="s">
        <v>15858</v>
      </c>
      <c r="E3365" t="s">
        <v>15859</v>
      </c>
      <c r="F3365" t="s">
        <v>5</v>
      </c>
      <c r="G3365" t="s">
        <v>6</v>
      </c>
      <c r="L3365" t="s">
        <v>7</v>
      </c>
      <c r="M3365">
        <v>2023</v>
      </c>
      <c r="N3365" s="1">
        <v>44957</v>
      </c>
      <c r="O3365" t="s">
        <v>15860</v>
      </c>
      <c r="P3365">
        <v>1</v>
      </c>
      <c r="S3365">
        <v>209.95</v>
      </c>
      <c r="T3365">
        <v>240</v>
      </c>
      <c r="U3365">
        <v>180</v>
      </c>
      <c r="V3365" t="s">
        <v>42</v>
      </c>
      <c r="W3365" t="s">
        <v>43</v>
      </c>
      <c r="X3365" t="s">
        <v>1061</v>
      </c>
      <c r="Y3365" t="s">
        <v>1339</v>
      </c>
      <c r="AF3365" t="s">
        <v>13</v>
      </c>
      <c r="AH3365" t="str">
        <f>HYPERLINK("http://www.degruyter.com/isbn/9781399501293")</f>
        <v>http://www.degruyter.com/isbn/9781399501293</v>
      </c>
      <c r="AI3365" t="s">
        <v>15812</v>
      </c>
      <c r="AL3365" t="s">
        <v>638</v>
      </c>
      <c r="AM3365">
        <v>1</v>
      </c>
      <c r="AN3365" s="2">
        <v>9781399501279</v>
      </c>
    </row>
    <row r="3366" spans="1:40" x14ac:dyDescent="0.3">
      <c r="A3366" t="s">
        <v>15861</v>
      </c>
      <c r="B3366" t="s">
        <v>1</v>
      </c>
      <c r="C3366" t="s">
        <v>15862</v>
      </c>
      <c r="D3366" t="s">
        <v>15863</v>
      </c>
      <c r="E3366" t="s">
        <v>15864</v>
      </c>
      <c r="F3366" t="s">
        <v>5</v>
      </c>
      <c r="G3366" t="s">
        <v>6</v>
      </c>
      <c r="L3366" t="s">
        <v>7</v>
      </c>
      <c r="M3366">
        <v>2023</v>
      </c>
      <c r="N3366" s="1">
        <v>44926</v>
      </c>
      <c r="O3366" t="s">
        <v>15865</v>
      </c>
      <c r="P3366">
        <v>1</v>
      </c>
      <c r="S3366">
        <v>209.95</v>
      </c>
      <c r="T3366">
        <v>240</v>
      </c>
      <c r="U3366">
        <v>180</v>
      </c>
      <c r="V3366" t="s">
        <v>20</v>
      </c>
      <c r="W3366" t="s">
        <v>21</v>
      </c>
      <c r="X3366" t="s">
        <v>4875</v>
      </c>
      <c r="Y3366" t="s">
        <v>5044</v>
      </c>
      <c r="AF3366" t="s">
        <v>13</v>
      </c>
      <c r="AH3366" t="str">
        <f>HYPERLINK("http://www.degruyter.com/isbn/9781474494137")</f>
        <v>http://www.degruyter.com/isbn/9781474494137</v>
      </c>
      <c r="AI3366" t="s">
        <v>15806</v>
      </c>
      <c r="AL3366" t="s">
        <v>638</v>
      </c>
      <c r="AM3366">
        <v>1</v>
      </c>
      <c r="AN3366" s="2">
        <v>9781474494106</v>
      </c>
    </row>
    <row r="3367" spans="1:40" x14ac:dyDescent="0.3">
      <c r="A3367" t="s">
        <v>15866</v>
      </c>
      <c r="B3367" t="s">
        <v>1</v>
      </c>
      <c r="C3367" t="s">
        <v>15867</v>
      </c>
      <c r="E3367" t="s">
        <v>15868</v>
      </c>
      <c r="F3367" t="s">
        <v>5</v>
      </c>
      <c r="G3367" t="s">
        <v>6</v>
      </c>
      <c r="L3367" t="s">
        <v>7</v>
      </c>
      <c r="M3367">
        <v>2023</v>
      </c>
      <c r="N3367" s="1">
        <v>44926</v>
      </c>
      <c r="O3367" t="s">
        <v>15869</v>
      </c>
      <c r="P3367">
        <v>1</v>
      </c>
      <c r="Q3367" t="s">
        <v>6987</v>
      </c>
      <c r="S3367">
        <v>217.95</v>
      </c>
      <c r="T3367">
        <v>250</v>
      </c>
      <c r="U3367">
        <v>190</v>
      </c>
      <c r="V3367" t="s">
        <v>9</v>
      </c>
      <c r="W3367" t="s">
        <v>10</v>
      </c>
      <c r="X3367" t="s">
        <v>11</v>
      </c>
      <c r="Y3367" t="s">
        <v>52</v>
      </c>
      <c r="AF3367" t="s">
        <v>13</v>
      </c>
      <c r="AH3367" t="str">
        <f>HYPERLINK("http://www.degruyter.com/isbn/9781474477673")</f>
        <v>http://www.degruyter.com/isbn/9781474477673</v>
      </c>
      <c r="AI3367" t="s">
        <v>15806</v>
      </c>
      <c r="AL3367" t="s">
        <v>638</v>
      </c>
      <c r="AM3367">
        <v>1</v>
      </c>
      <c r="AN3367" s="2">
        <v>9781474477659</v>
      </c>
    </row>
    <row r="3368" spans="1:40" x14ac:dyDescent="0.3">
      <c r="A3368" t="s">
        <v>15870</v>
      </c>
      <c r="B3368" t="s">
        <v>1</v>
      </c>
      <c r="C3368" t="s">
        <v>15871</v>
      </c>
      <c r="D3368" t="s">
        <v>15872</v>
      </c>
      <c r="E3368" t="s">
        <v>15873</v>
      </c>
      <c r="F3368" t="s">
        <v>5</v>
      </c>
      <c r="G3368" t="s">
        <v>6</v>
      </c>
      <c r="L3368" t="s">
        <v>7</v>
      </c>
      <c r="M3368">
        <v>2023</v>
      </c>
      <c r="N3368" s="1">
        <v>44957</v>
      </c>
      <c r="O3368" t="s">
        <v>15874</v>
      </c>
      <c r="P3368">
        <v>1</v>
      </c>
      <c r="S3368">
        <v>209.95</v>
      </c>
      <c r="T3368">
        <v>240</v>
      </c>
      <c r="U3368">
        <v>180</v>
      </c>
      <c r="V3368" t="s">
        <v>9</v>
      </c>
      <c r="W3368" t="s">
        <v>10</v>
      </c>
      <c r="X3368" t="s">
        <v>11</v>
      </c>
      <c r="Y3368" t="s">
        <v>52</v>
      </c>
      <c r="AF3368" t="s">
        <v>13</v>
      </c>
      <c r="AH3368" t="str">
        <f>HYPERLINK("http://www.degruyter.com/isbn/9781474497084")</f>
        <v>http://www.degruyter.com/isbn/9781474497084</v>
      </c>
      <c r="AI3368" t="s">
        <v>15325</v>
      </c>
      <c r="AL3368" t="s">
        <v>638</v>
      </c>
      <c r="AM3368">
        <v>1</v>
      </c>
      <c r="AN3368" s="2">
        <v>9781474497060</v>
      </c>
    </row>
    <row r="3369" spans="1:40" x14ac:dyDescent="0.3">
      <c r="A3369" t="s">
        <v>15875</v>
      </c>
      <c r="B3369" t="s">
        <v>1</v>
      </c>
      <c r="C3369" t="s">
        <v>15876</v>
      </c>
      <c r="D3369" t="s">
        <v>15877</v>
      </c>
      <c r="E3369" t="s">
        <v>15878</v>
      </c>
      <c r="F3369" t="s">
        <v>5</v>
      </c>
      <c r="G3369" t="s">
        <v>6</v>
      </c>
      <c r="L3369" t="s">
        <v>7</v>
      </c>
      <c r="M3369">
        <v>2023</v>
      </c>
      <c r="N3369" s="1">
        <v>44903</v>
      </c>
      <c r="O3369" t="s">
        <v>15879</v>
      </c>
      <c r="P3369">
        <v>1</v>
      </c>
      <c r="Q3369" t="s">
        <v>6858</v>
      </c>
      <c r="S3369">
        <v>209.95</v>
      </c>
      <c r="T3369">
        <v>240</v>
      </c>
      <c r="U3369">
        <v>180</v>
      </c>
      <c r="V3369" t="s">
        <v>58</v>
      </c>
      <c r="W3369" t="s">
        <v>59</v>
      </c>
      <c r="X3369" t="s">
        <v>60</v>
      </c>
      <c r="Y3369" t="s">
        <v>1171</v>
      </c>
      <c r="AF3369" t="s">
        <v>13</v>
      </c>
      <c r="AH3369" t="str">
        <f>HYPERLINK("http://www.degruyter.com/isbn/9781399501170")</f>
        <v>http://www.degruyter.com/isbn/9781399501170</v>
      </c>
      <c r="AI3369" t="s">
        <v>15880</v>
      </c>
      <c r="AL3369" t="s">
        <v>638</v>
      </c>
      <c r="AM3369">
        <v>1</v>
      </c>
      <c r="AN3369" s="2">
        <v>9781399501156</v>
      </c>
    </row>
    <row r="3370" spans="1:40" x14ac:dyDescent="0.3">
      <c r="A3370" t="s">
        <v>15881</v>
      </c>
      <c r="B3370" t="s">
        <v>1</v>
      </c>
      <c r="C3370" t="s">
        <v>15882</v>
      </c>
      <c r="E3370" t="s">
        <v>15883</v>
      </c>
      <c r="F3370" t="s">
        <v>5</v>
      </c>
      <c r="G3370" t="s">
        <v>6</v>
      </c>
      <c r="L3370" t="s">
        <v>7</v>
      </c>
      <c r="M3370">
        <v>2023</v>
      </c>
      <c r="N3370" s="1">
        <v>44957</v>
      </c>
      <c r="O3370" t="s">
        <v>15884</v>
      </c>
      <c r="P3370">
        <v>1</v>
      </c>
      <c r="Q3370" t="s">
        <v>6418</v>
      </c>
      <c r="S3370">
        <v>217.95</v>
      </c>
      <c r="T3370">
        <v>250</v>
      </c>
      <c r="U3370">
        <v>190</v>
      </c>
      <c r="V3370" t="s">
        <v>79</v>
      </c>
      <c r="W3370" t="s">
        <v>734</v>
      </c>
      <c r="X3370" t="s">
        <v>734</v>
      </c>
      <c r="Y3370" t="s">
        <v>735</v>
      </c>
      <c r="AF3370" t="s">
        <v>13</v>
      </c>
      <c r="AH3370" t="str">
        <f>HYPERLINK("http://www.degruyter.com/isbn/9781474489225")</f>
        <v>http://www.degruyter.com/isbn/9781474489225</v>
      </c>
      <c r="AI3370" t="s">
        <v>15797</v>
      </c>
      <c r="AL3370" t="s">
        <v>638</v>
      </c>
      <c r="AM3370">
        <v>1</v>
      </c>
      <c r="AN3370" s="2">
        <v>9781474489201</v>
      </c>
    </row>
    <row r="3371" spans="1:40" x14ac:dyDescent="0.3">
      <c r="A3371" t="s">
        <v>15885</v>
      </c>
      <c r="B3371" t="s">
        <v>1</v>
      </c>
      <c r="C3371" t="s">
        <v>15886</v>
      </c>
      <c r="E3371" t="s">
        <v>15887</v>
      </c>
      <c r="F3371" t="s">
        <v>5</v>
      </c>
      <c r="G3371" t="s">
        <v>6</v>
      </c>
      <c r="L3371" t="s">
        <v>7</v>
      </c>
      <c r="M3371">
        <v>2023</v>
      </c>
      <c r="N3371" s="1">
        <v>44926</v>
      </c>
      <c r="O3371" t="s">
        <v>15888</v>
      </c>
      <c r="P3371">
        <v>1</v>
      </c>
      <c r="Q3371" t="s">
        <v>6987</v>
      </c>
      <c r="S3371">
        <v>209.95</v>
      </c>
      <c r="T3371">
        <v>240</v>
      </c>
      <c r="U3371">
        <v>180</v>
      </c>
      <c r="V3371" t="s">
        <v>9</v>
      </c>
      <c r="W3371" t="s">
        <v>10</v>
      </c>
      <c r="X3371" t="s">
        <v>11</v>
      </c>
      <c r="Y3371" t="s">
        <v>52</v>
      </c>
      <c r="AF3371" t="s">
        <v>13</v>
      </c>
      <c r="AH3371" t="str">
        <f>HYPERLINK("http://www.degruyter.com/isbn/9781474497404")</f>
        <v>http://www.degruyter.com/isbn/9781474497404</v>
      </c>
      <c r="AI3371" t="s">
        <v>15806</v>
      </c>
      <c r="AL3371" t="s">
        <v>638</v>
      </c>
      <c r="AM3371">
        <v>1</v>
      </c>
      <c r="AN3371" s="2">
        <v>9781474497381</v>
      </c>
    </row>
    <row r="3372" spans="1:40" x14ac:dyDescent="0.3">
      <c r="A3372" t="s">
        <v>15889</v>
      </c>
      <c r="B3372" t="s">
        <v>1</v>
      </c>
      <c r="C3372" t="s">
        <v>15890</v>
      </c>
      <c r="D3372" t="s">
        <v>15891</v>
      </c>
      <c r="E3372" t="s">
        <v>15892</v>
      </c>
      <c r="F3372" t="s">
        <v>5</v>
      </c>
      <c r="G3372" t="s">
        <v>6</v>
      </c>
      <c r="L3372" t="s">
        <v>7</v>
      </c>
      <c r="M3372">
        <v>2023</v>
      </c>
      <c r="N3372" s="1">
        <v>44903</v>
      </c>
      <c r="O3372" t="s">
        <v>15893</v>
      </c>
      <c r="P3372">
        <v>1</v>
      </c>
      <c r="S3372">
        <v>209.95</v>
      </c>
      <c r="T3372">
        <v>240</v>
      </c>
      <c r="U3372">
        <v>180</v>
      </c>
      <c r="V3372" t="s">
        <v>9</v>
      </c>
      <c r="W3372" t="s">
        <v>10</v>
      </c>
      <c r="X3372" t="s">
        <v>11</v>
      </c>
      <c r="Y3372" t="s">
        <v>52</v>
      </c>
      <c r="AF3372" t="s">
        <v>13</v>
      </c>
      <c r="AH3372" t="str">
        <f>HYPERLINK("http://www.degruyter.com/isbn/9781474482103")</f>
        <v>http://www.degruyter.com/isbn/9781474482103</v>
      </c>
      <c r="AI3372" t="s">
        <v>15761</v>
      </c>
      <c r="AL3372" t="s">
        <v>638</v>
      </c>
      <c r="AM3372">
        <v>1</v>
      </c>
      <c r="AN3372" s="2">
        <v>9781474482080</v>
      </c>
    </row>
    <row r="3373" spans="1:40" x14ac:dyDescent="0.3">
      <c r="A3373" t="s">
        <v>15894</v>
      </c>
      <c r="B3373" t="s">
        <v>1</v>
      </c>
      <c r="C3373" t="s">
        <v>15895</v>
      </c>
      <c r="D3373" t="s">
        <v>15896</v>
      </c>
      <c r="E3373" t="s">
        <v>15897</v>
      </c>
      <c r="F3373" t="s">
        <v>5</v>
      </c>
      <c r="G3373" t="s">
        <v>6</v>
      </c>
      <c r="L3373" t="s">
        <v>7</v>
      </c>
      <c r="M3373">
        <v>2023</v>
      </c>
      <c r="N3373" s="1">
        <v>44903</v>
      </c>
      <c r="O3373" t="s">
        <v>15898</v>
      </c>
      <c r="P3373">
        <v>1</v>
      </c>
      <c r="Q3373" t="s">
        <v>8096</v>
      </c>
      <c r="S3373">
        <v>209.95</v>
      </c>
      <c r="T3373">
        <v>240</v>
      </c>
      <c r="U3373">
        <v>180</v>
      </c>
      <c r="V3373" t="s">
        <v>42</v>
      </c>
      <c r="W3373" t="s">
        <v>107</v>
      </c>
      <c r="X3373" t="s">
        <v>108</v>
      </c>
      <c r="Y3373" t="s">
        <v>109</v>
      </c>
      <c r="AF3373" t="s">
        <v>13</v>
      </c>
      <c r="AH3373" t="str">
        <f>HYPERLINK("http://www.degruyter.com/isbn/9781474497763")</f>
        <v>http://www.degruyter.com/isbn/9781474497763</v>
      </c>
      <c r="AI3373" t="s">
        <v>15741</v>
      </c>
      <c r="AL3373" t="s">
        <v>638</v>
      </c>
      <c r="AM3373">
        <v>1</v>
      </c>
      <c r="AN3373" s="2">
        <v>9781474497749</v>
      </c>
    </row>
    <row r="3374" spans="1:40" x14ac:dyDescent="0.3">
      <c r="A3374" t="s">
        <v>15899</v>
      </c>
      <c r="B3374" t="s">
        <v>1</v>
      </c>
      <c r="C3374" t="s">
        <v>15900</v>
      </c>
      <c r="E3374" t="s">
        <v>15901</v>
      </c>
      <c r="F3374" t="s">
        <v>5</v>
      </c>
      <c r="G3374" t="s">
        <v>6</v>
      </c>
      <c r="L3374" t="s">
        <v>7</v>
      </c>
      <c r="M3374">
        <v>2023</v>
      </c>
      <c r="N3374" s="1">
        <v>44926</v>
      </c>
      <c r="O3374" t="s">
        <v>15902</v>
      </c>
      <c r="P3374">
        <v>1</v>
      </c>
      <c r="Q3374" t="s">
        <v>7449</v>
      </c>
      <c r="S3374">
        <v>209.95</v>
      </c>
      <c r="T3374">
        <v>240</v>
      </c>
      <c r="U3374">
        <v>180</v>
      </c>
      <c r="V3374" t="s">
        <v>79</v>
      </c>
      <c r="W3374" t="s">
        <v>123</v>
      </c>
      <c r="X3374" t="s">
        <v>123</v>
      </c>
      <c r="Y3374" t="s">
        <v>124</v>
      </c>
      <c r="AF3374" t="s">
        <v>13</v>
      </c>
      <c r="AH3374" t="str">
        <f>HYPERLINK("http://www.degruyter.com/isbn/9781474497244")</f>
        <v>http://www.degruyter.com/isbn/9781474497244</v>
      </c>
      <c r="AI3374" t="s">
        <v>15833</v>
      </c>
      <c r="AL3374" t="s">
        <v>638</v>
      </c>
      <c r="AM3374">
        <v>1</v>
      </c>
      <c r="AN3374" s="2">
        <v>9781474497220</v>
      </c>
    </row>
    <row r="3375" spans="1:40" x14ac:dyDescent="0.3">
      <c r="A3375" t="s">
        <v>15903</v>
      </c>
      <c r="B3375" t="s">
        <v>1</v>
      </c>
      <c r="C3375" t="s">
        <v>15904</v>
      </c>
      <c r="D3375" t="s">
        <v>15905</v>
      </c>
      <c r="E3375" t="s">
        <v>15906</v>
      </c>
      <c r="F3375" t="s">
        <v>5</v>
      </c>
      <c r="G3375" t="s">
        <v>6</v>
      </c>
      <c r="L3375" t="s">
        <v>7</v>
      </c>
      <c r="M3375">
        <v>2023</v>
      </c>
      <c r="N3375" s="1">
        <v>44985</v>
      </c>
      <c r="O3375" t="s">
        <v>15907</v>
      </c>
      <c r="P3375">
        <v>1</v>
      </c>
      <c r="Q3375" t="s">
        <v>13622</v>
      </c>
      <c r="S3375">
        <v>217.95</v>
      </c>
      <c r="T3375">
        <v>250</v>
      </c>
      <c r="U3375">
        <v>190</v>
      </c>
      <c r="V3375" t="s">
        <v>42</v>
      </c>
      <c r="W3375" t="s">
        <v>107</v>
      </c>
      <c r="X3375" t="s">
        <v>108</v>
      </c>
      <c r="Y3375" t="s">
        <v>952</v>
      </c>
      <c r="AF3375" t="s">
        <v>13</v>
      </c>
      <c r="AH3375" t="str">
        <f>HYPERLINK("http://www.degruyter.com/isbn/9781399506694")</f>
        <v>http://www.degruyter.com/isbn/9781399506694</v>
      </c>
      <c r="AI3375" t="s">
        <v>15732</v>
      </c>
      <c r="AL3375" t="s">
        <v>638</v>
      </c>
      <c r="AM3375">
        <v>1</v>
      </c>
      <c r="AN3375" s="2">
        <v>9781399506687</v>
      </c>
    </row>
    <row r="3376" spans="1:40" x14ac:dyDescent="0.3">
      <c r="A3376" t="s">
        <v>15908</v>
      </c>
      <c r="B3376" t="s">
        <v>1</v>
      </c>
      <c r="C3376" t="s">
        <v>15909</v>
      </c>
      <c r="D3376" t="s">
        <v>15910</v>
      </c>
      <c r="E3376" t="s">
        <v>15911</v>
      </c>
      <c r="F3376" t="s">
        <v>5</v>
      </c>
      <c r="G3376" t="s">
        <v>6</v>
      </c>
      <c r="L3376" t="s">
        <v>7</v>
      </c>
      <c r="M3376">
        <v>2023</v>
      </c>
      <c r="N3376" s="1">
        <v>44957</v>
      </c>
      <c r="O3376" t="s">
        <v>15912</v>
      </c>
      <c r="P3376">
        <v>1</v>
      </c>
      <c r="S3376">
        <v>217.95</v>
      </c>
      <c r="T3376">
        <v>250</v>
      </c>
      <c r="U3376">
        <v>190</v>
      </c>
      <c r="V3376" t="s">
        <v>42</v>
      </c>
      <c r="W3376" t="s">
        <v>107</v>
      </c>
      <c r="X3376" t="s">
        <v>108</v>
      </c>
      <c r="Y3376" t="s">
        <v>109</v>
      </c>
      <c r="AF3376" t="s">
        <v>13</v>
      </c>
      <c r="AH3376" t="str">
        <f>HYPERLINK("http://www.degruyter.com/isbn/9781399502207")</f>
        <v>http://www.degruyter.com/isbn/9781399502207</v>
      </c>
      <c r="AI3376" t="s">
        <v>15732</v>
      </c>
      <c r="AL3376" t="s">
        <v>638</v>
      </c>
      <c r="AM3376">
        <v>1</v>
      </c>
      <c r="AN3376" s="2">
        <v>9781399502184</v>
      </c>
    </row>
    <row r="3377" spans="1:40" x14ac:dyDescent="0.3">
      <c r="A3377" t="s">
        <v>15913</v>
      </c>
      <c r="B3377" t="s">
        <v>1</v>
      </c>
      <c r="C3377" t="s">
        <v>15914</v>
      </c>
      <c r="D3377" t="s">
        <v>15915</v>
      </c>
      <c r="E3377" t="s">
        <v>15916</v>
      </c>
      <c r="F3377" t="s">
        <v>5</v>
      </c>
      <c r="G3377" t="s">
        <v>6</v>
      </c>
      <c r="L3377" t="s">
        <v>7</v>
      </c>
      <c r="M3377">
        <v>2023</v>
      </c>
      <c r="N3377" s="1">
        <v>44957</v>
      </c>
      <c r="O3377" t="s">
        <v>15917</v>
      </c>
      <c r="P3377">
        <v>1</v>
      </c>
      <c r="S3377">
        <v>209.95</v>
      </c>
      <c r="T3377">
        <v>240</v>
      </c>
      <c r="U3377">
        <v>180</v>
      </c>
      <c r="V3377" t="s">
        <v>58</v>
      </c>
      <c r="W3377" t="s">
        <v>59</v>
      </c>
      <c r="X3377" t="s">
        <v>60</v>
      </c>
      <c r="Y3377" t="s">
        <v>73</v>
      </c>
      <c r="AF3377" t="s">
        <v>13</v>
      </c>
      <c r="AH3377" t="str">
        <f>HYPERLINK("http://www.degruyter.com/isbn/9781474497329")</f>
        <v>http://www.degruyter.com/isbn/9781474497329</v>
      </c>
      <c r="AI3377" t="s">
        <v>15918</v>
      </c>
      <c r="AL3377" t="s">
        <v>638</v>
      </c>
      <c r="AM3377">
        <v>1</v>
      </c>
      <c r="AN3377" s="2">
        <v>9781474497305</v>
      </c>
    </row>
    <row r="3378" spans="1:40" x14ac:dyDescent="0.3">
      <c r="A3378" t="s">
        <v>15919</v>
      </c>
      <c r="B3378" t="s">
        <v>1</v>
      </c>
      <c r="C3378" t="s">
        <v>15920</v>
      </c>
      <c r="D3378" t="s">
        <v>15921</v>
      </c>
      <c r="E3378" t="s">
        <v>15922</v>
      </c>
      <c r="F3378" t="s">
        <v>5</v>
      </c>
      <c r="G3378" t="s">
        <v>6</v>
      </c>
      <c r="L3378" t="s">
        <v>7</v>
      </c>
      <c r="M3378">
        <v>2023</v>
      </c>
      <c r="N3378" s="1">
        <v>44985</v>
      </c>
      <c r="O3378" t="s">
        <v>392</v>
      </c>
      <c r="P3378">
        <v>1</v>
      </c>
      <c r="S3378">
        <v>227.95</v>
      </c>
      <c r="T3378">
        <v>260</v>
      </c>
      <c r="U3378">
        <v>200</v>
      </c>
      <c r="V3378" t="s">
        <v>42</v>
      </c>
      <c r="W3378" t="s">
        <v>161</v>
      </c>
      <c r="X3378" t="s">
        <v>4261</v>
      </c>
      <c r="Y3378" t="s">
        <v>393</v>
      </c>
      <c r="AF3378" t="s">
        <v>13</v>
      </c>
      <c r="AH3378" t="str">
        <f>HYPERLINK("http://www.degruyter.com/isbn/9781399503235")</f>
        <v>http://www.degruyter.com/isbn/9781399503235</v>
      </c>
      <c r="AI3378" t="s">
        <v>15923</v>
      </c>
      <c r="AL3378" t="s">
        <v>638</v>
      </c>
      <c r="AM3378">
        <v>1</v>
      </c>
      <c r="AN3378" s="2">
        <v>9781399503211</v>
      </c>
    </row>
    <row r="3379" spans="1:40" x14ac:dyDescent="0.3">
      <c r="A3379" t="s">
        <v>15924</v>
      </c>
      <c r="B3379" t="s">
        <v>1</v>
      </c>
      <c r="C3379" t="s">
        <v>15925</v>
      </c>
      <c r="E3379" t="s">
        <v>15926</v>
      </c>
      <c r="F3379" t="s">
        <v>5</v>
      </c>
      <c r="G3379" t="s">
        <v>6</v>
      </c>
      <c r="L3379" t="s">
        <v>7</v>
      </c>
      <c r="M3379">
        <v>2023</v>
      </c>
      <c r="N3379" s="1">
        <v>44957</v>
      </c>
      <c r="O3379" t="s">
        <v>15927</v>
      </c>
      <c r="P3379">
        <v>1</v>
      </c>
      <c r="Q3379" t="s">
        <v>7019</v>
      </c>
      <c r="S3379">
        <v>217.95</v>
      </c>
      <c r="T3379">
        <v>250</v>
      </c>
      <c r="U3379">
        <v>190</v>
      </c>
      <c r="V3379" t="s">
        <v>20</v>
      </c>
      <c r="W3379" t="s">
        <v>21</v>
      </c>
      <c r="X3379" t="s">
        <v>22</v>
      </c>
      <c r="Y3379" t="s">
        <v>23</v>
      </c>
      <c r="AF3379" t="s">
        <v>13</v>
      </c>
      <c r="AH3379" t="str">
        <f>HYPERLINK("http://www.degruyter.com/isbn/9781474493291")</f>
        <v>http://www.degruyter.com/isbn/9781474493291</v>
      </c>
      <c r="AI3379" t="s">
        <v>15812</v>
      </c>
      <c r="AL3379" t="s">
        <v>638</v>
      </c>
      <c r="AM3379">
        <v>1</v>
      </c>
      <c r="AN3379" s="2">
        <v>9781474493277</v>
      </c>
    </row>
    <row r="3380" spans="1:40" x14ac:dyDescent="0.3">
      <c r="A3380" t="s">
        <v>15928</v>
      </c>
      <c r="B3380" t="s">
        <v>1</v>
      </c>
      <c r="C3380" t="s">
        <v>15929</v>
      </c>
      <c r="D3380" t="s">
        <v>15930</v>
      </c>
      <c r="E3380" t="s">
        <v>15931</v>
      </c>
      <c r="F3380" t="s">
        <v>5</v>
      </c>
      <c r="G3380" t="s">
        <v>6</v>
      </c>
      <c r="L3380" t="s">
        <v>7</v>
      </c>
      <c r="M3380">
        <v>2023</v>
      </c>
      <c r="N3380" s="1">
        <v>44957</v>
      </c>
      <c r="O3380" t="s">
        <v>15932</v>
      </c>
      <c r="P3380">
        <v>1</v>
      </c>
      <c r="S3380">
        <v>209.95</v>
      </c>
      <c r="T3380">
        <v>240</v>
      </c>
      <c r="U3380">
        <v>180</v>
      </c>
      <c r="V3380" t="s">
        <v>9</v>
      </c>
      <c r="W3380" t="s">
        <v>10</v>
      </c>
      <c r="X3380" t="s">
        <v>11</v>
      </c>
      <c r="Y3380" t="s">
        <v>12</v>
      </c>
      <c r="AF3380" t="s">
        <v>13</v>
      </c>
      <c r="AH3380" t="str">
        <f>HYPERLINK("http://www.degruyter.com/isbn/9781399507264")</f>
        <v>http://www.degruyter.com/isbn/9781399507264</v>
      </c>
      <c r="AI3380" t="s">
        <v>15325</v>
      </c>
      <c r="AL3380" t="s">
        <v>638</v>
      </c>
      <c r="AM3380">
        <v>1</v>
      </c>
      <c r="AN3380" s="2">
        <v>9781399507240</v>
      </c>
    </row>
    <row r="3381" spans="1:40" x14ac:dyDescent="0.3">
      <c r="A3381" t="s">
        <v>15933</v>
      </c>
      <c r="B3381" t="s">
        <v>1</v>
      </c>
      <c r="C3381" t="s">
        <v>15934</v>
      </c>
      <c r="D3381" t="s">
        <v>15935</v>
      </c>
      <c r="E3381" t="s">
        <v>15936</v>
      </c>
      <c r="F3381" t="s">
        <v>5</v>
      </c>
      <c r="G3381" t="s">
        <v>6</v>
      </c>
      <c r="L3381" t="s">
        <v>7</v>
      </c>
      <c r="M3381">
        <v>2023</v>
      </c>
      <c r="N3381" s="1">
        <v>44985</v>
      </c>
      <c r="O3381" t="s">
        <v>15937</v>
      </c>
      <c r="P3381">
        <v>1</v>
      </c>
      <c r="Q3381" t="s">
        <v>13391</v>
      </c>
      <c r="S3381">
        <v>217.95</v>
      </c>
      <c r="T3381">
        <v>250</v>
      </c>
      <c r="U3381">
        <v>190</v>
      </c>
      <c r="V3381" t="s">
        <v>20</v>
      </c>
      <c r="W3381" t="s">
        <v>470</v>
      </c>
      <c r="X3381" t="s">
        <v>1269</v>
      </c>
      <c r="Y3381" t="s">
        <v>1270</v>
      </c>
      <c r="AF3381" t="s">
        <v>13</v>
      </c>
      <c r="AH3381" t="str">
        <f>HYPERLINK("http://www.degruyter.com/isbn/9781399504492")</f>
        <v>http://www.degruyter.com/isbn/9781399504492</v>
      </c>
      <c r="AI3381" t="s">
        <v>15812</v>
      </c>
      <c r="AL3381" t="s">
        <v>638</v>
      </c>
      <c r="AM3381">
        <v>1</v>
      </c>
      <c r="AN3381" s="2">
        <v>9781399504478</v>
      </c>
    </row>
    <row r="3382" spans="1:40" x14ac:dyDescent="0.3">
      <c r="A3382" t="s">
        <v>15938</v>
      </c>
      <c r="B3382" t="s">
        <v>1</v>
      </c>
      <c r="C3382" t="s">
        <v>15939</v>
      </c>
      <c r="E3382" t="s">
        <v>15940</v>
      </c>
      <c r="F3382" t="s">
        <v>5</v>
      </c>
      <c r="G3382" t="s">
        <v>6</v>
      </c>
      <c r="L3382" t="s">
        <v>7</v>
      </c>
      <c r="M3382">
        <v>2023</v>
      </c>
      <c r="N3382" s="1">
        <v>44926</v>
      </c>
      <c r="O3382" t="s">
        <v>15941</v>
      </c>
      <c r="P3382">
        <v>1</v>
      </c>
      <c r="S3382">
        <v>209.95</v>
      </c>
      <c r="T3382">
        <v>240</v>
      </c>
      <c r="U3382">
        <v>180</v>
      </c>
      <c r="V3382" t="s">
        <v>9</v>
      </c>
      <c r="W3382" t="s">
        <v>10</v>
      </c>
      <c r="X3382" t="s">
        <v>11</v>
      </c>
      <c r="Y3382" t="s">
        <v>3896</v>
      </c>
      <c r="AF3382" t="s">
        <v>13</v>
      </c>
      <c r="AH3382" t="str">
        <f>HYPERLINK("http://www.degruyter.com/isbn/9781399505697")</f>
        <v>http://www.degruyter.com/isbn/9781399505697</v>
      </c>
      <c r="AI3382" t="s">
        <v>15806</v>
      </c>
      <c r="AL3382" t="s">
        <v>638</v>
      </c>
      <c r="AM3382">
        <v>1</v>
      </c>
      <c r="AN3382" s="2">
        <v>9781399505673</v>
      </c>
    </row>
    <row r="3383" spans="1:40" x14ac:dyDescent="0.3">
      <c r="A3383" t="s">
        <v>15942</v>
      </c>
      <c r="B3383" t="s">
        <v>1</v>
      </c>
      <c r="C3383" t="s">
        <v>15943</v>
      </c>
      <c r="E3383" t="s">
        <v>15944</v>
      </c>
      <c r="F3383" t="s">
        <v>5</v>
      </c>
      <c r="G3383" t="s">
        <v>6</v>
      </c>
      <c r="L3383" t="s">
        <v>7</v>
      </c>
      <c r="M3383">
        <v>2023</v>
      </c>
      <c r="N3383" s="1">
        <v>44957</v>
      </c>
      <c r="O3383" t="s">
        <v>15945</v>
      </c>
      <c r="P3383">
        <v>1</v>
      </c>
      <c r="S3383">
        <v>227.95</v>
      </c>
      <c r="T3383">
        <v>260</v>
      </c>
      <c r="U3383">
        <v>200</v>
      </c>
      <c r="V3383" t="s">
        <v>58</v>
      </c>
      <c r="W3383" t="s">
        <v>59</v>
      </c>
      <c r="X3383" t="s">
        <v>60</v>
      </c>
      <c r="Y3383" t="s">
        <v>15946</v>
      </c>
      <c r="AF3383" t="s">
        <v>13</v>
      </c>
      <c r="AH3383" t="str">
        <f>HYPERLINK("http://www.degruyter.com/isbn/9781399511759")</f>
        <v>http://www.degruyter.com/isbn/9781399511759</v>
      </c>
      <c r="AI3383" t="s">
        <v>15918</v>
      </c>
      <c r="AL3383" t="s">
        <v>638</v>
      </c>
      <c r="AM3383">
        <v>1</v>
      </c>
      <c r="AN3383" s="2">
        <v>9781399511735</v>
      </c>
    </row>
    <row r="3384" spans="1:40" x14ac:dyDescent="0.3">
      <c r="A3384" t="s">
        <v>15947</v>
      </c>
      <c r="B3384" t="s">
        <v>1</v>
      </c>
      <c r="C3384" t="s">
        <v>15948</v>
      </c>
      <c r="D3384" t="s">
        <v>15949</v>
      </c>
      <c r="E3384" t="s">
        <v>15950</v>
      </c>
      <c r="F3384" t="s">
        <v>5</v>
      </c>
      <c r="G3384" t="s">
        <v>6</v>
      </c>
      <c r="L3384" t="s">
        <v>7</v>
      </c>
      <c r="M3384">
        <v>2022</v>
      </c>
      <c r="N3384" s="1">
        <v>44865</v>
      </c>
      <c r="O3384" t="s">
        <v>15951</v>
      </c>
      <c r="P3384">
        <v>1</v>
      </c>
      <c r="S3384">
        <v>417.95</v>
      </c>
      <c r="T3384">
        <v>480</v>
      </c>
      <c r="U3384">
        <v>370</v>
      </c>
      <c r="V3384" t="s">
        <v>329</v>
      </c>
      <c r="W3384" t="s">
        <v>330</v>
      </c>
      <c r="X3384" t="s">
        <v>331</v>
      </c>
      <c r="Y3384" t="s">
        <v>4770</v>
      </c>
      <c r="AF3384" t="s">
        <v>13</v>
      </c>
      <c r="AH3384" t="str">
        <f>HYPERLINK("http://www.degruyter.com/isbn/9781399503754")</f>
        <v>http://www.degruyter.com/isbn/9781399503754</v>
      </c>
      <c r="AI3384" t="s">
        <v>15374</v>
      </c>
      <c r="AL3384" t="s">
        <v>333</v>
      </c>
      <c r="AM3384">
        <v>1</v>
      </c>
      <c r="AN3384" s="2">
        <v>9781399503730</v>
      </c>
    </row>
    <row r="3385" spans="1:40" x14ac:dyDescent="0.3">
      <c r="A3385" t="s">
        <v>15952</v>
      </c>
      <c r="B3385" t="s">
        <v>1</v>
      </c>
      <c r="C3385" t="s">
        <v>15953</v>
      </c>
      <c r="D3385" t="s">
        <v>15954</v>
      </c>
      <c r="E3385" t="s">
        <v>15955</v>
      </c>
      <c r="F3385" t="s">
        <v>5</v>
      </c>
      <c r="G3385" t="s">
        <v>6</v>
      </c>
      <c r="L3385" t="s">
        <v>7</v>
      </c>
      <c r="M3385">
        <v>2023</v>
      </c>
      <c r="N3385" s="1">
        <v>44985</v>
      </c>
      <c r="O3385" t="s">
        <v>15956</v>
      </c>
      <c r="P3385">
        <v>1</v>
      </c>
      <c r="Q3385" t="s">
        <v>6665</v>
      </c>
      <c r="S3385">
        <v>217.95</v>
      </c>
      <c r="T3385">
        <v>250</v>
      </c>
      <c r="U3385">
        <v>190</v>
      </c>
      <c r="V3385" t="s">
        <v>9</v>
      </c>
      <c r="W3385" t="s">
        <v>10</v>
      </c>
      <c r="X3385" t="s">
        <v>11</v>
      </c>
      <c r="Y3385" t="s">
        <v>52</v>
      </c>
      <c r="AF3385" t="s">
        <v>13</v>
      </c>
      <c r="AH3385" t="str">
        <f>HYPERLINK("http://www.degruyter.com/isbn/9781474414234")</f>
        <v>http://www.degruyter.com/isbn/9781474414234</v>
      </c>
      <c r="AI3385" t="s">
        <v>15325</v>
      </c>
      <c r="AL3385" t="s">
        <v>638</v>
      </c>
      <c r="AM3385">
        <v>1</v>
      </c>
      <c r="AN3385" s="2">
        <v>9781474414227</v>
      </c>
    </row>
    <row r="3386" spans="1:40" x14ac:dyDescent="0.3">
      <c r="A3386" t="s">
        <v>15957</v>
      </c>
      <c r="B3386" t="s">
        <v>1</v>
      </c>
      <c r="C3386" t="s">
        <v>15958</v>
      </c>
      <c r="E3386" t="s">
        <v>15959</v>
      </c>
      <c r="F3386" t="s">
        <v>5</v>
      </c>
      <c r="G3386" t="s">
        <v>6</v>
      </c>
      <c r="L3386" t="s">
        <v>7</v>
      </c>
      <c r="M3386">
        <v>2023</v>
      </c>
      <c r="N3386" s="1">
        <v>44903</v>
      </c>
      <c r="O3386" t="s">
        <v>2290</v>
      </c>
      <c r="P3386">
        <v>1</v>
      </c>
      <c r="S3386">
        <v>217.95</v>
      </c>
      <c r="T3386">
        <v>250</v>
      </c>
      <c r="U3386">
        <v>190</v>
      </c>
      <c r="V3386" t="s">
        <v>42</v>
      </c>
      <c r="W3386" t="s">
        <v>290</v>
      </c>
      <c r="X3386" t="s">
        <v>290</v>
      </c>
      <c r="Y3386" t="s">
        <v>515</v>
      </c>
      <c r="AF3386" t="s">
        <v>13</v>
      </c>
      <c r="AH3386" t="str">
        <f>HYPERLINK("http://www.degruyter.com/isbn/9781399513241")</f>
        <v>http://www.degruyter.com/isbn/9781399513241</v>
      </c>
      <c r="AI3386" t="s">
        <v>15741</v>
      </c>
      <c r="AL3386" t="s">
        <v>638</v>
      </c>
      <c r="AM3386">
        <v>1</v>
      </c>
      <c r="AN3386" s="2">
        <v>9781399513227</v>
      </c>
    </row>
    <row r="3387" spans="1:40" x14ac:dyDescent="0.3">
      <c r="A3387" t="s">
        <v>15960</v>
      </c>
      <c r="B3387" t="s">
        <v>1</v>
      </c>
      <c r="C3387" t="s">
        <v>15961</v>
      </c>
      <c r="E3387" t="s">
        <v>15962</v>
      </c>
      <c r="F3387" t="s">
        <v>5</v>
      </c>
      <c r="G3387" t="s">
        <v>6</v>
      </c>
      <c r="L3387" t="s">
        <v>7</v>
      </c>
      <c r="M3387">
        <v>2023</v>
      </c>
      <c r="N3387" s="1">
        <v>44957</v>
      </c>
      <c r="O3387" t="s">
        <v>15963</v>
      </c>
      <c r="P3387">
        <v>1</v>
      </c>
      <c r="Q3387" t="s">
        <v>7655</v>
      </c>
      <c r="S3387">
        <v>209.95</v>
      </c>
      <c r="T3387">
        <v>240</v>
      </c>
      <c r="U3387">
        <v>180</v>
      </c>
      <c r="V3387" t="s">
        <v>9</v>
      </c>
      <c r="W3387" t="s">
        <v>10</v>
      </c>
      <c r="X3387" t="s">
        <v>11</v>
      </c>
      <c r="Y3387" t="s">
        <v>52</v>
      </c>
      <c r="AF3387" t="s">
        <v>13</v>
      </c>
      <c r="AH3387" t="str">
        <f>HYPERLINK("http://www.degruyter.com/isbn/9781474497480")</f>
        <v>http://www.degruyter.com/isbn/9781474497480</v>
      </c>
      <c r="AI3387" t="s">
        <v>15325</v>
      </c>
      <c r="AL3387" t="s">
        <v>638</v>
      </c>
      <c r="AM3387">
        <v>1</v>
      </c>
      <c r="AN3387" s="2">
        <v>9781474497466</v>
      </c>
    </row>
    <row r="3388" spans="1:40" x14ac:dyDescent="0.3">
      <c r="A3388" t="s">
        <v>15964</v>
      </c>
      <c r="B3388" t="s">
        <v>1</v>
      </c>
      <c r="C3388" t="s">
        <v>15965</v>
      </c>
      <c r="D3388" t="s">
        <v>15966</v>
      </c>
      <c r="E3388" t="s">
        <v>15967</v>
      </c>
      <c r="F3388" t="s">
        <v>5</v>
      </c>
      <c r="G3388" t="s">
        <v>6</v>
      </c>
      <c r="L3388" t="s">
        <v>7</v>
      </c>
      <c r="M3388">
        <v>2023</v>
      </c>
      <c r="N3388" s="1">
        <v>44903</v>
      </c>
      <c r="O3388" t="s">
        <v>8466</v>
      </c>
      <c r="P3388">
        <v>1</v>
      </c>
      <c r="Q3388" t="s">
        <v>7521</v>
      </c>
      <c r="S3388">
        <v>209.95</v>
      </c>
      <c r="T3388">
        <v>240</v>
      </c>
      <c r="U3388">
        <v>180</v>
      </c>
      <c r="V3388" t="s">
        <v>449</v>
      </c>
      <c r="W3388" t="s">
        <v>450</v>
      </c>
      <c r="X3388" t="s">
        <v>450</v>
      </c>
      <c r="Y3388" t="s">
        <v>15968</v>
      </c>
      <c r="AF3388" t="s">
        <v>13</v>
      </c>
      <c r="AH3388" t="str">
        <f>HYPERLINK("http://www.degruyter.com/isbn/9781474414074")</f>
        <v>http://www.degruyter.com/isbn/9781474414074</v>
      </c>
      <c r="AI3388" t="s">
        <v>15969</v>
      </c>
      <c r="AL3388" t="s">
        <v>638</v>
      </c>
      <c r="AM3388">
        <v>1</v>
      </c>
      <c r="AN3388" s="2">
        <v>9781474414067</v>
      </c>
    </row>
    <row r="3389" spans="1:40" x14ac:dyDescent="0.3">
      <c r="A3389" t="s">
        <v>15970</v>
      </c>
      <c r="B3389" t="s">
        <v>1</v>
      </c>
      <c r="C3389" t="s">
        <v>15971</v>
      </c>
      <c r="D3389" t="s">
        <v>15972</v>
      </c>
      <c r="E3389" t="s">
        <v>15973</v>
      </c>
      <c r="F3389" t="s">
        <v>5</v>
      </c>
      <c r="G3389" t="s">
        <v>6</v>
      </c>
      <c r="L3389" t="s">
        <v>7</v>
      </c>
      <c r="M3389">
        <v>2023</v>
      </c>
      <c r="N3389" s="1">
        <v>44957</v>
      </c>
      <c r="O3389" t="s">
        <v>15974</v>
      </c>
      <c r="P3389">
        <v>1</v>
      </c>
      <c r="S3389">
        <v>217.95</v>
      </c>
      <c r="T3389">
        <v>250</v>
      </c>
      <c r="U3389">
        <v>190</v>
      </c>
      <c r="V3389" t="s">
        <v>20</v>
      </c>
      <c r="W3389" t="s">
        <v>21</v>
      </c>
      <c r="X3389" t="s">
        <v>458</v>
      </c>
      <c r="Y3389" t="s">
        <v>1816</v>
      </c>
      <c r="AF3389" t="s">
        <v>13</v>
      </c>
      <c r="AH3389" t="str">
        <f>HYPERLINK("http://www.degruyter.com/isbn/9781399510332")</f>
        <v>http://www.degruyter.com/isbn/9781399510332</v>
      </c>
      <c r="AI3389" t="s">
        <v>15812</v>
      </c>
      <c r="AL3389" t="s">
        <v>638</v>
      </c>
      <c r="AM3389">
        <v>1</v>
      </c>
      <c r="AN3389" s="2">
        <v>9781399510301</v>
      </c>
    </row>
    <row r="3390" spans="1:40" x14ac:dyDescent="0.3">
      <c r="A3390" t="s">
        <v>15975</v>
      </c>
      <c r="B3390" t="s">
        <v>1</v>
      </c>
      <c r="C3390" t="s">
        <v>15976</v>
      </c>
      <c r="E3390" t="s">
        <v>15977</v>
      </c>
      <c r="F3390" t="s">
        <v>5</v>
      </c>
      <c r="G3390" t="s">
        <v>6</v>
      </c>
      <c r="L3390" t="s">
        <v>7</v>
      </c>
      <c r="M3390">
        <v>2023</v>
      </c>
      <c r="N3390" s="1">
        <v>44957</v>
      </c>
      <c r="O3390" t="s">
        <v>15978</v>
      </c>
      <c r="P3390">
        <v>1</v>
      </c>
      <c r="Q3390" t="s">
        <v>13125</v>
      </c>
      <c r="S3390">
        <v>209.95</v>
      </c>
      <c r="T3390">
        <v>240</v>
      </c>
      <c r="U3390">
        <v>180</v>
      </c>
      <c r="V3390" t="s">
        <v>58</v>
      </c>
      <c r="W3390" t="s">
        <v>59</v>
      </c>
      <c r="X3390" t="s">
        <v>60</v>
      </c>
      <c r="Y3390" t="s">
        <v>615</v>
      </c>
      <c r="AF3390" t="s">
        <v>13</v>
      </c>
      <c r="AH3390" t="str">
        <f>HYPERLINK("http://www.degruyter.com/isbn/9781399506243")</f>
        <v>http://www.degruyter.com/isbn/9781399506243</v>
      </c>
      <c r="AI3390" t="s">
        <v>15918</v>
      </c>
      <c r="AL3390" t="s">
        <v>638</v>
      </c>
      <c r="AM3390">
        <v>1</v>
      </c>
      <c r="AN3390" s="2">
        <v>9781399506229</v>
      </c>
    </row>
    <row r="3391" spans="1:40" x14ac:dyDescent="0.3">
      <c r="A3391" t="s">
        <v>15979</v>
      </c>
      <c r="B3391" t="s">
        <v>1</v>
      </c>
      <c r="C3391" t="s">
        <v>15980</v>
      </c>
      <c r="D3391" t="s">
        <v>15981</v>
      </c>
      <c r="E3391" t="s">
        <v>15982</v>
      </c>
      <c r="F3391" t="s">
        <v>5</v>
      </c>
      <c r="G3391" t="s">
        <v>6</v>
      </c>
      <c r="L3391" t="s">
        <v>7</v>
      </c>
      <c r="M3391">
        <v>2023</v>
      </c>
      <c r="N3391" s="1">
        <v>44957</v>
      </c>
      <c r="O3391" t="s">
        <v>15983</v>
      </c>
      <c r="P3391">
        <v>1</v>
      </c>
      <c r="Q3391" t="s">
        <v>15984</v>
      </c>
      <c r="S3391">
        <v>209.95</v>
      </c>
      <c r="T3391">
        <v>240</v>
      </c>
      <c r="U3391">
        <v>180</v>
      </c>
      <c r="V3391" t="s">
        <v>79</v>
      </c>
      <c r="W3391" t="s">
        <v>138</v>
      </c>
      <c r="X3391" t="s">
        <v>138</v>
      </c>
      <c r="Y3391" t="s">
        <v>2824</v>
      </c>
      <c r="AF3391" t="s">
        <v>13</v>
      </c>
      <c r="AH3391" t="str">
        <f>HYPERLINK("http://www.degruyter.com/isbn/9781474498753")</f>
        <v>http://www.degruyter.com/isbn/9781474498753</v>
      </c>
      <c r="AI3391" t="s">
        <v>15797</v>
      </c>
      <c r="AJ3391" t="s">
        <v>35</v>
      </c>
      <c r="AL3391" t="s">
        <v>638</v>
      </c>
      <c r="AM3391">
        <v>1</v>
      </c>
      <c r="AN3391" s="2">
        <v>9781474498739</v>
      </c>
    </row>
    <row r="3392" spans="1:40" x14ac:dyDescent="0.3">
      <c r="A3392" t="s">
        <v>15985</v>
      </c>
      <c r="B3392" t="s">
        <v>1</v>
      </c>
      <c r="C3392" t="s">
        <v>15986</v>
      </c>
      <c r="D3392" t="s">
        <v>15987</v>
      </c>
      <c r="E3392" t="s">
        <v>15988</v>
      </c>
      <c r="F3392" t="s">
        <v>5</v>
      </c>
      <c r="G3392" t="s">
        <v>6</v>
      </c>
      <c r="L3392" t="s">
        <v>7</v>
      </c>
      <c r="M3392">
        <v>2023</v>
      </c>
      <c r="N3392" s="1">
        <v>44985</v>
      </c>
      <c r="O3392" t="s">
        <v>392</v>
      </c>
      <c r="P3392">
        <v>1</v>
      </c>
      <c r="S3392">
        <v>227.95</v>
      </c>
      <c r="T3392">
        <v>260</v>
      </c>
      <c r="U3392">
        <v>200</v>
      </c>
      <c r="V3392" t="s">
        <v>42</v>
      </c>
      <c r="W3392" t="s">
        <v>161</v>
      </c>
      <c r="X3392" t="s">
        <v>4261</v>
      </c>
      <c r="Y3392" t="s">
        <v>393</v>
      </c>
      <c r="AF3392" t="s">
        <v>13</v>
      </c>
      <c r="AH3392" t="str">
        <f>HYPERLINK("http://www.degruyter.com/isbn/9781399503273")</f>
        <v>http://www.degruyter.com/isbn/9781399503273</v>
      </c>
      <c r="AI3392" t="s">
        <v>15923</v>
      </c>
      <c r="AL3392" t="s">
        <v>638</v>
      </c>
      <c r="AM3392">
        <v>1</v>
      </c>
      <c r="AN3392" s="2">
        <v>9781399503259</v>
      </c>
    </row>
    <row r="3393" spans="1:40" x14ac:dyDescent="0.3">
      <c r="A3393" t="s">
        <v>15989</v>
      </c>
      <c r="B3393" t="s">
        <v>1</v>
      </c>
      <c r="C3393" t="s">
        <v>15990</v>
      </c>
      <c r="D3393" t="s">
        <v>15991</v>
      </c>
      <c r="E3393" t="s">
        <v>15992</v>
      </c>
      <c r="F3393" t="s">
        <v>5</v>
      </c>
      <c r="G3393" t="s">
        <v>6</v>
      </c>
      <c r="L3393" t="s">
        <v>7</v>
      </c>
      <c r="M3393">
        <v>2023</v>
      </c>
      <c r="N3393" s="1">
        <v>44957</v>
      </c>
      <c r="O3393" t="s">
        <v>15993</v>
      </c>
      <c r="P3393">
        <v>1</v>
      </c>
      <c r="Q3393" t="s">
        <v>14065</v>
      </c>
      <c r="S3393">
        <v>209.95</v>
      </c>
      <c r="T3393">
        <v>240</v>
      </c>
      <c r="U3393">
        <v>180</v>
      </c>
      <c r="V3393" t="s">
        <v>42</v>
      </c>
      <c r="W3393" t="s">
        <v>107</v>
      </c>
      <c r="X3393" t="s">
        <v>108</v>
      </c>
      <c r="Y3393" t="s">
        <v>221</v>
      </c>
      <c r="AF3393" t="s">
        <v>13</v>
      </c>
      <c r="AH3393" t="str">
        <f>HYPERLINK("http://www.degruyter.com/isbn/9781474484343")</f>
        <v>http://www.degruyter.com/isbn/9781474484343</v>
      </c>
      <c r="AI3393" t="s">
        <v>15732</v>
      </c>
      <c r="AL3393" t="s">
        <v>638</v>
      </c>
      <c r="AM3393">
        <v>1</v>
      </c>
      <c r="AN3393" s="2">
        <v>9781474484329</v>
      </c>
    </row>
    <row r="3394" spans="1:40" x14ac:dyDescent="0.3">
      <c r="A3394" t="s">
        <v>15994</v>
      </c>
      <c r="B3394" t="s">
        <v>1</v>
      </c>
      <c r="C3394" t="s">
        <v>15995</v>
      </c>
      <c r="D3394" t="s">
        <v>15996</v>
      </c>
      <c r="E3394" t="s">
        <v>15997</v>
      </c>
      <c r="F3394" t="s">
        <v>5</v>
      </c>
      <c r="G3394" t="s">
        <v>6</v>
      </c>
      <c r="L3394" t="s">
        <v>7</v>
      </c>
      <c r="M3394">
        <v>2023</v>
      </c>
      <c r="N3394" s="1">
        <v>44957</v>
      </c>
      <c r="O3394" t="s">
        <v>15998</v>
      </c>
      <c r="P3394">
        <v>1</v>
      </c>
      <c r="S3394">
        <v>217.95</v>
      </c>
      <c r="T3394">
        <v>250</v>
      </c>
      <c r="U3394">
        <v>190</v>
      </c>
      <c r="V3394" t="s">
        <v>1325</v>
      </c>
      <c r="W3394" t="s">
        <v>5954</v>
      </c>
      <c r="X3394" t="s">
        <v>5954</v>
      </c>
      <c r="Y3394" t="s">
        <v>7075</v>
      </c>
      <c r="AF3394" t="s">
        <v>13</v>
      </c>
      <c r="AH3394" t="str">
        <f>HYPERLINK("http://www.degruyter.com/isbn/9781399505291")</f>
        <v>http://www.degruyter.com/isbn/9781399505291</v>
      </c>
      <c r="AI3394" t="s">
        <v>15999</v>
      </c>
      <c r="AL3394" t="s">
        <v>638</v>
      </c>
      <c r="AM3394">
        <v>1</v>
      </c>
      <c r="AN3394" s="2">
        <v>9781399505277</v>
      </c>
    </row>
    <row r="3395" spans="1:40" x14ac:dyDescent="0.3">
      <c r="A3395" t="s">
        <v>16000</v>
      </c>
      <c r="B3395" t="s">
        <v>1</v>
      </c>
      <c r="C3395" t="s">
        <v>16001</v>
      </c>
      <c r="D3395" t="s">
        <v>16002</v>
      </c>
      <c r="E3395" t="s">
        <v>16003</v>
      </c>
      <c r="F3395" t="s">
        <v>5</v>
      </c>
      <c r="G3395" t="s">
        <v>6</v>
      </c>
      <c r="L3395" t="s">
        <v>7</v>
      </c>
      <c r="M3395">
        <v>2023</v>
      </c>
      <c r="N3395" s="1">
        <v>44957</v>
      </c>
      <c r="O3395" t="s">
        <v>16004</v>
      </c>
      <c r="P3395">
        <v>1</v>
      </c>
      <c r="S3395">
        <v>209.95</v>
      </c>
      <c r="T3395">
        <v>240</v>
      </c>
      <c r="U3395">
        <v>180</v>
      </c>
      <c r="V3395" t="s">
        <v>20</v>
      </c>
      <c r="W3395" t="s">
        <v>556</v>
      </c>
      <c r="X3395" t="s">
        <v>557</v>
      </c>
      <c r="Y3395" t="s">
        <v>558</v>
      </c>
      <c r="AF3395" t="s">
        <v>13</v>
      </c>
      <c r="AH3395" t="str">
        <f>HYPERLINK("http://www.degruyter.com/isbn/9781399506489")</f>
        <v>http://www.degruyter.com/isbn/9781399506489</v>
      </c>
      <c r="AI3395" t="s">
        <v>15812</v>
      </c>
      <c r="AL3395" t="s">
        <v>638</v>
      </c>
      <c r="AM3395">
        <v>1</v>
      </c>
      <c r="AN3395" s="2">
        <v>9781399506465</v>
      </c>
    </row>
    <row r="3396" spans="1:40" x14ac:dyDescent="0.3">
      <c r="A3396" t="s">
        <v>16005</v>
      </c>
      <c r="B3396" t="s">
        <v>1</v>
      </c>
      <c r="C3396" t="s">
        <v>16006</v>
      </c>
      <c r="D3396" t="s">
        <v>16007</v>
      </c>
      <c r="E3396" t="s">
        <v>16008</v>
      </c>
      <c r="F3396" t="s">
        <v>5</v>
      </c>
      <c r="G3396" t="s">
        <v>6</v>
      </c>
      <c r="L3396" t="s">
        <v>7</v>
      </c>
      <c r="M3396">
        <v>2023</v>
      </c>
      <c r="N3396" s="1">
        <v>44957</v>
      </c>
      <c r="O3396" t="s">
        <v>16009</v>
      </c>
      <c r="P3396">
        <v>1</v>
      </c>
      <c r="Q3396" t="s">
        <v>15661</v>
      </c>
      <c r="S3396">
        <v>217.95</v>
      </c>
      <c r="T3396">
        <v>250</v>
      </c>
      <c r="U3396">
        <v>190</v>
      </c>
      <c r="V3396" t="s">
        <v>42</v>
      </c>
      <c r="W3396" t="s">
        <v>107</v>
      </c>
      <c r="X3396" t="s">
        <v>108</v>
      </c>
      <c r="Y3396" t="s">
        <v>109</v>
      </c>
      <c r="AF3396" t="s">
        <v>13</v>
      </c>
      <c r="AH3396" t="str">
        <f>HYPERLINK("http://www.degruyter.com/isbn/9781474497169")</f>
        <v>http://www.degruyter.com/isbn/9781474497169</v>
      </c>
      <c r="AI3396" t="s">
        <v>15732</v>
      </c>
      <c r="AL3396" t="s">
        <v>638</v>
      </c>
      <c r="AM3396">
        <v>1</v>
      </c>
      <c r="AN3396" s="2">
        <v>9781474497145</v>
      </c>
    </row>
    <row r="3397" spans="1:40" x14ac:dyDescent="0.3">
      <c r="A3397" t="s">
        <v>16010</v>
      </c>
      <c r="B3397" t="s">
        <v>1</v>
      </c>
      <c r="C3397" t="s">
        <v>16011</v>
      </c>
      <c r="D3397" t="s">
        <v>16012</v>
      </c>
      <c r="E3397" t="s">
        <v>16013</v>
      </c>
      <c r="F3397" t="s">
        <v>5</v>
      </c>
      <c r="G3397" t="s">
        <v>6</v>
      </c>
      <c r="L3397" t="s">
        <v>7</v>
      </c>
      <c r="M3397">
        <v>2023</v>
      </c>
      <c r="N3397" s="1">
        <v>44926</v>
      </c>
      <c r="O3397" t="s">
        <v>5053</v>
      </c>
      <c r="P3397">
        <v>1</v>
      </c>
      <c r="Q3397" t="s">
        <v>7086</v>
      </c>
      <c r="S3397">
        <v>227.95</v>
      </c>
      <c r="T3397">
        <v>260</v>
      </c>
      <c r="U3397">
        <v>200</v>
      </c>
      <c r="V3397" t="s">
        <v>20</v>
      </c>
      <c r="W3397" t="s">
        <v>470</v>
      </c>
      <c r="X3397" t="s">
        <v>1269</v>
      </c>
      <c r="Y3397" t="s">
        <v>1270</v>
      </c>
      <c r="AF3397" t="s">
        <v>13</v>
      </c>
      <c r="AH3397" t="str">
        <f>HYPERLINK("http://www.degruyter.com/isbn/9781399502597")</f>
        <v>http://www.degruyter.com/isbn/9781399502597</v>
      </c>
      <c r="AI3397" t="s">
        <v>15806</v>
      </c>
      <c r="AL3397" t="s">
        <v>638</v>
      </c>
      <c r="AM3397">
        <v>1</v>
      </c>
      <c r="AN3397" s="2">
        <v>9781399502573</v>
      </c>
    </row>
    <row r="3398" spans="1:40" x14ac:dyDescent="0.3">
      <c r="A3398" t="s">
        <v>16014</v>
      </c>
      <c r="B3398" t="s">
        <v>1</v>
      </c>
      <c r="C3398" t="s">
        <v>16015</v>
      </c>
      <c r="E3398" t="s">
        <v>16016</v>
      </c>
      <c r="F3398" t="s">
        <v>5</v>
      </c>
      <c r="G3398" t="s">
        <v>6</v>
      </c>
      <c r="L3398" t="s">
        <v>7</v>
      </c>
      <c r="M3398">
        <v>2023</v>
      </c>
      <c r="N3398" s="1">
        <v>44903</v>
      </c>
      <c r="O3398" t="s">
        <v>16017</v>
      </c>
      <c r="P3398">
        <v>1</v>
      </c>
      <c r="Q3398" t="s">
        <v>6418</v>
      </c>
      <c r="S3398">
        <v>209.95</v>
      </c>
      <c r="T3398">
        <v>240</v>
      </c>
      <c r="U3398">
        <v>180</v>
      </c>
      <c r="V3398" t="s">
        <v>79</v>
      </c>
      <c r="W3398" t="s">
        <v>123</v>
      </c>
      <c r="X3398" t="s">
        <v>123</v>
      </c>
      <c r="Y3398" t="s">
        <v>124</v>
      </c>
      <c r="AF3398" t="s">
        <v>13</v>
      </c>
      <c r="AH3398" t="str">
        <f>HYPERLINK("http://www.degruyter.com/isbn/9781399509886")</f>
        <v>http://www.degruyter.com/isbn/9781399509886</v>
      </c>
      <c r="AI3398" t="s">
        <v>16018</v>
      </c>
      <c r="AL3398" t="s">
        <v>638</v>
      </c>
      <c r="AM3398">
        <v>1</v>
      </c>
      <c r="AN3398" s="2">
        <v>9781399509862</v>
      </c>
    </row>
    <row r="3399" spans="1:40" x14ac:dyDescent="0.3">
      <c r="A3399" t="s">
        <v>16019</v>
      </c>
      <c r="B3399" t="s">
        <v>1</v>
      </c>
      <c r="C3399" t="s">
        <v>16020</v>
      </c>
      <c r="D3399" t="s">
        <v>16021</v>
      </c>
      <c r="E3399" t="s">
        <v>16022</v>
      </c>
      <c r="F3399" t="s">
        <v>5</v>
      </c>
      <c r="G3399" t="s">
        <v>6</v>
      </c>
      <c r="L3399" t="s">
        <v>7</v>
      </c>
      <c r="M3399">
        <v>2023</v>
      </c>
      <c r="N3399" s="1">
        <v>44957</v>
      </c>
      <c r="O3399" t="s">
        <v>16023</v>
      </c>
      <c r="P3399">
        <v>1</v>
      </c>
      <c r="S3399">
        <v>209.95</v>
      </c>
      <c r="T3399">
        <v>240</v>
      </c>
      <c r="U3399">
        <v>180</v>
      </c>
      <c r="V3399" t="s">
        <v>58</v>
      </c>
      <c r="W3399" t="s">
        <v>59</v>
      </c>
      <c r="X3399" t="s">
        <v>60</v>
      </c>
      <c r="Y3399" t="s">
        <v>5149</v>
      </c>
      <c r="AF3399" t="s">
        <v>13</v>
      </c>
      <c r="AH3399" t="str">
        <f>HYPERLINK("http://www.degruyter.com/isbn/9781399506168")</f>
        <v>http://www.degruyter.com/isbn/9781399506168</v>
      </c>
      <c r="AI3399" t="s">
        <v>15918</v>
      </c>
      <c r="AL3399" t="s">
        <v>638</v>
      </c>
      <c r="AM3399">
        <v>1</v>
      </c>
      <c r="AN3399" s="2">
        <v>9781399506144</v>
      </c>
    </row>
    <row r="3400" spans="1:40" x14ac:dyDescent="0.3">
      <c r="A3400" t="s">
        <v>16024</v>
      </c>
      <c r="B3400" t="s">
        <v>1</v>
      </c>
      <c r="C3400" t="s">
        <v>16025</v>
      </c>
      <c r="D3400" t="s">
        <v>16026</v>
      </c>
      <c r="E3400" t="s">
        <v>16027</v>
      </c>
      <c r="F3400" t="s">
        <v>5</v>
      </c>
      <c r="G3400" t="s">
        <v>6</v>
      </c>
      <c r="L3400" t="s">
        <v>7</v>
      </c>
      <c r="M3400">
        <v>2023</v>
      </c>
      <c r="N3400" s="1">
        <v>44985</v>
      </c>
      <c r="O3400" t="s">
        <v>16028</v>
      </c>
      <c r="P3400">
        <v>1</v>
      </c>
      <c r="S3400">
        <v>209.95</v>
      </c>
      <c r="T3400">
        <v>240</v>
      </c>
      <c r="U3400">
        <v>180</v>
      </c>
      <c r="V3400" t="s">
        <v>58</v>
      </c>
      <c r="W3400" t="s">
        <v>59</v>
      </c>
      <c r="X3400" t="s">
        <v>60</v>
      </c>
      <c r="Y3400" t="s">
        <v>5536</v>
      </c>
      <c r="AF3400" t="s">
        <v>13</v>
      </c>
      <c r="AH3400" t="str">
        <f>HYPERLINK("http://www.degruyter.com/isbn/9781399515832")</f>
        <v>http://www.degruyter.com/isbn/9781399515832</v>
      </c>
      <c r="AI3400" t="s">
        <v>15918</v>
      </c>
      <c r="AL3400" t="s">
        <v>638</v>
      </c>
      <c r="AM3400">
        <v>1</v>
      </c>
      <c r="AN3400" s="2">
        <v>9781399515818</v>
      </c>
    </row>
    <row r="3401" spans="1:40" x14ac:dyDescent="0.3">
      <c r="A3401" t="s">
        <v>16029</v>
      </c>
      <c r="B3401" t="s">
        <v>1</v>
      </c>
      <c r="C3401" t="s">
        <v>16030</v>
      </c>
      <c r="E3401" t="s">
        <v>16031</v>
      </c>
      <c r="F3401" t="s">
        <v>5</v>
      </c>
      <c r="G3401" t="s">
        <v>6</v>
      </c>
      <c r="K3401" t="s">
        <v>15837</v>
      </c>
      <c r="L3401" t="s">
        <v>7</v>
      </c>
      <c r="M3401">
        <v>2023</v>
      </c>
      <c r="N3401" s="1">
        <v>44965</v>
      </c>
      <c r="O3401" t="s">
        <v>1970</v>
      </c>
      <c r="P3401">
        <v>1</v>
      </c>
      <c r="V3401" t="s">
        <v>268</v>
      </c>
      <c r="W3401" t="s">
        <v>4786</v>
      </c>
      <c r="X3401" t="s">
        <v>4787</v>
      </c>
      <c r="Y3401" t="s">
        <v>4788</v>
      </c>
      <c r="AF3401" t="s">
        <v>13</v>
      </c>
      <c r="AH3401" t="str">
        <f>HYPERLINK("http://www.degruyter.com/isbn/9781474490108")</f>
        <v>http://www.degruyter.com/isbn/9781474490108</v>
      </c>
      <c r="AI3401" t="s">
        <v>16032</v>
      </c>
      <c r="AL3401" t="s">
        <v>638</v>
      </c>
      <c r="AM3401">
        <v>1</v>
      </c>
      <c r="AN3401" s="2"/>
    </row>
    <row r="3402" spans="1:40" x14ac:dyDescent="0.3">
      <c r="A3402" t="s">
        <v>16033</v>
      </c>
      <c r="B3402" t="s">
        <v>1</v>
      </c>
      <c r="C3402" t="s">
        <v>16034</v>
      </c>
      <c r="D3402" t="s">
        <v>16035</v>
      </c>
      <c r="E3402" t="s">
        <v>16036</v>
      </c>
      <c r="F3402" t="s">
        <v>5</v>
      </c>
      <c r="G3402" t="s">
        <v>6</v>
      </c>
      <c r="L3402" t="s">
        <v>7</v>
      </c>
      <c r="M3402">
        <v>2023</v>
      </c>
      <c r="N3402" s="1">
        <v>44957</v>
      </c>
      <c r="O3402" t="s">
        <v>16037</v>
      </c>
      <c r="P3402">
        <v>1</v>
      </c>
      <c r="S3402">
        <v>209.95</v>
      </c>
      <c r="T3402">
        <v>240</v>
      </c>
      <c r="U3402">
        <v>180</v>
      </c>
      <c r="V3402" t="s">
        <v>9</v>
      </c>
      <c r="W3402" t="s">
        <v>10</v>
      </c>
      <c r="X3402" t="s">
        <v>11</v>
      </c>
      <c r="Y3402" t="s">
        <v>52</v>
      </c>
      <c r="AF3402" t="s">
        <v>13</v>
      </c>
      <c r="AH3402" t="str">
        <f>HYPERLINK("http://www.degruyter.com/isbn/9781474486996")</f>
        <v>http://www.degruyter.com/isbn/9781474486996</v>
      </c>
      <c r="AI3402" t="s">
        <v>15325</v>
      </c>
      <c r="AL3402" t="s">
        <v>638</v>
      </c>
      <c r="AM3402">
        <v>1</v>
      </c>
      <c r="AN3402" s="2">
        <v>9781474486972</v>
      </c>
    </row>
    <row r="3403" spans="1:40" x14ac:dyDescent="0.3">
      <c r="A3403" t="s">
        <v>16038</v>
      </c>
      <c r="B3403" t="s">
        <v>1</v>
      </c>
      <c r="C3403" t="s">
        <v>16039</v>
      </c>
      <c r="D3403" t="s">
        <v>16040</v>
      </c>
      <c r="E3403" t="s">
        <v>16041</v>
      </c>
      <c r="F3403" t="s">
        <v>5</v>
      </c>
      <c r="G3403" t="s">
        <v>6</v>
      </c>
      <c r="L3403" t="s">
        <v>7</v>
      </c>
      <c r="M3403">
        <v>2023</v>
      </c>
      <c r="N3403" s="1">
        <v>44926</v>
      </c>
      <c r="O3403" t="s">
        <v>16042</v>
      </c>
      <c r="P3403">
        <v>1</v>
      </c>
      <c r="S3403">
        <v>217.95</v>
      </c>
      <c r="T3403">
        <v>250</v>
      </c>
      <c r="U3403">
        <v>190</v>
      </c>
      <c r="V3403" t="s">
        <v>20</v>
      </c>
      <c r="W3403" t="s">
        <v>1018</v>
      </c>
      <c r="X3403" t="s">
        <v>1018</v>
      </c>
      <c r="Y3403" t="s">
        <v>2215</v>
      </c>
      <c r="AF3403" t="s">
        <v>13</v>
      </c>
      <c r="AH3403" t="str">
        <f>HYPERLINK("http://www.degruyter.com/isbn/9781474485845")</f>
        <v>http://www.degruyter.com/isbn/9781474485845</v>
      </c>
      <c r="AI3403" t="s">
        <v>15806</v>
      </c>
      <c r="AL3403" t="s">
        <v>638</v>
      </c>
      <c r="AM3403">
        <v>1</v>
      </c>
      <c r="AN3403" s="2">
        <v>9781474485821</v>
      </c>
    </row>
    <row r="3404" spans="1:40" x14ac:dyDescent="0.3">
      <c r="A3404" t="s">
        <v>16043</v>
      </c>
      <c r="B3404" t="s">
        <v>1</v>
      </c>
      <c r="C3404" t="s">
        <v>16044</v>
      </c>
      <c r="D3404" t="s">
        <v>16045</v>
      </c>
      <c r="E3404" t="s">
        <v>16046</v>
      </c>
      <c r="F3404" t="s">
        <v>5</v>
      </c>
      <c r="G3404" t="s">
        <v>6</v>
      </c>
      <c r="L3404" t="s">
        <v>7</v>
      </c>
      <c r="M3404">
        <v>2023</v>
      </c>
      <c r="N3404" s="1">
        <v>44926</v>
      </c>
      <c r="O3404" t="s">
        <v>16047</v>
      </c>
      <c r="P3404">
        <v>1</v>
      </c>
      <c r="Q3404" t="s">
        <v>7086</v>
      </c>
      <c r="S3404">
        <v>217.95</v>
      </c>
      <c r="T3404">
        <v>250</v>
      </c>
      <c r="U3404">
        <v>190</v>
      </c>
      <c r="V3404" t="s">
        <v>20</v>
      </c>
      <c r="W3404" t="s">
        <v>470</v>
      </c>
      <c r="X3404" t="s">
        <v>1269</v>
      </c>
      <c r="Y3404" t="s">
        <v>1270</v>
      </c>
      <c r="AF3404" t="s">
        <v>13</v>
      </c>
      <c r="AH3404" t="str">
        <f>HYPERLINK("http://www.degruyter.com/isbn/9781399508636")</f>
        <v>http://www.degruyter.com/isbn/9781399508636</v>
      </c>
      <c r="AI3404" t="s">
        <v>15806</v>
      </c>
      <c r="AL3404" t="s">
        <v>638</v>
      </c>
      <c r="AM3404">
        <v>1</v>
      </c>
      <c r="AN3404" s="2">
        <v>9781399508612</v>
      </c>
    </row>
    <row r="3405" spans="1:40" x14ac:dyDescent="0.3">
      <c r="A3405" t="s">
        <v>16048</v>
      </c>
      <c r="B3405" t="s">
        <v>1</v>
      </c>
      <c r="C3405" t="s">
        <v>16049</v>
      </c>
      <c r="E3405" t="s">
        <v>16050</v>
      </c>
      <c r="F3405" t="s">
        <v>5</v>
      </c>
      <c r="G3405" t="s">
        <v>6</v>
      </c>
      <c r="L3405" t="s">
        <v>7</v>
      </c>
      <c r="M3405">
        <v>2023</v>
      </c>
      <c r="N3405" s="1">
        <v>44985</v>
      </c>
      <c r="O3405" t="s">
        <v>16051</v>
      </c>
      <c r="P3405">
        <v>1</v>
      </c>
      <c r="Q3405" t="s">
        <v>6216</v>
      </c>
      <c r="S3405">
        <v>227.95</v>
      </c>
      <c r="T3405">
        <v>260</v>
      </c>
      <c r="U3405">
        <v>200</v>
      </c>
      <c r="V3405" t="s">
        <v>847</v>
      </c>
      <c r="W3405" t="s">
        <v>5219</v>
      </c>
      <c r="X3405" t="s">
        <v>6217</v>
      </c>
      <c r="Y3405" t="s">
        <v>6218</v>
      </c>
      <c r="AF3405" t="s">
        <v>13</v>
      </c>
      <c r="AH3405" t="str">
        <f>HYPERLINK("http://www.degruyter.com/isbn/9781474476188")</f>
        <v>http://www.degruyter.com/isbn/9781474476188</v>
      </c>
      <c r="AI3405" t="s">
        <v>16052</v>
      </c>
      <c r="AL3405" t="s">
        <v>638</v>
      </c>
      <c r="AM3405">
        <v>1</v>
      </c>
      <c r="AN3405" s="2">
        <v>9781474476164</v>
      </c>
    </row>
    <row r="3406" spans="1:40" x14ac:dyDescent="0.3">
      <c r="A3406" t="s">
        <v>16053</v>
      </c>
      <c r="B3406" t="s">
        <v>1</v>
      </c>
      <c r="C3406" t="s">
        <v>16054</v>
      </c>
      <c r="E3406" t="s">
        <v>16055</v>
      </c>
      <c r="F3406" t="s">
        <v>5</v>
      </c>
      <c r="G3406" t="s">
        <v>6</v>
      </c>
      <c r="L3406" t="s">
        <v>7</v>
      </c>
      <c r="M3406">
        <v>2023</v>
      </c>
      <c r="N3406" s="1">
        <v>44926</v>
      </c>
      <c r="O3406" t="s">
        <v>16056</v>
      </c>
      <c r="P3406">
        <v>1</v>
      </c>
      <c r="Q3406" t="s">
        <v>6987</v>
      </c>
      <c r="S3406">
        <v>217.95</v>
      </c>
      <c r="T3406">
        <v>250</v>
      </c>
      <c r="U3406">
        <v>190</v>
      </c>
      <c r="V3406" t="s">
        <v>9</v>
      </c>
      <c r="W3406" t="s">
        <v>10</v>
      </c>
      <c r="X3406" t="s">
        <v>11</v>
      </c>
      <c r="Y3406" t="s">
        <v>52</v>
      </c>
      <c r="AF3406" t="s">
        <v>13</v>
      </c>
      <c r="AH3406" t="str">
        <f>HYPERLINK("http://www.degruyter.com/isbn/9781474493727")</f>
        <v>http://www.degruyter.com/isbn/9781474493727</v>
      </c>
      <c r="AI3406" t="s">
        <v>15806</v>
      </c>
      <c r="AL3406" t="s">
        <v>638</v>
      </c>
      <c r="AM3406">
        <v>1</v>
      </c>
      <c r="AN3406" s="2">
        <v>9781474493703</v>
      </c>
    </row>
    <row r="3407" spans="1:40" x14ac:dyDescent="0.3">
      <c r="A3407" t="s">
        <v>16057</v>
      </c>
      <c r="B3407" t="s">
        <v>1</v>
      </c>
      <c r="C3407" t="s">
        <v>16058</v>
      </c>
      <c r="D3407" t="s">
        <v>16059</v>
      </c>
      <c r="E3407" t="s">
        <v>16060</v>
      </c>
      <c r="F3407" t="s">
        <v>5</v>
      </c>
      <c r="G3407" t="s">
        <v>6</v>
      </c>
      <c r="L3407" t="s">
        <v>7</v>
      </c>
      <c r="M3407">
        <v>2023</v>
      </c>
      <c r="N3407" s="1">
        <v>45033</v>
      </c>
      <c r="O3407" t="s">
        <v>16061</v>
      </c>
      <c r="P3407">
        <v>1</v>
      </c>
      <c r="S3407">
        <v>209.95</v>
      </c>
      <c r="T3407">
        <v>240</v>
      </c>
      <c r="U3407">
        <v>180</v>
      </c>
      <c r="V3407" t="s">
        <v>58</v>
      </c>
      <c r="W3407" t="s">
        <v>1135</v>
      </c>
      <c r="X3407" t="s">
        <v>16062</v>
      </c>
      <c r="Y3407" t="s">
        <v>16063</v>
      </c>
      <c r="AF3407" t="s">
        <v>13</v>
      </c>
      <c r="AH3407" t="str">
        <f>HYPERLINK("http://www.degruyter.com/isbn/9781399510875")</f>
        <v>http://www.degruyter.com/isbn/9781399510875</v>
      </c>
      <c r="AI3407" t="s">
        <v>15819</v>
      </c>
      <c r="AL3407" t="s">
        <v>638</v>
      </c>
      <c r="AM3407">
        <v>1</v>
      </c>
      <c r="AN3407" s="2">
        <v>9781399510851</v>
      </c>
    </row>
    <row r="3408" spans="1:40" x14ac:dyDescent="0.3">
      <c r="A3408" t="s">
        <v>16064</v>
      </c>
      <c r="B3408" t="s">
        <v>1</v>
      </c>
      <c r="C3408" t="s">
        <v>16065</v>
      </c>
      <c r="E3408" t="s">
        <v>16066</v>
      </c>
      <c r="F3408" t="s">
        <v>5</v>
      </c>
      <c r="G3408" t="s">
        <v>6</v>
      </c>
      <c r="L3408" t="s">
        <v>7</v>
      </c>
      <c r="M3408">
        <v>2023</v>
      </c>
      <c r="N3408" s="1">
        <v>45009</v>
      </c>
      <c r="O3408" t="s">
        <v>16067</v>
      </c>
      <c r="P3408">
        <v>1</v>
      </c>
      <c r="Q3408" t="s">
        <v>14000</v>
      </c>
      <c r="S3408">
        <v>295.95</v>
      </c>
      <c r="T3408">
        <v>340</v>
      </c>
      <c r="U3408">
        <v>260</v>
      </c>
      <c r="V3408" t="s">
        <v>42</v>
      </c>
      <c r="W3408" t="s">
        <v>107</v>
      </c>
      <c r="X3408" t="s">
        <v>108</v>
      </c>
      <c r="Y3408" t="s">
        <v>952</v>
      </c>
      <c r="AF3408" t="s">
        <v>13</v>
      </c>
      <c r="AH3408" t="str">
        <f>HYPERLINK("http://www.degruyter.com/isbn/9781474477536")</f>
        <v>http://www.degruyter.com/isbn/9781474477536</v>
      </c>
      <c r="AI3408" t="s">
        <v>15732</v>
      </c>
      <c r="AL3408" t="s">
        <v>638</v>
      </c>
      <c r="AM3408">
        <v>1</v>
      </c>
      <c r="AN3408" s="2">
        <v>9781474477529</v>
      </c>
    </row>
    <row r="3409" spans="1:40" x14ac:dyDescent="0.3">
      <c r="A3409" t="s">
        <v>16068</v>
      </c>
      <c r="B3409" t="s">
        <v>1</v>
      </c>
      <c r="C3409" t="s">
        <v>16069</v>
      </c>
      <c r="E3409" t="s">
        <v>16070</v>
      </c>
      <c r="F3409" t="s">
        <v>5</v>
      </c>
      <c r="G3409" t="s">
        <v>6</v>
      </c>
      <c r="L3409" t="s">
        <v>7</v>
      </c>
      <c r="M3409">
        <v>2023</v>
      </c>
      <c r="N3409" s="1">
        <v>45033</v>
      </c>
      <c r="O3409" t="s">
        <v>16071</v>
      </c>
      <c r="P3409">
        <v>1</v>
      </c>
      <c r="Q3409" t="s">
        <v>6987</v>
      </c>
      <c r="S3409">
        <v>217.95</v>
      </c>
      <c r="T3409">
        <v>250</v>
      </c>
      <c r="U3409">
        <v>190</v>
      </c>
      <c r="V3409" t="s">
        <v>9</v>
      </c>
      <c r="W3409" t="s">
        <v>10</v>
      </c>
      <c r="X3409" t="s">
        <v>11</v>
      </c>
      <c r="Y3409" t="s">
        <v>12</v>
      </c>
      <c r="AF3409" t="s">
        <v>13</v>
      </c>
      <c r="AH3409" t="str">
        <f>HYPERLINK("http://www.degruyter.com/isbn/9781399512961")</f>
        <v>http://www.degruyter.com/isbn/9781399512961</v>
      </c>
      <c r="AI3409" t="s">
        <v>15325</v>
      </c>
      <c r="AL3409" t="s">
        <v>638</v>
      </c>
      <c r="AM3409">
        <v>1</v>
      </c>
      <c r="AN3409" s="2">
        <v>9781399512947</v>
      </c>
    </row>
    <row r="3410" spans="1:40" x14ac:dyDescent="0.3">
      <c r="A3410" t="s">
        <v>16072</v>
      </c>
      <c r="B3410" t="s">
        <v>1</v>
      </c>
      <c r="C3410" t="s">
        <v>16073</v>
      </c>
      <c r="E3410" t="s">
        <v>16074</v>
      </c>
      <c r="F3410" t="s">
        <v>5</v>
      </c>
      <c r="G3410" t="s">
        <v>6</v>
      </c>
      <c r="L3410" t="s">
        <v>7</v>
      </c>
      <c r="M3410">
        <v>2023</v>
      </c>
      <c r="N3410" s="1">
        <v>45064</v>
      </c>
      <c r="O3410" t="s">
        <v>16075</v>
      </c>
      <c r="P3410">
        <v>1</v>
      </c>
      <c r="Q3410" t="s">
        <v>6987</v>
      </c>
      <c r="S3410">
        <v>209.95</v>
      </c>
      <c r="T3410">
        <v>240</v>
      </c>
      <c r="U3410">
        <v>180</v>
      </c>
      <c r="V3410" t="s">
        <v>9</v>
      </c>
      <c r="W3410" t="s">
        <v>10</v>
      </c>
      <c r="X3410" t="s">
        <v>11</v>
      </c>
      <c r="Y3410" t="s">
        <v>52</v>
      </c>
      <c r="AF3410" t="s">
        <v>13</v>
      </c>
      <c r="AH3410" t="str">
        <f>HYPERLINK("http://www.degruyter.com/isbn/9781399500296")</f>
        <v>http://www.degruyter.com/isbn/9781399500296</v>
      </c>
      <c r="AI3410" t="s">
        <v>15325</v>
      </c>
      <c r="AL3410" t="s">
        <v>638</v>
      </c>
      <c r="AM3410">
        <v>1</v>
      </c>
      <c r="AN3410" s="2">
        <v>9781399500265</v>
      </c>
    </row>
    <row r="3411" spans="1:40" x14ac:dyDescent="0.3">
      <c r="A3411" t="s">
        <v>16076</v>
      </c>
      <c r="B3411" t="s">
        <v>1</v>
      </c>
      <c r="C3411" t="s">
        <v>16077</v>
      </c>
      <c r="E3411" t="s">
        <v>16078</v>
      </c>
      <c r="F3411" t="s">
        <v>5</v>
      </c>
      <c r="G3411" t="s">
        <v>6</v>
      </c>
      <c r="L3411" t="s">
        <v>7</v>
      </c>
      <c r="M3411">
        <v>2023</v>
      </c>
      <c r="N3411" s="1">
        <v>45002</v>
      </c>
      <c r="O3411" t="s">
        <v>16079</v>
      </c>
      <c r="P3411">
        <v>1</v>
      </c>
      <c r="Q3411" t="s">
        <v>6876</v>
      </c>
      <c r="S3411">
        <v>209.95</v>
      </c>
      <c r="T3411">
        <v>240</v>
      </c>
      <c r="U3411">
        <v>180</v>
      </c>
      <c r="V3411" t="s">
        <v>42</v>
      </c>
      <c r="W3411" t="s">
        <v>161</v>
      </c>
      <c r="X3411" t="s">
        <v>4261</v>
      </c>
      <c r="Y3411" t="s">
        <v>393</v>
      </c>
      <c r="AF3411" t="s">
        <v>13</v>
      </c>
      <c r="AH3411" t="str">
        <f>HYPERLINK("http://www.degruyter.com/isbn/9781474489713")</f>
        <v>http://www.degruyter.com/isbn/9781474489713</v>
      </c>
      <c r="AI3411" t="s">
        <v>15923</v>
      </c>
      <c r="AL3411" t="s">
        <v>638</v>
      </c>
      <c r="AM3411">
        <v>1</v>
      </c>
      <c r="AN3411" s="2">
        <v>9781474489683</v>
      </c>
    </row>
    <row r="3412" spans="1:40" x14ac:dyDescent="0.3">
      <c r="A3412" t="s">
        <v>16080</v>
      </c>
      <c r="B3412" t="s">
        <v>1</v>
      </c>
      <c r="C3412" t="s">
        <v>16081</v>
      </c>
      <c r="E3412" t="s">
        <v>16082</v>
      </c>
      <c r="F3412" t="s">
        <v>5</v>
      </c>
      <c r="G3412" t="s">
        <v>6</v>
      </c>
      <c r="L3412" t="s">
        <v>7</v>
      </c>
      <c r="M3412">
        <v>2023</v>
      </c>
      <c r="N3412" s="1">
        <v>45064</v>
      </c>
      <c r="O3412" t="s">
        <v>16083</v>
      </c>
      <c r="P3412">
        <v>1</v>
      </c>
      <c r="S3412">
        <v>295.95</v>
      </c>
      <c r="T3412">
        <v>340</v>
      </c>
      <c r="U3412">
        <v>260</v>
      </c>
      <c r="V3412" t="s">
        <v>42</v>
      </c>
      <c r="W3412" t="s">
        <v>740</v>
      </c>
      <c r="X3412" t="s">
        <v>3249</v>
      </c>
      <c r="Y3412" t="s">
        <v>117</v>
      </c>
      <c r="AF3412" t="s">
        <v>13</v>
      </c>
      <c r="AH3412" t="str">
        <f>HYPERLINK("http://www.degruyter.com/isbn/9781399512237")</f>
        <v>http://www.degruyter.com/isbn/9781399512237</v>
      </c>
      <c r="AI3412" t="s">
        <v>15732</v>
      </c>
      <c r="AL3412" t="s">
        <v>638</v>
      </c>
      <c r="AM3412">
        <v>1</v>
      </c>
      <c r="AN3412" s="2">
        <v>9781399512213</v>
      </c>
    </row>
    <row r="3413" spans="1:40" x14ac:dyDescent="0.3">
      <c r="A3413" t="s">
        <v>16084</v>
      </c>
      <c r="B3413" t="s">
        <v>1</v>
      </c>
      <c r="C3413" t="s">
        <v>16085</v>
      </c>
      <c r="E3413" t="s">
        <v>16086</v>
      </c>
      <c r="F3413" t="s">
        <v>5</v>
      </c>
      <c r="G3413" t="s">
        <v>6</v>
      </c>
      <c r="L3413" t="s">
        <v>7</v>
      </c>
      <c r="M3413">
        <v>2023</v>
      </c>
      <c r="N3413" s="1">
        <v>45041</v>
      </c>
      <c r="O3413" t="s">
        <v>16087</v>
      </c>
      <c r="P3413">
        <v>1</v>
      </c>
      <c r="Q3413" t="s">
        <v>13749</v>
      </c>
      <c r="S3413">
        <v>209.95</v>
      </c>
      <c r="T3413">
        <v>240</v>
      </c>
      <c r="U3413">
        <v>180</v>
      </c>
      <c r="V3413" t="s">
        <v>42</v>
      </c>
      <c r="W3413" t="s">
        <v>107</v>
      </c>
      <c r="X3413" t="s">
        <v>108</v>
      </c>
      <c r="Y3413" t="s">
        <v>221</v>
      </c>
      <c r="AF3413" t="s">
        <v>13</v>
      </c>
      <c r="AH3413" t="str">
        <f>HYPERLINK("http://www.degruyter.com/isbn/9781399505734")</f>
        <v>http://www.degruyter.com/isbn/9781399505734</v>
      </c>
      <c r="AI3413" t="s">
        <v>15732</v>
      </c>
      <c r="AL3413" t="s">
        <v>638</v>
      </c>
      <c r="AM3413">
        <v>1</v>
      </c>
      <c r="AN3413" s="2">
        <v>9781399505710</v>
      </c>
    </row>
    <row r="3414" spans="1:40" x14ac:dyDescent="0.3">
      <c r="A3414" t="s">
        <v>16088</v>
      </c>
      <c r="B3414" t="s">
        <v>1</v>
      </c>
      <c r="C3414" t="s">
        <v>16089</v>
      </c>
      <c r="E3414" t="s">
        <v>16090</v>
      </c>
      <c r="F3414" t="s">
        <v>5</v>
      </c>
      <c r="G3414" t="s">
        <v>6</v>
      </c>
      <c r="L3414" t="s">
        <v>7</v>
      </c>
      <c r="M3414">
        <v>2023</v>
      </c>
      <c r="N3414" s="1">
        <v>45002</v>
      </c>
      <c r="O3414" t="s">
        <v>16091</v>
      </c>
      <c r="P3414">
        <v>1</v>
      </c>
      <c r="Q3414" t="s">
        <v>7655</v>
      </c>
      <c r="S3414">
        <v>227.95</v>
      </c>
      <c r="T3414">
        <v>260</v>
      </c>
      <c r="U3414">
        <v>200</v>
      </c>
      <c r="V3414" t="s">
        <v>9</v>
      </c>
      <c r="W3414" t="s">
        <v>10</v>
      </c>
      <c r="X3414" t="s">
        <v>11</v>
      </c>
      <c r="Y3414" t="s">
        <v>52</v>
      </c>
      <c r="AF3414" t="s">
        <v>13</v>
      </c>
      <c r="AH3414" t="str">
        <f>HYPERLINK("http://www.degruyter.com/isbn/9781399510486")</f>
        <v>http://www.degruyter.com/isbn/9781399510486</v>
      </c>
      <c r="AI3414" t="s">
        <v>15325</v>
      </c>
      <c r="AL3414" t="s">
        <v>638</v>
      </c>
      <c r="AM3414">
        <v>1</v>
      </c>
      <c r="AN3414" s="2">
        <v>9781399510462</v>
      </c>
    </row>
    <row r="3415" spans="1:40" x14ac:dyDescent="0.3">
      <c r="A3415" t="s">
        <v>16092</v>
      </c>
      <c r="B3415" t="s">
        <v>1</v>
      </c>
      <c r="C3415" t="s">
        <v>16093</v>
      </c>
      <c r="D3415" t="s">
        <v>16094</v>
      </c>
      <c r="E3415" t="s">
        <v>16095</v>
      </c>
      <c r="F3415" t="s">
        <v>5</v>
      </c>
      <c r="G3415" t="s">
        <v>6</v>
      </c>
      <c r="L3415" t="s">
        <v>7</v>
      </c>
      <c r="M3415">
        <v>2023</v>
      </c>
      <c r="N3415" s="1">
        <v>45064</v>
      </c>
      <c r="O3415" t="s">
        <v>16096</v>
      </c>
      <c r="P3415">
        <v>1</v>
      </c>
      <c r="S3415">
        <v>227.95</v>
      </c>
      <c r="T3415">
        <v>260</v>
      </c>
      <c r="U3415">
        <v>200</v>
      </c>
      <c r="V3415" t="s">
        <v>42</v>
      </c>
      <c r="W3415" t="s">
        <v>107</v>
      </c>
      <c r="X3415" t="s">
        <v>108</v>
      </c>
      <c r="Y3415" t="s">
        <v>109</v>
      </c>
      <c r="AF3415" t="s">
        <v>13</v>
      </c>
      <c r="AH3415" t="str">
        <f>HYPERLINK("http://www.degruyter.com/isbn/9781474485166")</f>
        <v>http://www.degruyter.com/isbn/9781474485166</v>
      </c>
      <c r="AI3415" t="s">
        <v>15732</v>
      </c>
      <c r="AL3415" t="s">
        <v>638</v>
      </c>
      <c r="AM3415">
        <v>1</v>
      </c>
      <c r="AN3415" s="2">
        <v>9781474485142</v>
      </c>
    </row>
    <row r="3416" spans="1:40" x14ac:dyDescent="0.3">
      <c r="A3416" t="s">
        <v>16097</v>
      </c>
      <c r="B3416" t="s">
        <v>1</v>
      </c>
      <c r="C3416" t="s">
        <v>16098</v>
      </c>
      <c r="D3416" t="s">
        <v>5690</v>
      </c>
      <c r="E3416" t="s">
        <v>16099</v>
      </c>
      <c r="F3416" t="s">
        <v>5</v>
      </c>
      <c r="G3416" t="s">
        <v>6</v>
      </c>
      <c r="L3416" t="s">
        <v>7</v>
      </c>
      <c r="M3416">
        <v>2023</v>
      </c>
      <c r="N3416" s="1">
        <v>45002</v>
      </c>
      <c r="O3416" t="s">
        <v>16100</v>
      </c>
      <c r="P3416">
        <v>1</v>
      </c>
      <c r="Q3416" t="s">
        <v>5693</v>
      </c>
      <c r="S3416">
        <v>217.95</v>
      </c>
      <c r="T3416">
        <v>250</v>
      </c>
      <c r="U3416">
        <v>190</v>
      </c>
      <c r="V3416" t="s">
        <v>42</v>
      </c>
      <c r="W3416" t="s">
        <v>1379</v>
      </c>
      <c r="X3416" t="s">
        <v>1380</v>
      </c>
      <c r="Y3416" t="s">
        <v>896</v>
      </c>
      <c r="AF3416" t="s">
        <v>13</v>
      </c>
      <c r="AH3416" t="str">
        <f>HYPERLINK("http://www.degruyter.com/isbn/9781474490184")</f>
        <v>http://www.degruyter.com/isbn/9781474490184</v>
      </c>
      <c r="AI3416" t="s">
        <v>15732</v>
      </c>
      <c r="AL3416" t="s">
        <v>638</v>
      </c>
      <c r="AM3416">
        <v>1</v>
      </c>
      <c r="AN3416" s="2">
        <v>9781474490160</v>
      </c>
    </row>
    <row r="3417" spans="1:40" x14ac:dyDescent="0.3">
      <c r="A3417" t="s">
        <v>16101</v>
      </c>
      <c r="B3417" t="s">
        <v>1</v>
      </c>
      <c r="C3417" t="s">
        <v>16102</v>
      </c>
      <c r="D3417" t="s">
        <v>16103</v>
      </c>
      <c r="E3417" t="s">
        <v>16104</v>
      </c>
      <c r="F3417" t="s">
        <v>5</v>
      </c>
      <c r="G3417" t="s">
        <v>6</v>
      </c>
      <c r="L3417" t="s">
        <v>7</v>
      </c>
      <c r="M3417">
        <v>2023</v>
      </c>
      <c r="N3417" s="1">
        <v>44978</v>
      </c>
      <c r="O3417" t="s">
        <v>16105</v>
      </c>
      <c r="P3417">
        <v>1</v>
      </c>
      <c r="S3417">
        <v>217.95</v>
      </c>
      <c r="T3417">
        <v>250</v>
      </c>
      <c r="U3417">
        <v>190</v>
      </c>
      <c r="V3417" t="s">
        <v>20</v>
      </c>
      <c r="W3417" t="s">
        <v>21</v>
      </c>
      <c r="X3417" t="s">
        <v>458</v>
      </c>
      <c r="Y3417" t="s">
        <v>459</v>
      </c>
      <c r="AF3417" t="s">
        <v>13</v>
      </c>
      <c r="AH3417" t="str">
        <f>HYPERLINK("http://www.degruyter.com/isbn/9781399513043")</f>
        <v>http://www.degruyter.com/isbn/9781399513043</v>
      </c>
      <c r="AI3417" t="s">
        <v>15750</v>
      </c>
      <c r="AJ3417" t="s">
        <v>35</v>
      </c>
      <c r="AL3417" t="s">
        <v>638</v>
      </c>
      <c r="AM3417">
        <v>1</v>
      </c>
      <c r="AN3417" s="2">
        <v>9781399513029</v>
      </c>
    </row>
    <row r="3418" spans="1:40" x14ac:dyDescent="0.3">
      <c r="A3418" t="s">
        <v>16106</v>
      </c>
      <c r="B3418" t="s">
        <v>1</v>
      </c>
      <c r="C3418" t="s">
        <v>16107</v>
      </c>
      <c r="E3418" t="s">
        <v>16108</v>
      </c>
      <c r="F3418" t="s">
        <v>5</v>
      </c>
      <c r="G3418" t="s">
        <v>6</v>
      </c>
      <c r="L3418" t="s">
        <v>7</v>
      </c>
      <c r="M3418">
        <v>2023</v>
      </c>
      <c r="N3418" s="1">
        <v>45033</v>
      </c>
      <c r="O3418" t="s">
        <v>16109</v>
      </c>
      <c r="P3418">
        <v>1</v>
      </c>
      <c r="S3418">
        <v>209.95</v>
      </c>
      <c r="T3418">
        <v>240</v>
      </c>
      <c r="U3418">
        <v>180</v>
      </c>
      <c r="V3418" t="s">
        <v>9</v>
      </c>
      <c r="W3418" t="s">
        <v>10</v>
      </c>
      <c r="X3418" t="s">
        <v>11</v>
      </c>
      <c r="Y3418" t="s">
        <v>52</v>
      </c>
      <c r="AF3418" t="s">
        <v>13</v>
      </c>
      <c r="AH3418" t="str">
        <f>HYPERLINK("http://www.degruyter.com/isbn/9781474496933")</f>
        <v>http://www.degruyter.com/isbn/9781474496933</v>
      </c>
      <c r="AI3418" t="s">
        <v>15325</v>
      </c>
      <c r="AJ3418" t="s">
        <v>35</v>
      </c>
      <c r="AL3418" t="s">
        <v>638</v>
      </c>
      <c r="AM3418">
        <v>1</v>
      </c>
      <c r="AN3418" s="2">
        <v>9781474496919</v>
      </c>
    </row>
    <row r="3419" spans="1:40" x14ac:dyDescent="0.3">
      <c r="A3419" t="s">
        <v>16110</v>
      </c>
      <c r="B3419" t="s">
        <v>1</v>
      </c>
      <c r="C3419" t="s">
        <v>16111</v>
      </c>
      <c r="D3419" t="s">
        <v>16112</v>
      </c>
      <c r="E3419" t="s">
        <v>16113</v>
      </c>
      <c r="F3419" t="s">
        <v>5</v>
      </c>
      <c r="G3419" t="s">
        <v>6</v>
      </c>
      <c r="L3419" t="s">
        <v>7</v>
      </c>
      <c r="M3419">
        <v>2023</v>
      </c>
      <c r="N3419" s="1">
        <v>45002</v>
      </c>
      <c r="O3419" t="s">
        <v>16114</v>
      </c>
      <c r="P3419">
        <v>1</v>
      </c>
      <c r="S3419">
        <v>209.95</v>
      </c>
      <c r="T3419">
        <v>240</v>
      </c>
      <c r="U3419">
        <v>180</v>
      </c>
      <c r="V3419" t="s">
        <v>20</v>
      </c>
      <c r="W3419" t="s">
        <v>21</v>
      </c>
      <c r="X3419" t="s">
        <v>22</v>
      </c>
      <c r="Y3419" t="s">
        <v>23</v>
      </c>
      <c r="AF3419" t="s">
        <v>13</v>
      </c>
      <c r="AH3419" t="str">
        <f>HYPERLINK("http://www.degruyter.com/isbn/9781474494830")</f>
        <v>http://www.degruyter.com/isbn/9781474494830</v>
      </c>
      <c r="AI3419" t="s">
        <v>15812</v>
      </c>
      <c r="AL3419" t="s">
        <v>638</v>
      </c>
      <c r="AM3419">
        <v>1</v>
      </c>
      <c r="AN3419" s="2">
        <v>9781474494816</v>
      </c>
    </row>
    <row r="3420" spans="1:40" x14ac:dyDescent="0.3">
      <c r="A3420" t="s">
        <v>16115</v>
      </c>
      <c r="B3420" t="s">
        <v>1</v>
      </c>
      <c r="C3420" t="s">
        <v>16116</v>
      </c>
      <c r="D3420" t="s">
        <v>16117</v>
      </c>
      <c r="E3420" t="s">
        <v>16118</v>
      </c>
      <c r="F3420" t="s">
        <v>5</v>
      </c>
      <c r="G3420" t="s">
        <v>6</v>
      </c>
      <c r="L3420" t="s">
        <v>7</v>
      </c>
      <c r="M3420">
        <v>2023</v>
      </c>
      <c r="N3420" s="1">
        <v>45002</v>
      </c>
      <c r="O3420" t="s">
        <v>16119</v>
      </c>
      <c r="P3420">
        <v>1</v>
      </c>
      <c r="S3420">
        <v>209.95</v>
      </c>
      <c r="T3420">
        <v>240</v>
      </c>
      <c r="U3420">
        <v>180</v>
      </c>
      <c r="V3420" t="s">
        <v>9</v>
      </c>
      <c r="W3420" t="s">
        <v>10</v>
      </c>
      <c r="X3420" t="s">
        <v>11</v>
      </c>
      <c r="Y3420" t="s">
        <v>52</v>
      </c>
      <c r="AF3420" t="s">
        <v>13</v>
      </c>
      <c r="AH3420" t="str">
        <f>HYPERLINK("http://www.degruyter.com/isbn/9781399501378")</f>
        <v>http://www.degruyter.com/isbn/9781399501378</v>
      </c>
      <c r="AI3420" t="s">
        <v>15325</v>
      </c>
      <c r="AL3420" t="s">
        <v>638</v>
      </c>
      <c r="AM3420">
        <v>1</v>
      </c>
      <c r="AN3420" s="2">
        <v>9781399501354</v>
      </c>
    </row>
    <row r="3421" spans="1:40" x14ac:dyDescent="0.3">
      <c r="A3421" t="s">
        <v>16120</v>
      </c>
      <c r="B3421" t="s">
        <v>1</v>
      </c>
      <c r="C3421" t="s">
        <v>16121</v>
      </c>
      <c r="E3421" t="s">
        <v>16122</v>
      </c>
      <c r="F3421" t="s">
        <v>5</v>
      </c>
      <c r="G3421" t="s">
        <v>6</v>
      </c>
      <c r="H3421" t="s">
        <v>16123</v>
      </c>
      <c r="L3421" t="s">
        <v>7</v>
      </c>
      <c r="M3421">
        <v>2023</v>
      </c>
      <c r="N3421" s="1">
        <v>44985</v>
      </c>
      <c r="O3421" t="s">
        <v>16124</v>
      </c>
      <c r="P3421">
        <v>1</v>
      </c>
      <c r="Q3421" t="s">
        <v>10773</v>
      </c>
      <c r="S3421">
        <v>209.95</v>
      </c>
      <c r="T3421">
        <v>240</v>
      </c>
      <c r="U3421">
        <v>180</v>
      </c>
      <c r="V3421" t="s">
        <v>268</v>
      </c>
      <c r="W3421" t="s">
        <v>16125</v>
      </c>
      <c r="X3421" t="s">
        <v>16126</v>
      </c>
      <c r="Y3421" t="s">
        <v>16127</v>
      </c>
      <c r="AF3421" t="s">
        <v>13</v>
      </c>
      <c r="AH3421" t="str">
        <f>HYPERLINK("http://www.degruyter.com/isbn/9781399511797")</f>
        <v>http://www.degruyter.com/isbn/9781399511797</v>
      </c>
      <c r="AI3421" t="s">
        <v>16128</v>
      </c>
      <c r="AL3421" t="s">
        <v>16129</v>
      </c>
      <c r="AM3421">
        <v>1</v>
      </c>
      <c r="AN3421" s="2">
        <v>9781399511773</v>
      </c>
    </row>
    <row r="3422" spans="1:40" x14ac:dyDescent="0.3">
      <c r="A3422" t="s">
        <v>16130</v>
      </c>
      <c r="B3422" t="s">
        <v>1</v>
      </c>
      <c r="C3422" t="s">
        <v>16131</v>
      </c>
      <c r="E3422" t="s">
        <v>16132</v>
      </c>
      <c r="F3422" t="s">
        <v>5</v>
      </c>
      <c r="G3422" t="s">
        <v>6</v>
      </c>
      <c r="L3422" t="s">
        <v>7</v>
      </c>
      <c r="M3422">
        <v>2023</v>
      </c>
      <c r="N3422" s="1">
        <v>45064</v>
      </c>
      <c r="O3422" t="s">
        <v>16133</v>
      </c>
      <c r="P3422">
        <v>1</v>
      </c>
      <c r="S3422">
        <v>209.95</v>
      </c>
      <c r="T3422">
        <v>240</v>
      </c>
      <c r="U3422">
        <v>180</v>
      </c>
      <c r="V3422" t="s">
        <v>305</v>
      </c>
      <c r="W3422" t="s">
        <v>2566</v>
      </c>
      <c r="X3422" t="s">
        <v>2567</v>
      </c>
      <c r="Y3422" t="s">
        <v>4151</v>
      </c>
      <c r="AF3422" t="s">
        <v>13</v>
      </c>
      <c r="AH3422" t="str">
        <f>HYPERLINK("http://www.degruyter.com/isbn/9781474479851")</f>
        <v>http://www.degruyter.com/isbn/9781474479851</v>
      </c>
      <c r="AI3422" t="s">
        <v>15325</v>
      </c>
      <c r="AL3422" t="s">
        <v>638</v>
      </c>
      <c r="AM3422">
        <v>1</v>
      </c>
      <c r="AN3422" s="2">
        <v>9781474479837</v>
      </c>
    </row>
    <row r="3423" spans="1:40" x14ac:dyDescent="0.3">
      <c r="A3423" t="s">
        <v>16134</v>
      </c>
      <c r="B3423" t="s">
        <v>1</v>
      </c>
      <c r="C3423" t="s">
        <v>16135</v>
      </c>
      <c r="D3423" t="s">
        <v>16136</v>
      </c>
      <c r="E3423" t="s">
        <v>16137</v>
      </c>
      <c r="F3423" t="s">
        <v>5</v>
      </c>
      <c r="G3423" t="s">
        <v>6</v>
      </c>
      <c r="K3423" t="s">
        <v>16138</v>
      </c>
      <c r="L3423" t="s">
        <v>7</v>
      </c>
      <c r="M3423">
        <v>2023</v>
      </c>
      <c r="N3423" s="1">
        <v>44965</v>
      </c>
      <c r="O3423" t="s">
        <v>16139</v>
      </c>
      <c r="P3423">
        <v>1</v>
      </c>
      <c r="Q3423" t="s">
        <v>8587</v>
      </c>
      <c r="V3423" t="s">
        <v>847</v>
      </c>
      <c r="W3423" t="s">
        <v>848</v>
      </c>
      <c r="X3423" t="s">
        <v>1771</v>
      </c>
      <c r="Y3423" t="s">
        <v>1772</v>
      </c>
      <c r="AF3423" t="s">
        <v>13</v>
      </c>
      <c r="AH3423" t="str">
        <f>HYPERLINK("http://www.degruyter.com/isbn/9781474486514")</f>
        <v>http://www.degruyter.com/isbn/9781474486514</v>
      </c>
      <c r="AI3423" t="s">
        <v>16140</v>
      </c>
      <c r="AL3423" t="s">
        <v>638</v>
      </c>
      <c r="AM3423">
        <v>1</v>
      </c>
      <c r="AN3423" s="2"/>
    </row>
    <row r="3424" spans="1:40" x14ac:dyDescent="0.3">
      <c r="A3424" t="s">
        <v>16141</v>
      </c>
      <c r="B3424" t="s">
        <v>1</v>
      </c>
      <c r="C3424" t="s">
        <v>16142</v>
      </c>
      <c r="D3424" t="s">
        <v>16143</v>
      </c>
      <c r="E3424" t="s">
        <v>16144</v>
      </c>
      <c r="F3424" t="s">
        <v>5</v>
      </c>
      <c r="G3424" t="s">
        <v>6</v>
      </c>
      <c r="L3424" t="s">
        <v>7</v>
      </c>
      <c r="M3424">
        <v>2023</v>
      </c>
      <c r="N3424" s="1">
        <v>45064</v>
      </c>
      <c r="O3424" t="s">
        <v>16145</v>
      </c>
      <c r="P3424">
        <v>1</v>
      </c>
      <c r="Q3424" t="s">
        <v>8883</v>
      </c>
      <c r="S3424">
        <v>217.95</v>
      </c>
      <c r="T3424">
        <v>250</v>
      </c>
      <c r="U3424">
        <v>190</v>
      </c>
      <c r="V3424" t="s">
        <v>79</v>
      </c>
      <c r="W3424" t="s">
        <v>783</v>
      </c>
      <c r="X3424" t="s">
        <v>783</v>
      </c>
      <c r="Y3424" t="s">
        <v>784</v>
      </c>
      <c r="AF3424" t="s">
        <v>13</v>
      </c>
      <c r="AH3424" t="str">
        <f>HYPERLINK("http://www.degruyter.com/isbn/9781474489072")</f>
        <v>http://www.degruyter.com/isbn/9781474489072</v>
      </c>
      <c r="AI3424" t="s">
        <v>16146</v>
      </c>
      <c r="AL3424" t="s">
        <v>638</v>
      </c>
      <c r="AM3424">
        <v>1</v>
      </c>
      <c r="AN3424" s="2">
        <v>9781474489041</v>
      </c>
    </row>
    <row r="3425" spans="1:40" x14ac:dyDescent="0.3">
      <c r="A3425" t="s">
        <v>16147</v>
      </c>
      <c r="B3425" t="s">
        <v>1</v>
      </c>
      <c r="C3425" t="s">
        <v>16148</v>
      </c>
      <c r="D3425" t="s">
        <v>16149</v>
      </c>
      <c r="E3425" t="s">
        <v>16150</v>
      </c>
      <c r="F3425" t="s">
        <v>5</v>
      </c>
      <c r="G3425" t="s">
        <v>6</v>
      </c>
      <c r="L3425" t="s">
        <v>7</v>
      </c>
      <c r="M3425">
        <v>2023</v>
      </c>
      <c r="N3425" s="1">
        <v>45030</v>
      </c>
      <c r="O3425" t="s">
        <v>16151</v>
      </c>
      <c r="P3425">
        <v>1</v>
      </c>
      <c r="Q3425" t="s">
        <v>8096</v>
      </c>
      <c r="S3425">
        <v>209.95</v>
      </c>
      <c r="T3425">
        <v>240</v>
      </c>
      <c r="U3425">
        <v>180</v>
      </c>
      <c r="V3425" t="s">
        <v>305</v>
      </c>
      <c r="W3425" t="s">
        <v>306</v>
      </c>
      <c r="X3425" t="s">
        <v>306</v>
      </c>
      <c r="Y3425" t="s">
        <v>1689</v>
      </c>
      <c r="AF3425" t="s">
        <v>13</v>
      </c>
      <c r="AH3425" t="str">
        <f>HYPERLINK("http://www.degruyter.com/isbn/9781474461672")</f>
        <v>http://www.degruyter.com/isbn/9781474461672</v>
      </c>
      <c r="AI3425" t="s">
        <v>15325</v>
      </c>
      <c r="AL3425" t="s">
        <v>638</v>
      </c>
      <c r="AM3425">
        <v>1</v>
      </c>
      <c r="AN3425" s="2">
        <v>9781474461658</v>
      </c>
    </row>
    <row r="3426" spans="1:40" x14ac:dyDescent="0.3">
      <c r="A3426" t="s">
        <v>16152</v>
      </c>
      <c r="B3426" t="s">
        <v>1</v>
      </c>
      <c r="C3426" t="s">
        <v>16153</v>
      </c>
      <c r="D3426" t="s">
        <v>15347</v>
      </c>
      <c r="E3426" t="s">
        <v>16154</v>
      </c>
      <c r="F3426" t="s">
        <v>5</v>
      </c>
      <c r="G3426" t="s">
        <v>6</v>
      </c>
      <c r="L3426" t="s">
        <v>7</v>
      </c>
      <c r="M3426">
        <v>2023</v>
      </c>
      <c r="N3426" s="1">
        <v>45064</v>
      </c>
      <c r="O3426" t="s">
        <v>16155</v>
      </c>
      <c r="P3426">
        <v>1</v>
      </c>
      <c r="Q3426" t="s">
        <v>15350</v>
      </c>
      <c r="S3426">
        <v>295.95</v>
      </c>
      <c r="T3426">
        <v>340</v>
      </c>
      <c r="U3426">
        <v>260</v>
      </c>
      <c r="V3426" t="s">
        <v>20</v>
      </c>
      <c r="W3426" t="s">
        <v>21</v>
      </c>
      <c r="X3426" t="s">
        <v>22</v>
      </c>
      <c r="Y3426" t="s">
        <v>489</v>
      </c>
      <c r="AF3426" t="s">
        <v>13</v>
      </c>
      <c r="AH3426" t="str">
        <f>HYPERLINK("http://www.degruyter.com/isbn/9781399510790")</f>
        <v>http://www.degruyter.com/isbn/9781399510790</v>
      </c>
      <c r="AI3426" t="s">
        <v>15812</v>
      </c>
      <c r="AL3426" t="s">
        <v>638</v>
      </c>
      <c r="AM3426">
        <v>1</v>
      </c>
      <c r="AN3426" s="2">
        <v>9781399510776</v>
      </c>
    </row>
    <row r="3427" spans="1:40" x14ac:dyDescent="0.3">
      <c r="A3427" t="s">
        <v>16156</v>
      </c>
      <c r="B3427" t="s">
        <v>1</v>
      </c>
      <c r="C3427" t="s">
        <v>16157</v>
      </c>
      <c r="D3427" t="s">
        <v>16158</v>
      </c>
      <c r="E3427" t="s">
        <v>16159</v>
      </c>
      <c r="F3427" t="s">
        <v>5</v>
      </c>
      <c r="G3427" t="s">
        <v>6</v>
      </c>
      <c r="L3427" t="s">
        <v>7</v>
      </c>
      <c r="M3427">
        <v>2023</v>
      </c>
      <c r="N3427" s="1">
        <v>45041</v>
      </c>
      <c r="O3427" t="s">
        <v>16160</v>
      </c>
      <c r="P3427">
        <v>1</v>
      </c>
      <c r="S3427">
        <v>209.95</v>
      </c>
      <c r="T3427">
        <v>240</v>
      </c>
      <c r="U3427">
        <v>180</v>
      </c>
      <c r="V3427" t="s">
        <v>9</v>
      </c>
      <c r="W3427" t="s">
        <v>10</v>
      </c>
      <c r="X3427" t="s">
        <v>11</v>
      </c>
      <c r="Y3427" t="s">
        <v>52</v>
      </c>
      <c r="AF3427" t="s">
        <v>13</v>
      </c>
      <c r="AH3427" t="str">
        <f>HYPERLINK("http://www.degruyter.com/isbn/9781399511162")</f>
        <v>http://www.degruyter.com/isbn/9781399511162</v>
      </c>
      <c r="AI3427" t="s">
        <v>15325</v>
      </c>
      <c r="AL3427" t="s">
        <v>638</v>
      </c>
      <c r="AM3427">
        <v>1</v>
      </c>
      <c r="AN3427" s="2">
        <v>9781399511148</v>
      </c>
    </row>
    <row r="3428" spans="1:40" x14ac:dyDescent="0.3">
      <c r="A3428" t="s">
        <v>16161</v>
      </c>
      <c r="B3428" t="s">
        <v>1</v>
      </c>
      <c r="C3428" t="s">
        <v>16162</v>
      </c>
      <c r="D3428" t="s">
        <v>16163</v>
      </c>
      <c r="E3428" t="s">
        <v>16164</v>
      </c>
      <c r="F3428" t="s">
        <v>5</v>
      </c>
      <c r="G3428" t="s">
        <v>6</v>
      </c>
      <c r="K3428" t="s">
        <v>15784</v>
      </c>
      <c r="L3428" t="s">
        <v>7</v>
      </c>
      <c r="M3428">
        <v>2023</v>
      </c>
      <c r="N3428" s="1">
        <v>44935</v>
      </c>
      <c r="O3428" t="s">
        <v>16165</v>
      </c>
      <c r="P3428">
        <v>1</v>
      </c>
      <c r="V3428" t="s">
        <v>42</v>
      </c>
      <c r="W3428" t="s">
        <v>43</v>
      </c>
      <c r="X3428" t="s">
        <v>8073</v>
      </c>
      <c r="Y3428" t="s">
        <v>742</v>
      </c>
      <c r="AF3428" t="s">
        <v>13</v>
      </c>
      <c r="AH3428" t="str">
        <f>HYPERLINK("http://www.degruyter.com/isbn/9781399507844")</f>
        <v>http://www.degruyter.com/isbn/9781399507844</v>
      </c>
      <c r="AI3428" t="s">
        <v>15732</v>
      </c>
      <c r="AL3428" t="s">
        <v>638</v>
      </c>
      <c r="AM3428">
        <v>1</v>
      </c>
      <c r="AN3428" s="2"/>
    </row>
    <row r="3429" spans="1:40" x14ac:dyDescent="0.3">
      <c r="A3429" t="s">
        <v>16166</v>
      </c>
      <c r="B3429" t="s">
        <v>1</v>
      </c>
      <c r="C3429" t="s">
        <v>16167</v>
      </c>
      <c r="E3429" t="s">
        <v>16168</v>
      </c>
      <c r="F3429" t="s">
        <v>5</v>
      </c>
      <c r="G3429" t="s">
        <v>6</v>
      </c>
      <c r="L3429" t="s">
        <v>7</v>
      </c>
      <c r="M3429">
        <v>2023</v>
      </c>
      <c r="N3429" s="1">
        <v>45064</v>
      </c>
      <c r="O3429" t="s">
        <v>16169</v>
      </c>
      <c r="P3429">
        <v>1</v>
      </c>
      <c r="S3429">
        <v>209.95</v>
      </c>
      <c r="T3429">
        <v>240</v>
      </c>
      <c r="U3429">
        <v>180</v>
      </c>
      <c r="V3429" t="s">
        <v>20</v>
      </c>
      <c r="W3429" t="s">
        <v>21</v>
      </c>
      <c r="X3429" t="s">
        <v>458</v>
      </c>
      <c r="Y3429" t="s">
        <v>459</v>
      </c>
      <c r="AF3429" t="s">
        <v>13</v>
      </c>
      <c r="AH3429" t="str">
        <f>HYPERLINK("http://www.degruyter.com/isbn/9781399518246")</f>
        <v>http://www.degruyter.com/isbn/9781399518246</v>
      </c>
      <c r="AI3429" t="s">
        <v>15750</v>
      </c>
      <c r="AL3429" t="s">
        <v>638</v>
      </c>
      <c r="AM3429">
        <v>1</v>
      </c>
      <c r="AN3429" s="2">
        <v>9781399518222</v>
      </c>
    </row>
    <row r="3430" spans="1:40" x14ac:dyDescent="0.3">
      <c r="A3430" t="s">
        <v>16170</v>
      </c>
      <c r="B3430" t="s">
        <v>1</v>
      </c>
      <c r="C3430" t="s">
        <v>16171</v>
      </c>
      <c r="E3430" t="s">
        <v>16172</v>
      </c>
      <c r="F3430" t="s">
        <v>5</v>
      </c>
      <c r="G3430" t="s">
        <v>6</v>
      </c>
      <c r="L3430" t="s">
        <v>7</v>
      </c>
      <c r="M3430">
        <v>2023</v>
      </c>
      <c r="N3430" s="1">
        <v>44957</v>
      </c>
      <c r="O3430" t="s">
        <v>16173</v>
      </c>
      <c r="P3430">
        <v>1</v>
      </c>
      <c r="Q3430" t="s">
        <v>13309</v>
      </c>
      <c r="S3430">
        <v>347.95</v>
      </c>
      <c r="T3430">
        <v>400</v>
      </c>
      <c r="U3430">
        <v>310</v>
      </c>
      <c r="V3430" t="s">
        <v>42</v>
      </c>
      <c r="W3430" t="s">
        <v>107</v>
      </c>
      <c r="X3430" t="s">
        <v>108</v>
      </c>
      <c r="Y3430" t="s">
        <v>109</v>
      </c>
      <c r="AF3430" t="s">
        <v>13</v>
      </c>
      <c r="AH3430" t="str">
        <f>HYPERLINK("http://www.degruyter.com/isbn/9781474494724")</f>
        <v>http://www.degruyter.com/isbn/9781474494724</v>
      </c>
      <c r="AI3430" t="s">
        <v>15732</v>
      </c>
      <c r="AL3430" t="s">
        <v>638</v>
      </c>
      <c r="AM3430">
        <v>1</v>
      </c>
      <c r="AN3430" s="2">
        <v>9781474494717</v>
      </c>
    </row>
    <row r="3431" spans="1:40" x14ac:dyDescent="0.3">
      <c r="A3431" t="s">
        <v>16174</v>
      </c>
      <c r="B3431" t="s">
        <v>1</v>
      </c>
      <c r="C3431" t="s">
        <v>16175</v>
      </c>
      <c r="D3431" t="s">
        <v>16176</v>
      </c>
      <c r="E3431" t="s">
        <v>16177</v>
      </c>
      <c r="F3431" t="s">
        <v>5</v>
      </c>
      <c r="G3431" t="s">
        <v>6</v>
      </c>
      <c r="L3431" t="s">
        <v>7</v>
      </c>
      <c r="M3431">
        <v>2023</v>
      </c>
      <c r="N3431" s="1">
        <v>45041</v>
      </c>
      <c r="O3431" t="s">
        <v>16178</v>
      </c>
      <c r="P3431">
        <v>1</v>
      </c>
      <c r="S3431">
        <v>217.95</v>
      </c>
      <c r="T3431">
        <v>250</v>
      </c>
      <c r="U3431">
        <v>190</v>
      </c>
      <c r="V3431" t="s">
        <v>58</v>
      </c>
      <c r="W3431" t="s">
        <v>59</v>
      </c>
      <c r="X3431" t="s">
        <v>60</v>
      </c>
      <c r="Y3431" t="s">
        <v>73</v>
      </c>
      <c r="AF3431" t="s">
        <v>13</v>
      </c>
      <c r="AH3431" t="str">
        <f>HYPERLINK("http://www.degruyter.com/isbn/9781399512763")</f>
        <v>http://www.degruyter.com/isbn/9781399512763</v>
      </c>
      <c r="AI3431" t="s">
        <v>15918</v>
      </c>
      <c r="AL3431" t="s">
        <v>638</v>
      </c>
      <c r="AM3431">
        <v>1</v>
      </c>
      <c r="AN3431" s="2">
        <v>9781399512749</v>
      </c>
    </row>
    <row r="3432" spans="1:40" x14ac:dyDescent="0.3">
      <c r="A3432" t="s">
        <v>16179</v>
      </c>
      <c r="B3432" t="s">
        <v>1</v>
      </c>
      <c r="C3432" t="s">
        <v>16180</v>
      </c>
      <c r="D3432" t="s">
        <v>16181</v>
      </c>
      <c r="E3432" t="s">
        <v>16182</v>
      </c>
      <c r="F3432" t="s">
        <v>5</v>
      </c>
      <c r="G3432" t="s">
        <v>6</v>
      </c>
      <c r="L3432" t="s">
        <v>7</v>
      </c>
      <c r="M3432">
        <v>2023</v>
      </c>
      <c r="N3432" s="1">
        <v>44985</v>
      </c>
      <c r="O3432" t="s">
        <v>16183</v>
      </c>
      <c r="P3432">
        <v>1</v>
      </c>
      <c r="S3432">
        <v>217.95</v>
      </c>
      <c r="T3432">
        <v>250</v>
      </c>
      <c r="U3432">
        <v>190</v>
      </c>
      <c r="V3432" t="s">
        <v>20</v>
      </c>
      <c r="W3432" t="s">
        <v>21</v>
      </c>
      <c r="X3432" t="s">
        <v>22</v>
      </c>
      <c r="Y3432" t="s">
        <v>489</v>
      </c>
      <c r="AF3432" t="s">
        <v>13</v>
      </c>
      <c r="AH3432" t="str">
        <f>HYPERLINK("http://www.degruyter.com/isbn/9781474411172")</f>
        <v>http://www.degruyter.com/isbn/9781474411172</v>
      </c>
      <c r="AI3432" t="s">
        <v>15812</v>
      </c>
      <c r="AL3432" t="s">
        <v>638</v>
      </c>
      <c r="AM3432">
        <v>1</v>
      </c>
      <c r="AN3432" s="2">
        <v>9781474411165</v>
      </c>
    </row>
    <row r="3433" spans="1:40" x14ac:dyDescent="0.3">
      <c r="A3433" t="s">
        <v>16184</v>
      </c>
      <c r="B3433" t="s">
        <v>1</v>
      </c>
      <c r="C3433" t="s">
        <v>16185</v>
      </c>
      <c r="D3433" t="s">
        <v>16186</v>
      </c>
      <c r="E3433" t="s">
        <v>16187</v>
      </c>
      <c r="F3433" t="s">
        <v>5</v>
      </c>
      <c r="G3433" t="s">
        <v>6</v>
      </c>
      <c r="L3433" t="s">
        <v>7</v>
      </c>
      <c r="M3433">
        <v>2023</v>
      </c>
      <c r="N3433" s="1">
        <v>44998</v>
      </c>
      <c r="O3433" t="s">
        <v>16188</v>
      </c>
      <c r="P3433">
        <v>1</v>
      </c>
      <c r="S3433">
        <v>261.95</v>
      </c>
      <c r="T3433">
        <v>300</v>
      </c>
      <c r="U3433">
        <v>230</v>
      </c>
      <c r="V3433" t="s">
        <v>42</v>
      </c>
      <c r="W3433" t="s">
        <v>107</v>
      </c>
      <c r="X3433" t="s">
        <v>108</v>
      </c>
      <c r="Y3433" t="s">
        <v>221</v>
      </c>
      <c r="AF3433" t="s">
        <v>13</v>
      </c>
      <c r="AH3433" t="str">
        <f>HYPERLINK("http://www.degruyter.com/isbn/9781474498043")</f>
        <v>http://www.degruyter.com/isbn/9781474498043</v>
      </c>
      <c r="AI3433" t="s">
        <v>15732</v>
      </c>
      <c r="AL3433" t="s">
        <v>638</v>
      </c>
      <c r="AM3433">
        <v>1</v>
      </c>
      <c r="AN3433" s="2">
        <v>9781474498029</v>
      </c>
    </row>
    <row r="3434" spans="1:40" x14ac:dyDescent="0.3">
      <c r="A3434" t="s">
        <v>16189</v>
      </c>
      <c r="B3434" t="s">
        <v>1</v>
      </c>
      <c r="C3434" t="s">
        <v>16190</v>
      </c>
      <c r="D3434" t="s">
        <v>16191</v>
      </c>
      <c r="E3434" t="s">
        <v>16192</v>
      </c>
      <c r="F3434" t="s">
        <v>5</v>
      </c>
      <c r="G3434" t="s">
        <v>6</v>
      </c>
      <c r="L3434" t="s">
        <v>7</v>
      </c>
      <c r="M3434">
        <v>2023</v>
      </c>
      <c r="N3434" s="1">
        <v>45002</v>
      </c>
      <c r="O3434" t="s">
        <v>16193</v>
      </c>
      <c r="P3434">
        <v>1</v>
      </c>
      <c r="Q3434" t="s">
        <v>8601</v>
      </c>
      <c r="S3434">
        <v>217.95</v>
      </c>
      <c r="T3434">
        <v>250</v>
      </c>
      <c r="U3434">
        <v>190</v>
      </c>
      <c r="V3434" t="s">
        <v>305</v>
      </c>
      <c r="W3434" t="s">
        <v>2566</v>
      </c>
      <c r="X3434" t="s">
        <v>2567</v>
      </c>
      <c r="Y3434" t="s">
        <v>4151</v>
      </c>
      <c r="AF3434" t="s">
        <v>13</v>
      </c>
      <c r="AH3434" t="str">
        <f>HYPERLINK("http://www.degruyter.com/isbn/9781474497961")</f>
        <v>http://www.degruyter.com/isbn/9781474497961</v>
      </c>
      <c r="AI3434" t="s">
        <v>15325</v>
      </c>
      <c r="AL3434" t="s">
        <v>638</v>
      </c>
      <c r="AM3434">
        <v>1</v>
      </c>
      <c r="AN3434" s="2">
        <v>9781474497947</v>
      </c>
    </row>
    <row r="3435" spans="1:40" x14ac:dyDescent="0.3">
      <c r="A3435" t="s">
        <v>16194</v>
      </c>
      <c r="B3435" t="s">
        <v>1</v>
      </c>
      <c r="C3435" t="s">
        <v>16195</v>
      </c>
      <c r="D3435" t="s">
        <v>8110</v>
      </c>
      <c r="E3435" t="s">
        <v>16196</v>
      </c>
      <c r="F3435" t="s">
        <v>5</v>
      </c>
      <c r="G3435" t="s">
        <v>6</v>
      </c>
      <c r="L3435" t="s">
        <v>7</v>
      </c>
      <c r="M3435">
        <v>2023</v>
      </c>
      <c r="N3435" s="1">
        <v>45064</v>
      </c>
      <c r="O3435" t="s">
        <v>16197</v>
      </c>
      <c r="P3435">
        <v>1</v>
      </c>
      <c r="Q3435" t="s">
        <v>13324</v>
      </c>
      <c r="S3435">
        <v>217.95</v>
      </c>
      <c r="T3435">
        <v>250</v>
      </c>
      <c r="U3435">
        <v>190</v>
      </c>
      <c r="V3435" t="s">
        <v>89</v>
      </c>
      <c r="W3435" t="s">
        <v>90</v>
      </c>
      <c r="X3435" t="s">
        <v>91</v>
      </c>
      <c r="Y3435" t="s">
        <v>717</v>
      </c>
      <c r="AF3435" t="s">
        <v>13</v>
      </c>
      <c r="AH3435" t="str">
        <f>HYPERLINK("http://www.degruyter.com/isbn/9781474461061")</f>
        <v>http://www.degruyter.com/isbn/9781474461061</v>
      </c>
      <c r="AI3435" t="s">
        <v>15923</v>
      </c>
      <c r="AL3435" t="s">
        <v>638</v>
      </c>
      <c r="AM3435">
        <v>1</v>
      </c>
      <c r="AN3435" s="2">
        <v>9781474461047</v>
      </c>
    </row>
    <row r="3436" spans="1:40" x14ac:dyDescent="0.3">
      <c r="A3436" t="s">
        <v>16198</v>
      </c>
      <c r="B3436" t="s">
        <v>1</v>
      </c>
      <c r="C3436" t="s">
        <v>16199</v>
      </c>
      <c r="D3436" t="s">
        <v>16200</v>
      </c>
      <c r="E3436" t="s">
        <v>16201</v>
      </c>
      <c r="F3436" t="s">
        <v>5</v>
      </c>
      <c r="G3436" t="s">
        <v>6</v>
      </c>
      <c r="L3436" t="s">
        <v>7</v>
      </c>
      <c r="M3436">
        <v>2023</v>
      </c>
      <c r="N3436" s="1">
        <v>45002</v>
      </c>
      <c r="O3436" t="s">
        <v>16202</v>
      </c>
      <c r="P3436">
        <v>1</v>
      </c>
      <c r="S3436">
        <v>209.95</v>
      </c>
      <c r="T3436">
        <v>240</v>
      </c>
      <c r="U3436">
        <v>180</v>
      </c>
      <c r="V3436" t="s">
        <v>9</v>
      </c>
      <c r="W3436" t="s">
        <v>10</v>
      </c>
      <c r="X3436" t="s">
        <v>11</v>
      </c>
      <c r="Y3436" t="s">
        <v>52</v>
      </c>
      <c r="AF3436" t="s">
        <v>13</v>
      </c>
      <c r="AH3436" t="str">
        <f>HYPERLINK("http://www.degruyter.com/isbn/9781474483513")</f>
        <v>http://www.degruyter.com/isbn/9781474483513</v>
      </c>
      <c r="AI3436" t="s">
        <v>15325</v>
      </c>
      <c r="AL3436" t="s">
        <v>638</v>
      </c>
      <c r="AM3436">
        <v>1</v>
      </c>
      <c r="AN3436" s="2">
        <v>9781474483490</v>
      </c>
    </row>
    <row r="3437" spans="1:40" x14ac:dyDescent="0.3">
      <c r="A3437" t="s">
        <v>16203</v>
      </c>
      <c r="B3437" t="s">
        <v>1</v>
      </c>
      <c r="C3437" t="s">
        <v>16204</v>
      </c>
      <c r="D3437" t="s">
        <v>16205</v>
      </c>
      <c r="E3437" t="s">
        <v>16206</v>
      </c>
      <c r="F3437" t="s">
        <v>5</v>
      </c>
      <c r="G3437" t="s">
        <v>6</v>
      </c>
      <c r="K3437" t="s">
        <v>15784</v>
      </c>
      <c r="L3437" t="s">
        <v>7</v>
      </c>
      <c r="M3437">
        <v>2023</v>
      </c>
      <c r="N3437" s="1">
        <v>45065</v>
      </c>
      <c r="O3437" t="s">
        <v>16207</v>
      </c>
      <c r="P3437">
        <v>1</v>
      </c>
      <c r="V3437" t="s">
        <v>20</v>
      </c>
      <c r="W3437" t="s">
        <v>21</v>
      </c>
      <c r="X3437" t="s">
        <v>458</v>
      </c>
      <c r="Y3437" t="s">
        <v>459</v>
      </c>
      <c r="AF3437" t="s">
        <v>13</v>
      </c>
      <c r="AH3437" t="str">
        <f>HYPERLINK("http://www.degruyter.com/isbn/9781399503679")</f>
        <v>http://www.degruyter.com/isbn/9781399503679</v>
      </c>
      <c r="AI3437" t="s">
        <v>15750</v>
      </c>
      <c r="AL3437" t="s">
        <v>638</v>
      </c>
      <c r="AM3437">
        <v>1</v>
      </c>
      <c r="AN3437" s="2"/>
    </row>
    <row r="3438" spans="1:40" x14ac:dyDescent="0.3">
      <c r="A3438" t="s">
        <v>16208</v>
      </c>
      <c r="B3438" t="s">
        <v>1</v>
      </c>
      <c r="C3438" t="s">
        <v>16209</v>
      </c>
      <c r="E3438" t="s">
        <v>16210</v>
      </c>
      <c r="F3438" t="s">
        <v>5</v>
      </c>
      <c r="G3438" t="s">
        <v>6</v>
      </c>
      <c r="K3438" t="s">
        <v>15784</v>
      </c>
      <c r="L3438" t="s">
        <v>7</v>
      </c>
      <c r="M3438">
        <v>2023</v>
      </c>
      <c r="N3438" s="1">
        <v>44993</v>
      </c>
      <c r="O3438" t="s">
        <v>16211</v>
      </c>
      <c r="P3438">
        <v>1</v>
      </c>
      <c r="Q3438" t="s">
        <v>6539</v>
      </c>
      <c r="V3438" t="s">
        <v>42</v>
      </c>
      <c r="W3438" t="s">
        <v>107</v>
      </c>
      <c r="X3438" t="s">
        <v>108</v>
      </c>
      <c r="Y3438" t="s">
        <v>109</v>
      </c>
      <c r="AF3438" t="s">
        <v>13</v>
      </c>
      <c r="AH3438" t="str">
        <f>HYPERLINK("http://www.degruyter.com/isbn/9781399511834")</f>
        <v>http://www.degruyter.com/isbn/9781399511834</v>
      </c>
      <c r="AI3438" t="s">
        <v>15732</v>
      </c>
      <c r="AL3438" t="s">
        <v>638</v>
      </c>
      <c r="AM3438">
        <v>1</v>
      </c>
      <c r="AN3438" s="2"/>
    </row>
    <row r="3439" spans="1:40" x14ac:dyDescent="0.3">
      <c r="A3439" t="s">
        <v>16212</v>
      </c>
      <c r="B3439" t="s">
        <v>1</v>
      </c>
      <c r="C3439" t="s">
        <v>16213</v>
      </c>
      <c r="D3439" t="s">
        <v>16214</v>
      </c>
      <c r="E3439" t="s">
        <v>16215</v>
      </c>
      <c r="F3439" t="s">
        <v>5</v>
      </c>
      <c r="G3439" t="s">
        <v>6</v>
      </c>
      <c r="L3439" t="s">
        <v>7</v>
      </c>
      <c r="M3439">
        <v>2023</v>
      </c>
      <c r="N3439" s="1">
        <v>45064</v>
      </c>
      <c r="O3439" t="s">
        <v>16216</v>
      </c>
      <c r="P3439">
        <v>1</v>
      </c>
      <c r="S3439">
        <v>209.95</v>
      </c>
      <c r="T3439">
        <v>240</v>
      </c>
      <c r="U3439">
        <v>180</v>
      </c>
      <c r="V3439" t="s">
        <v>20</v>
      </c>
      <c r="W3439" t="s">
        <v>21</v>
      </c>
      <c r="X3439" t="s">
        <v>22</v>
      </c>
      <c r="Y3439" t="s">
        <v>23</v>
      </c>
      <c r="AF3439" t="s">
        <v>13</v>
      </c>
      <c r="AH3439" t="str">
        <f>HYPERLINK("http://www.degruyter.com/isbn/9781474493055")</f>
        <v>http://www.degruyter.com/isbn/9781474493055</v>
      </c>
      <c r="AI3439" t="s">
        <v>15812</v>
      </c>
      <c r="AL3439" t="s">
        <v>638</v>
      </c>
      <c r="AM3439">
        <v>1</v>
      </c>
      <c r="AN3439" s="2">
        <v>9781474493031</v>
      </c>
    </row>
    <row r="3440" spans="1:40" x14ac:dyDescent="0.3">
      <c r="A3440" t="s">
        <v>16217</v>
      </c>
      <c r="B3440" t="s">
        <v>1</v>
      </c>
      <c r="C3440" t="s">
        <v>16218</v>
      </c>
      <c r="D3440" t="s">
        <v>16219</v>
      </c>
      <c r="E3440" t="s">
        <v>16220</v>
      </c>
      <c r="F3440" t="s">
        <v>5</v>
      </c>
      <c r="G3440" t="s">
        <v>6</v>
      </c>
      <c r="K3440" t="s">
        <v>16138</v>
      </c>
      <c r="L3440" t="s">
        <v>7</v>
      </c>
      <c r="M3440">
        <v>2023</v>
      </c>
      <c r="N3440" s="1">
        <v>44965</v>
      </c>
      <c r="O3440" t="s">
        <v>16221</v>
      </c>
      <c r="P3440">
        <v>1</v>
      </c>
      <c r="V3440" t="s">
        <v>20</v>
      </c>
      <c r="W3440" t="s">
        <v>470</v>
      </c>
      <c r="X3440" t="s">
        <v>14900</v>
      </c>
      <c r="Y3440" t="s">
        <v>14901</v>
      </c>
      <c r="AF3440" t="s">
        <v>13</v>
      </c>
      <c r="AH3440" t="str">
        <f>HYPERLINK("http://www.degruyter.com/isbn/9781474489942")</f>
        <v>http://www.degruyter.com/isbn/9781474489942</v>
      </c>
      <c r="AI3440" t="s">
        <v>15812</v>
      </c>
      <c r="AL3440" t="s">
        <v>638</v>
      </c>
      <c r="AM3440">
        <v>1</v>
      </c>
      <c r="AN3440" s="2"/>
    </row>
    <row r="3441" spans="1:40" x14ac:dyDescent="0.3">
      <c r="A3441" t="s">
        <v>16222</v>
      </c>
      <c r="B3441" t="s">
        <v>1</v>
      </c>
      <c r="C3441" t="s">
        <v>16223</v>
      </c>
      <c r="E3441" t="s">
        <v>16224</v>
      </c>
      <c r="F3441" t="s">
        <v>5</v>
      </c>
      <c r="G3441" t="s">
        <v>6</v>
      </c>
      <c r="L3441" t="s">
        <v>7</v>
      </c>
      <c r="M3441">
        <v>2023</v>
      </c>
      <c r="N3441" s="1">
        <v>45044</v>
      </c>
      <c r="O3441" t="s">
        <v>16225</v>
      </c>
      <c r="P3441">
        <v>1</v>
      </c>
      <c r="S3441">
        <v>227.95</v>
      </c>
      <c r="T3441">
        <v>260</v>
      </c>
      <c r="U3441">
        <v>200</v>
      </c>
      <c r="V3441" t="s">
        <v>1155</v>
      </c>
      <c r="W3441" t="s">
        <v>16226</v>
      </c>
      <c r="X3441" t="s">
        <v>16226</v>
      </c>
      <c r="Y3441" t="s">
        <v>16227</v>
      </c>
      <c r="AF3441" t="s">
        <v>13</v>
      </c>
      <c r="AH3441" t="str">
        <f>HYPERLINK("http://www.degruyter.com/isbn/9781474449083")</f>
        <v>http://www.degruyter.com/isbn/9781474449083</v>
      </c>
      <c r="AI3441" t="s">
        <v>16228</v>
      </c>
      <c r="AL3441" t="s">
        <v>638</v>
      </c>
      <c r="AM3441">
        <v>1</v>
      </c>
      <c r="AN3441" s="2">
        <v>9781474449069</v>
      </c>
    </row>
    <row r="3442" spans="1:40" x14ac:dyDescent="0.3">
      <c r="A3442" t="s">
        <v>16229</v>
      </c>
      <c r="B3442" t="s">
        <v>1</v>
      </c>
      <c r="C3442" t="s">
        <v>16230</v>
      </c>
      <c r="E3442" t="s">
        <v>16231</v>
      </c>
      <c r="F3442" t="s">
        <v>5</v>
      </c>
      <c r="G3442" t="s">
        <v>6</v>
      </c>
      <c r="L3442" t="s">
        <v>7</v>
      </c>
      <c r="M3442">
        <v>2023</v>
      </c>
      <c r="N3442" s="1">
        <v>45033</v>
      </c>
      <c r="O3442" t="s">
        <v>16232</v>
      </c>
      <c r="P3442">
        <v>1</v>
      </c>
      <c r="S3442">
        <v>217.95</v>
      </c>
      <c r="T3442">
        <v>250</v>
      </c>
      <c r="U3442">
        <v>190</v>
      </c>
      <c r="V3442" t="s">
        <v>9</v>
      </c>
      <c r="W3442" t="s">
        <v>10</v>
      </c>
      <c r="X3442" t="s">
        <v>11</v>
      </c>
      <c r="Y3442" t="s">
        <v>45</v>
      </c>
      <c r="AF3442" t="s">
        <v>13</v>
      </c>
      <c r="AH3442" t="str">
        <f>HYPERLINK("http://www.degruyter.com/isbn/9781474483551")</f>
        <v>http://www.degruyter.com/isbn/9781474483551</v>
      </c>
      <c r="AI3442" t="s">
        <v>16233</v>
      </c>
      <c r="AL3442" t="s">
        <v>638</v>
      </c>
      <c r="AM3442">
        <v>1</v>
      </c>
      <c r="AN3442" s="2">
        <v>9781474483537</v>
      </c>
    </row>
    <row r="3443" spans="1:40" x14ac:dyDescent="0.3">
      <c r="A3443" t="s">
        <v>16234</v>
      </c>
      <c r="B3443" t="s">
        <v>1</v>
      </c>
      <c r="C3443" t="s">
        <v>16235</v>
      </c>
      <c r="E3443" t="s">
        <v>16236</v>
      </c>
      <c r="F3443" t="s">
        <v>5</v>
      </c>
      <c r="G3443" t="s">
        <v>6</v>
      </c>
      <c r="L3443" t="s">
        <v>7</v>
      </c>
      <c r="M3443">
        <v>2023</v>
      </c>
      <c r="N3443" s="1">
        <v>45041</v>
      </c>
      <c r="O3443" t="s">
        <v>9017</v>
      </c>
      <c r="P3443">
        <v>1</v>
      </c>
      <c r="S3443">
        <v>347.95</v>
      </c>
      <c r="T3443">
        <v>400</v>
      </c>
      <c r="U3443">
        <v>310</v>
      </c>
      <c r="V3443" t="s">
        <v>20</v>
      </c>
      <c r="W3443" t="s">
        <v>21</v>
      </c>
      <c r="X3443" t="s">
        <v>22</v>
      </c>
      <c r="Y3443" t="s">
        <v>23</v>
      </c>
      <c r="AF3443" t="s">
        <v>13</v>
      </c>
      <c r="AH3443" t="str">
        <f>HYPERLINK("http://www.degruyter.com/isbn/9781399511551")</f>
        <v>http://www.degruyter.com/isbn/9781399511551</v>
      </c>
      <c r="AI3443" t="s">
        <v>15812</v>
      </c>
      <c r="AL3443" t="s">
        <v>638</v>
      </c>
      <c r="AM3443">
        <v>1</v>
      </c>
      <c r="AN3443" s="2">
        <v>9781399511537</v>
      </c>
    </row>
    <row r="3444" spans="1:40" x14ac:dyDescent="0.3">
      <c r="A3444" t="s">
        <v>16237</v>
      </c>
      <c r="B3444" t="s">
        <v>1</v>
      </c>
      <c r="C3444" t="s">
        <v>16238</v>
      </c>
      <c r="D3444" t="s">
        <v>16239</v>
      </c>
      <c r="E3444" t="s">
        <v>16240</v>
      </c>
      <c r="F3444" t="s">
        <v>5</v>
      </c>
      <c r="G3444" t="s">
        <v>6</v>
      </c>
      <c r="L3444" t="s">
        <v>7</v>
      </c>
      <c r="M3444">
        <v>2023</v>
      </c>
      <c r="N3444" s="1">
        <v>44985</v>
      </c>
      <c r="O3444" t="s">
        <v>16241</v>
      </c>
      <c r="P3444">
        <v>1</v>
      </c>
      <c r="Q3444" t="s">
        <v>14970</v>
      </c>
      <c r="S3444">
        <v>209.95</v>
      </c>
      <c r="T3444">
        <v>240</v>
      </c>
      <c r="U3444">
        <v>180</v>
      </c>
      <c r="V3444" t="s">
        <v>20</v>
      </c>
      <c r="W3444" t="s">
        <v>556</v>
      </c>
      <c r="X3444" t="s">
        <v>16242</v>
      </c>
      <c r="Y3444" t="s">
        <v>16243</v>
      </c>
      <c r="AF3444" t="s">
        <v>13</v>
      </c>
      <c r="AH3444" t="str">
        <f>HYPERLINK("http://www.degruyter.com/isbn/9781399508797")</f>
        <v>http://www.degruyter.com/isbn/9781399508797</v>
      </c>
      <c r="AI3444" t="s">
        <v>15812</v>
      </c>
      <c r="AL3444" t="s">
        <v>638</v>
      </c>
      <c r="AM3444">
        <v>1</v>
      </c>
      <c r="AN3444" s="2">
        <v>9781399508773</v>
      </c>
    </row>
    <row r="3445" spans="1:40" x14ac:dyDescent="0.3">
      <c r="A3445" t="s">
        <v>16244</v>
      </c>
      <c r="B3445" t="s">
        <v>1</v>
      </c>
      <c r="C3445" t="s">
        <v>16245</v>
      </c>
      <c r="D3445" t="s">
        <v>16246</v>
      </c>
      <c r="E3445" t="s">
        <v>16247</v>
      </c>
      <c r="F3445" t="s">
        <v>5</v>
      </c>
      <c r="G3445" t="s">
        <v>6</v>
      </c>
      <c r="L3445" t="s">
        <v>7</v>
      </c>
      <c r="M3445">
        <v>2023</v>
      </c>
      <c r="N3445" s="1">
        <v>45033</v>
      </c>
      <c r="O3445" t="s">
        <v>16248</v>
      </c>
      <c r="P3445">
        <v>1</v>
      </c>
      <c r="Q3445" t="s">
        <v>11881</v>
      </c>
      <c r="S3445">
        <v>209.95</v>
      </c>
      <c r="T3445">
        <v>240</v>
      </c>
      <c r="U3445">
        <v>180</v>
      </c>
      <c r="V3445" t="s">
        <v>20</v>
      </c>
      <c r="W3445" t="s">
        <v>21</v>
      </c>
      <c r="X3445" t="s">
        <v>839</v>
      </c>
      <c r="Y3445" t="s">
        <v>1850</v>
      </c>
      <c r="AF3445" t="s">
        <v>13</v>
      </c>
      <c r="AH3445" t="str">
        <f>HYPERLINK("http://www.degruyter.com/isbn/9781399500531")</f>
        <v>http://www.degruyter.com/isbn/9781399500531</v>
      </c>
      <c r="AI3445" t="s">
        <v>15812</v>
      </c>
      <c r="AL3445" t="s">
        <v>638</v>
      </c>
      <c r="AM3445">
        <v>1</v>
      </c>
      <c r="AN3445" s="2">
        <v>9781399500517</v>
      </c>
    </row>
    <row r="3446" spans="1:40" x14ac:dyDescent="0.3">
      <c r="A3446" t="s">
        <v>16249</v>
      </c>
      <c r="B3446" t="s">
        <v>1</v>
      </c>
      <c r="C3446" t="s">
        <v>16250</v>
      </c>
      <c r="D3446" t="s">
        <v>16251</v>
      </c>
      <c r="E3446" t="s">
        <v>16252</v>
      </c>
      <c r="F3446" t="s">
        <v>5</v>
      </c>
      <c r="G3446" t="s">
        <v>6</v>
      </c>
      <c r="L3446" t="s">
        <v>7</v>
      </c>
      <c r="M3446">
        <v>2023</v>
      </c>
      <c r="N3446" s="1">
        <v>44971</v>
      </c>
      <c r="O3446" t="s">
        <v>16253</v>
      </c>
      <c r="P3446">
        <v>1</v>
      </c>
      <c r="Q3446" t="s">
        <v>8081</v>
      </c>
      <c r="S3446">
        <v>217.95</v>
      </c>
      <c r="T3446">
        <v>250</v>
      </c>
      <c r="U3446">
        <v>190</v>
      </c>
      <c r="V3446" t="s">
        <v>20</v>
      </c>
      <c r="W3446" t="s">
        <v>21</v>
      </c>
      <c r="X3446" t="s">
        <v>22</v>
      </c>
      <c r="Y3446" t="s">
        <v>23</v>
      </c>
      <c r="AF3446" t="s">
        <v>13</v>
      </c>
      <c r="AH3446" t="str">
        <f>HYPERLINK("http://www.degruyter.com/isbn/9781399503914")</f>
        <v>http://www.degruyter.com/isbn/9781399503914</v>
      </c>
      <c r="AI3446" t="s">
        <v>15812</v>
      </c>
      <c r="AL3446" t="s">
        <v>638</v>
      </c>
      <c r="AM3446">
        <v>1</v>
      </c>
      <c r="AN3446" s="2">
        <v>9781399503891</v>
      </c>
    </row>
    <row r="3447" spans="1:40" x14ac:dyDescent="0.3">
      <c r="A3447" t="s">
        <v>16254</v>
      </c>
      <c r="B3447" t="s">
        <v>1</v>
      </c>
      <c r="C3447" t="s">
        <v>16255</v>
      </c>
      <c r="D3447" t="s">
        <v>16256</v>
      </c>
      <c r="E3447" t="s">
        <v>16257</v>
      </c>
      <c r="F3447" t="s">
        <v>5</v>
      </c>
      <c r="G3447" t="s">
        <v>6</v>
      </c>
      <c r="K3447" t="s">
        <v>15784</v>
      </c>
      <c r="L3447" t="s">
        <v>7</v>
      </c>
      <c r="M3447">
        <v>2023</v>
      </c>
      <c r="N3447" s="1">
        <v>44965</v>
      </c>
      <c r="O3447" t="s">
        <v>16258</v>
      </c>
      <c r="P3447">
        <v>1</v>
      </c>
      <c r="Q3447" t="s">
        <v>13460</v>
      </c>
      <c r="V3447" t="s">
        <v>20</v>
      </c>
      <c r="W3447" t="s">
        <v>556</v>
      </c>
      <c r="X3447" t="s">
        <v>902</v>
      </c>
      <c r="Y3447" t="s">
        <v>903</v>
      </c>
      <c r="AF3447" t="s">
        <v>13</v>
      </c>
      <c r="AH3447" t="str">
        <f>HYPERLINK("http://www.degruyter.com/isbn/9781474492089")</f>
        <v>http://www.degruyter.com/isbn/9781474492089</v>
      </c>
      <c r="AI3447" t="s">
        <v>15812</v>
      </c>
      <c r="AL3447" t="s">
        <v>638</v>
      </c>
      <c r="AM3447">
        <v>1</v>
      </c>
      <c r="AN3447" s="2"/>
    </row>
    <row r="3448" spans="1:40" x14ac:dyDescent="0.3">
      <c r="A3448" t="s">
        <v>16259</v>
      </c>
      <c r="B3448" t="s">
        <v>1</v>
      </c>
      <c r="C3448" t="s">
        <v>16260</v>
      </c>
      <c r="D3448" t="s">
        <v>16261</v>
      </c>
      <c r="E3448" t="s">
        <v>16262</v>
      </c>
      <c r="F3448" t="s">
        <v>5</v>
      </c>
      <c r="G3448" t="s">
        <v>6</v>
      </c>
      <c r="L3448" t="s">
        <v>7</v>
      </c>
      <c r="M3448">
        <v>2023</v>
      </c>
      <c r="N3448" s="1">
        <v>45002</v>
      </c>
      <c r="O3448" t="s">
        <v>16263</v>
      </c>
      <c r="P3448">
        <v>1</v>
      </c>
      <c r="S3448">
        <v>209.95</v>
      </c>
      <c r="T3448">
        <v>240</v>
      </c>
      <c r="U3448">
        <v>180</v>
      </c>
      <c r="V3448" t="s">
        <v>42</v>
      </c>
      <c r="W3448" t="s">
        <v>107</v>
      </c>
      <c r="X3448" t="s">
        <v>108</v>
      </c>
      <c r="Y3448" t="s">
        <v>109</v>
      </c>
      <c r="AF3448" t="s">
        <v>13</v>
      </c>
      <c r="AH3448" t="str">
        <f>HYPERLINK("http://www.degruyter.com/isbn/9781399503471")</f>
        <v>http://www.degruyter.com/isbn/9781399503471</v>
      </c>
      <c r="AI3448" t="s">
        <v>15732</v>
      </c>
      <c r="AL3448" t="s">
        <v>638</v>
      </c>
      <c r="AM3448">
        <v>1</v>
      </c>
      <c r="AN3448" s="2">
        <v>9781399503457</v>
      </c>
    </row>
    <row r="3449" spans="1:40" x14ac:dyDescent="0.3">
      <c r="A3449" t="s">
        <v>16264</v>
      </c>
      <c r="B3449" t="s">
        <v>1</v>
      </c>
      <c r="C3449" t="s">
        <v>16265</v>
      </c>
      <c r="D3449" t="s">
        <v>16266</v>
      </c>
      <c r="E3449" t="s">
        <v>16267</v>
      </c>
      <c r="F3449" t="s">
        <v>5</v>
      </c>
      <c r="G3449" t="s">
        <v>6</v>
      </c>
      <c r="L3449" t="s">
        <v>7</v>
      </c>
      <c r="M3449">
        <v>2023</v>
      </c>
      <c r="N3449" s="1">
        <v>44985</v>
      </c>
      <c r="O3449" t="s">
        <v>16268</v>
      </c>
      <c r="P3449">
        <v>1</v>
      </c>
      <c r="S3449">
        <v>209.95</v>
      </c>
      <c r="T3449">
        <v>240</v>
      </c>
      <c r="U3449">
        <v>180</v>
      </c>
      <c r="V3449" t="s">
        <v>79</v>
      </c>
      <c r="W3449" t="s">
        <v>123</v>
      </c>
      <c r="X3449" t="s">
        <v>123</v>
      </c>
      <c r="Y3449" t="s">
        <v>124</v>
      </c>
      <c r="AF3449" t="s">
        <v>13</v>
      </c>
      <c r="AH3449" t="str">
        <f>HYPERLINK("http://www.degruyter.com/isbn/9781399505574")</f>
        <v>http://www.degruyter.com/isbn/9781399505574</v>
      </c>
      <c r="AI3449" t="s">
        <v>15797</v>
      </c>
      <c r="AL3449" t="s">
        <v>638</v>
      </c>
      <c r="AM3449">
        <v>1</v>
      </c>
      <c r="AN3449" s="2">
        <v>9781399505550</v>
      </c>
    </row>
    <row r="3450" spans="1:40" x14ac:dyDescent="0.3">
      <c r="A3450" t="s">
        <v>16269</v>
      </c>
      <c r="B3450" t="s">
        <v>1</v>
      </c>
      <c r="C3450" t="s">
        <v>16270</v>
      </c>
      <c r="D3450" t="s">
        <v>16271</v>
      </c>
      <c r="E3450" t="s">
        <v>16272</v>
      </c>
      <c r="F3450" t="s">
        <v>5</v>
      </c>
      <c r="G3450" t="s">
        <v>6</v>
      </c>
      <c r="K3450" t="s">
        <v>923</v>
      </c>
      <c r="L3450" t="s">
        <v>7</v>
      </c>
      <c r="M3450">
        <v>2023</v>
      </c>
      <c r="N3450" s="1">
        <v>45033</v>
      </c>
      <c r="O3450" t="s">
        <v>398</v>
      </c>
      <c r="P3450">
        <v>1</v>
      </c>
      <c r="V3450" t="s">
        <v>58</v>
      </c>
      <c r="W3450" t="s">
        <v>1135</v>
      </c>
      <c r="X3450" t="s">
        <v>1136</v>
      </c>
      <c r="Y3450" t="s">
        <v>16273</v>
      </c>
      <c r="AF3450" t="s">
        <v>13</v>
      </c>
      <c r="AH3450" t="str">
        <f>HYPERLINK("http://www.degruyter.com/isbn/9781474498432")</f>
        <v>http://www.degruyter.com/isbn/9781474498432</v>
      </c>
      <c r="AI3450" t="s">
        <v>15819</v>
      </c>
      <c r="AL3450" t="s">
        <v>638</v>
      </c>
      <c r="AM3450">
        <v>1</v>
      </c>
      <c r="AN3450" s="2"/>
    </row>
    <row r="3451" spans="1:40" x14ac:dyDescent="0.3">
      <c r="A3451" t="s">
        <v>16274</v>
      </c>
      <c r="B3451" t="s">
        <v>1</v>
      </c>
      <c r="C3451" t="s">
        <v>16275</v>
      </c>
      <c r="D3451" t="s">
        <v>16276</v>
      </c>
      <c r="E3451" t="s">
        <v>16277</v>
      </c>
      <c r="F3451" t="s">
        <v>5</v>
      </c>
      <c r="G3451" t="s">
        <v>6</v>
      </c>
      <c r="L3451" t="s">
        <v>7</v>
      </c>
      <c r="M3451">
        <v>2023</v>
      </c>
      <c r="N3451" s="1">
        <v>45002</v>
      </c>
      <c r="O3451" t="s">
        <v>16278</v>
      </c>
      <c r="P3451">
        <v>1</v>
      </c>
      <c r="Q3451" t="s">
        <v>14970</v>
      </c>
      <c r="S3451">
        <v>209.95</v>
      </c>
      <c r="T3451">
        <v>240</v>
      </c>
      <c r="U3451">
        <v>180</v>
      </c>
      <c r="V3451" t="s">
        <v>20</v>
      </c>
      <c r="W3451" t="s">
        <v>21</v>
      </c>
      <c r="X3451" t="s">
        <v>1252</v>
      </c>
      <c r="Y3451" t="s">
        <v>16279</v>
      </c>
      <c r="AF3451" t="s">
        <v>13</v>
      </c>
      <c r="AH3451" t="str">
        <f>HYPERLINK("http://www.degruyter.com/isbn/9781399515375")</f>
        <v>http://www.degruyter.com/isbn/9781399515375</v>
      </c>
      <c r="AI3451" t="s">
        <v>15812</v>
      </c>
      <c r="AL3451" t="s">
        <v>638</v>
      </c>
      <c r="AM3451">
        <v>1</v>
      </c>
      <c r="AN3451" s="2">
        <v>9781399515351</v>
      </c>
    </row>
    <row r="3452" spans="1:40" x14ac:dyDescent="0.3">
      <c r="A3452" t="s">
        <v>16280</v>
      </c>
      <c r="B3452" t="s">
        <v>1</v>
      </c>
      <c r="C3452" t="s">
        <v>16281</v>
      </c>
      <c r="E3452" t="s">
        <v>16282</v>
      </c>
      <c r="F3452" t="s">
        <v>5</v>
      </c>
      <c r="G3452" t="s">
        <v>6</v>
      </c>
      <c r="L3452" t="s">
        <v>7</v>
      </c>
      <c r="M3452">
        <v>2023</v>
      </c>
      <c r="N3452" s="1">
        <v>44978</v>
      </c>
      <c r="O3452" t="s">
        <v>16283</v>
      </c>
      <c r="P3452">
        <v>1</v>
      </c>
      <c r="Q3452" t="s">
        <v>11881</v>
      </c>
      <c r="S3452">
        <v>209.95</v>
      </c>
      <c r="T3452">
        <v>240</v>
      </c>
      <c r="U3452">
        <v>180</v>
      </c>
      <c r="V3452" t="s">
        <v>58</v>
      </c>
      <c r="W3452" t="s">
        <v>59</v>
      </c>
      <c r="X3452" t="s">
        <v>931</v>
      </c>
      <c r="Y3452" t="s">
        <v>932</v>
      </c>
      <c r="AF3452" t="s">
        <v>13</v>
      </c>
      <c r="AH3452" t="str">
        <f>HYPERLINK("http://www.degruyter.com/isbn/9781399506915")</f>
        <v>http://www.degruyter.com/isbn/9781399506915</v>
      </c>
      <c r="AI3452" t="s">
        <v>15918</v>
      </c>
      <c r="AL3452" t="s">
        <v>638</v>
      </c>
      <c r="AM3452">
        <v>1</v>
      </c>
      <c r="AN3452" s="2">
        <v>9781399506892</v>
      </c>
    </row>
    <row r="3453" spans="1:40" x14ac:dyDescent="0.3">
      <c r="A3453" t="s">
        <v>16284</v>
      </c>
      <c r="B3453" t="s">
        <v>1</v>
      </c>
      <c r="C3453" t="s">
        <v>16285</v>
      </c>
      <c r="D3453" t="s">
        <v>16286</v>
      </c>
      <c r="E3453" t="s">
        <v>16287</v>
      </c>
      <c r="F3453" t="s">
        <v>5</v>
      </c>
      <c r="G3453" t="s">
        <v>6</v>
      </c>
      <c r="L3453" t="s">
        <v>7</v>
      </c>
      <c r="M3453">
        <v>2023</v>
      </c>
      <c r="N3453" s="1">
        <v>45064</v>
      </c>
      <c r="O3453" t="s">
        <v>16288</v>
      </c>
      <c r="P3453">
        <v>1</v>
      </c>
      <c r="Q3453" t="s">
        <v>7187</v>
      </c>
      <c r="S3453">
        <v>217.95</v>
      </c>
      <c r="T3453">
        <v>250</v>
      </c>
      <c r="U3453">
        <v>190</v>
      </c>
      <c r="V3453" t="s">
        <v>98</v>
      </c>
      <c r="W3453" t="s">
        <v>6450</v>
      </c>
      <c r="X3453" t="s">
        <v>6451</v>
      </c>
      <c r="Y3453" t="s">
        <v>6452</v>
      </c>
      <c r="AF3453" t="s">
        <v>13</v>
      </c>
      <c r="AH3453" t="str">
        <f>HYPERLINK("http://www.degruyter.com/isbn/9781474491778")</f>
        <v>http://www.degruyter.com/isbn/9781474491778</v>
      </c>
      <c r="AI3453" t="s">
        <v>16289</v>
      </c>
      <c r="AL3453" t="s">
        <v>638</v>
      </c>
      <c r="AM3453">
        <v>1</v>
      </c>
      <c r="AN3453" s="2">
        <v>9781474491754</v>
      </c>
    </row>
    <row r="3454" spans="1:40" x14ac:dyDescent="0.3">
      <c r="A3454" t="s">
        <v>16290</v>
      </c>
      <c r="B3454" t="s">
        <v>1</v>
      </c>
      <c r="C3454" t="s">
        <v>16291</v>
      </c>
      <c r="D3454" t="s">
        <v>16292</v>
      </c>
      <c r="E3454" t="s">
        <v>16293</v>
      </c>
      <c r="F3454" t="s">
        <v>5</v>
      </c>
      <c r="G3454" t="s">
        <v>6</v>
      </c>
      <c r="L3454" t="s">
        <v>7</v>
      </c>
      <c r="M3454">
        <v>2023</v>
      </c>
      <c r="N3454" s="1">
        <v>45002</v>
      </c>
      <c r="O3454" t="s">
        <v>16294</v>
      </c>
      <c r="P3454">
        <v>1</v>
      </c>
      <c r="S3454">
        <v>209.95</v>
      </c>
      <c r="T3454">
        <v>240</v>
      </c>
      <c r="U3454">
        <v>180</v>
      </c>
      <c r="V3454" t="s">
        <v>9</v>
      </c>
      <c r="W3454" t="s">
        <v>10</v>
      </c>
      <c r="X3454" t="s">
        <v>11</v>
      </c>
      <c r="Y3454" t="s">
        <v>45</v>
      </c>
      <c r="AF3454" t="s">
        <v>13</v>
      </c>
      <c r="AH3454" t="str">
        <f>HYPERLINK("http://www.degruyter.com/isbn/9781474499156")</f>
        <v>http://www.degruyter.com/isbn/9781474499156</v>
      </c>
      <c r="AI3454" t="s">
        <v>16233</v>
      </c>
      <c r="AL3454" t="s">
        <v>638</v>
      </c>
      <c r="AM3454">
        <v>1</v>
      </c>
      <c r="AN3454" s="2">
        <v>9781474499132</v>
      </c>
    </row>
    <row r="3455" spans="1:40" x14ac:dyDescent="0.3">
      <c r="A3455" t="s">
        <v>16295</v>
      </c>
      <c r="B3455" t="s">
        <v>1</v>
      </c>
      <c r="C3455" t="s">
        <v>16296</v>
      </c>
      <c r="E3455" t="s">
        <v>16297</v>
      </c>
      <c r="F3455" t="s">
        <v>5</v>
      </c>
      <c r="G3455" t="s">
        <v>6</v>
      </c>
      <c r="L3455" t="s">
        <v>7</v>
      </c>
      <c r="M3455">
        <v>2023</v>
      </c>
      <c r="N3455" s="1">
        <v>45086</v>
      </c>
      <c r="O3455" t="s">
        <v>16298</v>
      </c>
      <c r="P3455">
        <v>1</v>
      </c>
      <c r="Q3455" t="s">
        <v>9122</v>
      </c>
      <c r="S3455">
        <v>295.95</v>
      </c>
      <c r="T3455">
        <v>340</v>
      </c>
      <c r="U3455">
        <v>260</v>
      </c>
      <c r="V3455" t="s">
        <v>847</v>
      </c>
      <c r="W3455" t="s">
        <v>3102</v>
      </c>
      <c r="X3455" t="s">
        <v>3102</v>
      </c>
      <c r="Y3455" t="s">
        <v>6188</v>
      </c>
      <c r="AF3455" t="s">
        <v>13</v>
      </c>
      <c r="AH3455" t="str">
        <f>HYPERLINK("http://www.degruyter.com/isbn/9781474489461")</f>
        <v>http://www.degruyter.com/isbn/9781474489461</v>
      </c>
      <c r="AI3455" t="s">
        <v>16052</v>
      </c>
      <c r="AL3455" t="s">
        <v>638</v>
      </c>
      <c r="AM3455">
        <v>1</v>
      </c>
      <c r="AN3455" s="2">
        <v>9781474489447</v>
      </c>
    </row>
    <row r="3456" spans="1:40" x14ac:dyDescent="0.3">
      <c r="A3456" t="s">
        <v>16299</v>
      </c>
      <c r="B3456" t="s">
        <v>1</v>
      </c>
      <c r="C3456" t="s">
        <v>16300</v>
      </c>
      <c r="E3456" t="s">
        <v>16301</v>
      </c>
      <c r="F3456" t="s">
        <v>5</v>
      </c>
      <c r="G3456" t="s">
        <v>6</v>
      </c>
      <c r="L3456" t="s">
        <v>7</v>
      </c>
      <c r="M3456">
        <v>2023</v>
      </c>
      <c r="N3456" s="1">
        <v>45064</v>
      </c>
      <c r="O3456" t="s">
        <v>16302</v>
      </c>
      <c r="P3456">
        <v>1</v>
      </c>
      <c r="S3456">
        <v>209.95</v>
      </c>
      <c r="T3456">
        <v>240</v>
      </c>
      <c r="U3456">
        <v>180</v>
      </c>
      <c r="V3456" t="s">
        <v>79</v>
      </c>
      <c r="W3456" t="s">
        <v>123</v>
      </c>
      <c r="X3456" t="s">
        <v>123</v>
      </c>
      <c r="Y3456" t="s">
        <v>124</v>
      </c>
      <c r="AF3456" t="s">
        <v>13</v>
      </c>
      <c r="AH3456" t="str">
        <f>HYPERLINK("http://www.degruyter.com/isbn/9781399519793")</f>
        <v>http://www.degruyter.com/isbn/9781399519793</v>
      </c>
      <c r="AI3456" t="s">
        <v>16146</v>
      </c>
      <c r="AL3456" t="s">
        <v>638</v>
      </c>
      <c r="AM3456">
        <v>1</v>
      </c>
      <c r="AN3456" s="2">
        <v>9781399519779</v>
      </c>
    </row>
    <row r="3457" spans="1:40" x14ac:dyDescent="0.3">
      <c r="A3457" t="s">
        <v>16303</v>
      </c>
      <c r="B3457" t="s">
        <v>1</v>
      </c>
      <c r="C3457" t="s">
        <v>16304</v>
      </c>
      <c r="D3457" t="s">
        <v>16305</v>
      </c>
      <c r="E3457" t="s">
        <v>16306</v>
      </c>
      <c r="F3457" t="s">
        <v>5</v>
      </c>
      <c r="G3457" t="s">
        <v>6</v>
      </c>
      <c r="L3457" t="s">
        <v>7</v>
      </c>
      <c r="M3457">
        <v>2023</v>
      </c>
      <c r="N3457" s="1">
        <v>45058</v>
      </c>
      <c r="O3457" t="s">
        <v>16307</v>
      </c>
      <c r="P3457">
        <v>1</v>
      </c>
      <c r="Q3457" t="s">
        <v>13622</v>
      </c>
      <c r="S3457">
        <v>417.95</v>
      </c>
      <c r="T3457">
        <v>480</v>
      </c>
      <c r="U3457">
        <v>370</v>
      </c>
      <c r="V3457" t="s">
        <v>42</v>
      </c>
      <c r="W3457" t="s">
        <v>107</v>
      </c>
      <c r="X3457" t="s">
        <v>108</v>
      </c>
      <c r="Y3457" t="s">
        <v>952</v>
      </c>
      <c r="AF3457" t="s">
        <v>13</v>
      </c>
      <c r="AH3457" t="str">
        <f>HYPERLINK("http://www.degruyter.com/isbn/9781399500715")</f>
        <v>http://www.degruyter.com/isbn/9781399500715</v>
      </c>
      <c r="AI3457" t="s">
        <v>15732</v>
      </c>
      <c r="AL3457" t="s">
        <v>638</v>
      </c>
      <c r="AM3457">
        <v>1</v>
      </c>
      <c r="AN3457" s="2">
        <v>9781399500708</v>
      </c>
    </row>
    <row r="3458" spans="1:40" x14ac:dyDescent="0.3">
      <c r="A3458" t="s">
        <v>16308</v>
      </c>
      <c r="B3458" t="s">
        <v>1</v>
      </c>
      <c r="C3458" t="s">
        <v>16309</v>
      </c>
      <c r="E3458" t="s">
        <v>16310</v>
      </c>
      <c r="F3458" t="s">
        <v>5</v>
      </c>
      <c r="G3458" t="s">
        <v>6</v>
      </c>
      <c r="L3458" t="s">
        <v>7</v>
      </c>
      <c r="M3458">
        <v>2023</v>
      </c>
      <c r="N3458" s="1">
        <v>45072</v>
      </c>
      <c r="O3458" t="s">
        <v>16311</v>
      </c>
      <c r="P3458">
        <v>1</v>
      </c>
      <c r="Q3458" t="s">
        <v>14964</v>
      </c>
      <c r="S3458">
        <v>453.95</v>
      </c>
      <c r="T3458">
        <v>520</v>
      </c>
      <c r="U3458">
        <v>400</v>
      </c>
      <c r="V3458" t="s">
        <v>42</v>
      </c>
      <c r="W3458" t="s">
        <v>107</v>
      </c>
      <c r="X3458" t="s">
        <v>108</v>
      </c>
      <c r="Y3458" t="s">
        <v>952</v>
      </c>
      <c r="AF3458" t="s">
        <v>13</v>
      </c>
      <c r="AH3458" t="str">
        <f>HYPERLINK("http://www.degruyter.com/isbn/9781474456814")</f>
        <v>http://www.degruyter.com/isbn/9781474456814</v>
      </c>
      <c r="AI3458" t="s">
        <v>15732</v>
      </c>
      <c r="AL3458" t="s">
        <v>638</v>
      </c>
      <c r="AM3458">
        <v>1</v>
      </c>
      <c r="AN3458" s="2">
        <v>9781474456807</v>
      </c>
    </row>
    <row r="3459" spans="1:40" x14ac:dyDescent="0.3">
      <c r="A3459" t="s">
        <v>16312</v>
      </c>
      <c r="B3459" t="s">
        <v>1</v>
      </c>
      <c r="C3459" t="s">
        <v>16313</v>
      </c>
      <c r="D3459" t="s">
        <v>16314</v>
      </c>
      <c r="E3459" t="s">
        <v>16315</v>
      </c>
      <c r="F3459" t="s">
        <v>5</v>
      </c>
      <c r="G3459" t="s">
        <v>6</v>
      </c>
      <c r="L3459" t="s">
        <v>7</v>
      </c>
      <c r="M3459">
        <v>2023</v>
      </c>
      <c r="N3459" s="1">
        <v>45064</v>
      </c>
      <c r="O3459" t="s">
        <v>16316</v>
      </c>
      <c r="P3459">
        <v>1</v>
      </c>
      <c r="S3459">
        <v>331.95</v>
      </c>
      <c r="T3459">
        <v>380</v>
      </c>
      <c r="U3459">
        <v>290</v>
      </c>
      <c r="V3459" t="s">
        <v>847</v>
      </c>
      <c r="W3459" t="s">
        <v>3102</v>
      </c>
      <c r="X3459" t="s">
        <v>3102</v>
      </c>
      <c r="Y3459" t="s">
        <v>3103</v>
      </c>
      <c r="AF3459" t="s">
        <v>13</v>
      </c>
      <c r="AH3459" t="str">
        <f>HYPERLINK("http://www.degruyter.com/isbn/9781399505062")</f>
        <v>http://www.degruyter.com/isbn/9781399505062</v>
      </c>
      <c r="AI3459" t="s">
        <v>16052</v>
      </c>
      <c r="AL3459" t="s">
        <v>638</v>
      </c>
      <c r="AM3459">
        <v>1</v>
      </c>
      <c r="AN3459" s="2">
        <v>9781399505048</v>
      </c>
    </row>
    <row r="3460" spans="1:40" x14ac:dyDescent="0.3">
      <c r="A3460" t="s">
        <v>16317</v>
      </c>
      <c r="B3460" t="s">
        <v>1</v>
      </c>
      <c r="C3460" t="s">
        <v>16318</v>
      </c>
      <c r="D3460" t="s">
        <v>16319</v>
      </c>
      <c r="E3460" t="s">
        <v>16320</v>
      </c>
      <c r="F3460" t="s">
        <v>5</v>
      </c>
      <c r="G3460" t="s">
        <v>6</v>
      </c>
      <c r="L3460" t="s">
        <v>7</v>
      </c>
      <c r="M3460">
        <v>2023</v>
      </c>
      <c r="N3460" s="1">
        <v>45064</v>
      </c>
      <c r="O3460" t="s">
        <v>1094</v>
      </c>
      <c r="P3460">
        <v>1</v>
      </c>
      <c r="S3460">
        <v>209.95</v>
      </c>
      <c r="T3460">
        <v>240</v>
      </c>
      <c r="U3460">
        <v>180</v>
      </c>
      <c r="V3460" t="s">
        <v>268</v>
      </c>
      <c r="W3460" t="s">
        <v>16321</v>
      </c>
      <c r="X3460" t="s">
        <v>16322</v>
      </c>
      <c r="Y3460" t="s">
        <v>2882</v>
      </c>
      <c r="AF3460" t="s">
        <v>13</v>
      </c>
      <c r="AH3460" t="str">
        <f>HYPERLINK("http://www.degruyter.com/isbn/9781399514859")</f>
        <v>http://www.degruyter.com/isbn/9781399514859</v>
      </c>
      <c r="AI3460" t="s">
        <v>16323</v>
      </c>
      <c r="AL3460" t="s">
        <v>638</v>
      </c>
      <c r="AM3460">
        <v>1</v>
      </c>
      <c r="AN3460" s="2">
        <v>9781399514835</v>
      </c>
    </row>
    <row r="3461" spans="1:40" x14ac:dyDescent="0.3">
      <c r="A3461" t="s">
        <v>16324</v>
      </c>
      <c r="B3461" t="s">
        <v>1</v>
      </c>
      <c r="C3461" t="s">
        <v>16325</v>
      </c>
      <c r="E3461" t="s">
        <v>16326</v>
      </c>
      <c r="F3461" t="s">
        <v>5</v>
      </c>
      <c r="G3461" t="s">
        <v>6</v>
      </c>
      <c r="L3461" t="s">
        <v>7</v>
      </c>
      <c r="M3461">
        <v>2023</v>
      </c>
      <c r="N3461" s="1">
        <v>45002</v>
      </c>
      <c r="O3461" t="s">
        <v>16327</v>
      </c>
      <c r="P3461">
        <v>1</v>
      </c>
      <c r="Q3461" t="s">
        <v>6659</v>
      </c>
      <c r="S3461">
        <v>227.95</v>
      </c>
      <c r="T3461">
        <v>260</v>
      </c>
      <c r="U3461">
        <v>200</v>
      </c>
      <c r="V3461" t="s">
        <v>20</v>
      </c>
      <c r="W3461" t="s">
        <v>21</v>
      </c>
      <c r="X3461" t="s">
        <v>575</v>
      </c>
      <c r="Y3461" t="s">
        <v>576</v>
      </c>
      <c r="AF3461" t="s">
        <v>13</v>
      </c>
      <c r="AH3461" t="str">
        <f>HYPERLINK("http://www.degruyter.com/isbn/9781399503877")</f>
        <v>http://www.degruyter.com/isbn/9781399503877</v>
      </c>
      <c r="AI3461" t="s">
        <v>15812</v>
      </c>
      <c r="AL3461" t="s">
        <v>638</v>
      </c>
      <c r="AM3461">
        <v>1</v>
      </c>
      <c r="AN3461" s="2">
        <v>9781399503853</v>
      </c>
    </row>
    <row r="3462" spans="1:40" x14ac:dyDescent="0.3">
      <c r="A3462" t="s">
        <v>16328</v>
      </c>
      <c r="B3462" t="s">
        <v>1</v>
      </c>
      <c r="C3462" t="s">
        <v>16329</v>
      </c>
      <c r="E3462" t="s">
        <v>16330</v>
      </c>
      <c r="F3462" t="s">
        <v>5</v>
      </c>
      <c r="G3462" t="s">
        <v>6</v>
      </c>
      <c r="L3462" t="s">
        <v>7</v>
      </c>
      <c r="M3462">
        <v>2023</v>
      </c>
      <c r="N3462" s="1">
        <v>45064</v>
      </c>
      <c r="O3462" t="s">
        <v>16331</v>
      </c>
      <c r="P3462">
        <v>1</v>
      </c>
      <c r="Q3462" t="s">
        <v>14688</v>
      </c>
      <c r="S3462">
        <v>209.95</v>
      </c>
      <c r="T3462">
        <v>240</v>
      </c>
      <c r="U3462">
        <v>180</v>
      </c>
      <c r="V3462" t="s">
        <v>20</v>
      </c>
      <c r="W3462" t="s">
        <v>21</v>
      </c>
      <c r="X3462" t="s">
        <v>839</v>
      </c>
      <c r="Y3462" t="s">
        <v>840</v>
      </c>
      <c r="AF3462" t="s">
        <v>13</v>
      </c>
      <c r="AH3462" t="str">
        <f>HYPERLINK("http://www.degruyter.com/isbn/9781399512398")</f>
        <v>http://www.degruyter.com/isbn/9781399512398</v>
      </c>
      <c r="AI3462" t="s">
        <v>15812</v>
      </c>
      <c r="AL3462" t="s">
        <v>638</v>
      </c>
      <c r="AM3462">
        <v>1</v>
      </c>
      <c r="AN3462" s="2">
        <v>9781399512374</v>
      </c>
    </row>
    <row r="3463" spans="1:40" x14ac:dyDescent="0.3">
      <c r="A3463" t="s">
        <v>16332</v>
      </c>
      <c r="B3463" t="s">
        <v>1</v>
      </c>
      <c r="C3463" t="s">
        <v>16333</v>
      </c>
      <c r="D3463" t="s">
        <v>16334</v>
      </c>
      <c r="E3463" t="s">
        <v>16335</v>
      </c>
      <c r="F3463" t="s">
        <v>5</v>
      </c>
      <c r="G3463" t="s">
        <v>6</v>
      </c>
      <c r="L3463" t="s">
        <v>7</v>
      </c>
      <c r="M3463">
        <v>2023</v>
      </c>
      <c r="N3463" s="1">
        <v>45033</v>
      </c>
      <c r="O3463" t="s">
        <v>16336</v>
      </c>
      <c r="P3463">
        <v>1</v>
      </c>
      <c r="Q3463" t="s">
        <v>8081</v>
      </c>
      <c r="S3463">
        <v>209.95</v>
      </c>
      <c r="T3463">
        <v>240</v>
      </c>
      <c r="U3463">
        <v>180</v>
      </c>
      <c r="V3463" t="s">
        <v>20</v>
      </c>
      <c r="W3463" t="s">
        <v>21</v>
      </c>
      <c r="X3463" t="s">
        <v>3919</v>
      </c>
      <c r="Y3463" t="s">
        <v>16337</v>
      </c>
      <c r="AF3463" t="s">
        <v>13</v>
      </c>
      <c r="AH3463" t="str">
        <f>HYPERLINK("http://www.degruyter.com/isbn/9781399517430")</f>
        <v>http://www.degruyter.com/isbn/9781399517430</v>
      </c>
      <c r="AI3463" t="s">
        <v>15812</v>
      </c>
      <c r="AL3463" t="s">
        <v>638</v>
      </c>
      <c r="AM3463">
        <v>1</v>
      </c>
      <c r="AN3463" s="2">
        <v>9781399517416</v>
      </c>
    </row>
    <row r="3464" spans="1:40" x14ac:dyDescent="0.3">
      <c r="A3464" t="s">
        <v>16338</v>
      </c>
      <c r="B3464" t="s">
        <v>1</v>
      </c>
      <c r="C3464" t="s">
        <v>16339</v>
      </c>
      <c r="D3464" t="s">
        <v>16340</v>
      </c>
      <c r="E3464" t="s">
        <v>16341</v>
      </c>
      <c r="F3464" t="s">
        <v>5</v>
      </c>
      <c r="G3464" t="s">
        <v>6</v>
      </c>
      <c r="L3464" t="s">
        <v>7</v>
      </c>
      <c r="M3464">
        <v>2023</v>
      </c>
      <c r="N3464" s="1">
        <v>45086</v>
      </c>
      <c r="O3464" t="s">
        <v>16342</v>
      </c>
      <c r="P3464">
        <v>1</v>
      </c>
      <c r="Q3464" t="s">
        <v>6858</v>
      </c>
      <c r="S3464">
        <v>209.95</v>
      </c>
      <c r="T3464">
        <v>240</v>
      </c>
      <c r="U3464">
        <v>180</v>
      </c>
      <c r="V3464" t="s">
        <v>58</v>
      </c>
      <c r="W3464" t="s">
        <v>59</v>
      </c>
      <c r="X3464" t="s">
        <v>931</v>
      </c>
      <c r="Y3464" t="s">
        <v>932</v>
      </c>
      <c r="AF3464" t="s">
        <v>13</v>
      </c>
      <c r="AH3464" t="str">
        <f>HYPERLINK("http://www.degruyter.com/isbn/9781474492850")</f>
        <v>http://www.degruyter.com/isbn/9781474492850</v>
      </c>
      <c r="AI3464" t="s">
        <v>15918</v>
      </c>
      <c r="AL3464" t="s">
        <v>638</v>
      </c>
      <c r="AM3464">
        <v>1</v>
      </c>
      <c r="AN3464" s="2">
        <v>9781399500944</v>
      </c>
    </row>
    <row r="3465" spans="1:40" x14ac:dyDescent="0.3">
      <c r="A3465" t="s">
        <v>16343</v>
      </c>
      <c r="B3465" t="s">
        <v>1</v>
      </c>
      <c r="C3465" t="s">
        <v>16344</v>
      </c>
      <c r="D3465" t="s">
        <v>16345</v>
      </c>
      <c r="E3465" t="s">
        <v>16346</v>
      </c>
      <c r="F3465" t="s">
        <v>5</v>
      </c>
      <c r="G3465" t="s">
        <v>6</v>
      </c>
      <c r="L3465" t="s">
        <v>7</v>
      </c>
      <c r="M3465">
        <v>2023</v>
      </c>
      <c r="N3465" s="1">
        <v>45033</v>
      </c>
      <c r="O3465" t="s">
        <v>16347</v>
      </c>
      <c r="P3465">
        <v>1</v>
      </c>
      <c r="Q3465" t="s">
        <v>8607</v>
      </c>
      <c r="S3465">
        <v>209.95</v>
      </c>
      <c r="T3465">
        <v>240</v>
      </c>
      <c r="U3465">
        <v>180</v>
      </c>
      <c r="V3465" t="s">
        <v>20</v>
      </c>
      <c r="W3465" t="s">
        <v>470</v>
      </c>
      <c r="X3465" t="s">
        <v>1269</v>
      </c>
      <c r="Y3465" t="s">
        <v>1705</v>
      </c>
      <c r="AF3465" t="s">
        <v>13</v>
      </c>
      <c r="AH3465" t="str">
        <f>HYPERLINK("http://www.degruyter.com/isbn/9781399500104")</f>
        <v>http://www.degruyter.com/isbn/9781399500104</v>
      </c>
      <c r="AI3465" t="s">
        <v>15812</v>
      </c>
      <c r="AL3465" t="s">
        <v>638</v>
      </c>
      <c r="AM3465">
        <v>1</v>
      </c>
      <c r="AN3465" s="2">
        <v>9781399500081</v>
      </c>
    </row>
    <row r="3466" spans="1:40" x14ac:dyDescent="0.3">
      <c r="A3466" t="s">
        <v>16348</v>
      </c>
      <c r="B3466" t="s">
        <v>1</v>
      </c>
      <c r="C3466" t="s">
        <v>16349</v>
      </c>
      <c r="E3466" t="s">
        <v>16350</v>
      </c>
      <c r="F3466" t="s">
        <v>5</v>
      </c>
      <c r="G3466" t="s">
        <v>6</v>
      </c>
      <c r="L3466" t="s">
        <v>7</v>
      </c>
      <c r="M3466">
        <v>2023</v>
      </c>
      <c r="N3466" s="1">
        <v>45041</v>
      </c>
      <c r="O3466" t="s">
        <v>16351</v>
      </c>
      <c r="P3466">
        <v>1</v>
      </c>
      <c r="Q3466" t="s">
        <v>8942</v>
      </c>
      <c r="S3466">
        <v>209.95</v>
      </c>
      <c r="T3466">
        <v>240</v>
      </c>
      <c r="U3466">
        <v>180</v>
      </c>
      <c r="V3466" t="s">
        <v>79</v>
      </c>
      <c r="W3466" t="s">
        <v>734</v>
      </c>
      <c r="X3466" t="s">
        <v>734</v>
      </c>
      <c r="Y3466" t="s">
        <v>735</v>
      </c>
      <c r="AF3466" t="s">
        <v>13</v>
      </c>
      <c r="AH3466" t="str">
        <f>HYPERLINK("http://www.degruyter.com/isbn/9781474489119")</f>
        <v>http://www.degruyter.com/isbn/9781474489119</v>
      </c>
      <c r="AI3466" t="s">
        <v>15797</v>
      </c>
      <c r="AL3466" t="s">
        <v>638</v>
      </c>
      <c r="AM3466">
        <v>1</v>
      </c>
      <c r="AN3466" s="2">
        <v>9781474489089</v>
      </c>
    </row>
    <row r="3467" spans="1:40" x14ac:dyDescent="0.3">
      <c r="A3467" t="s">
        <v>16352</v>
      </c>
      <c r="B3467" t="s">
        <v>1</v>
      </c>
      <c r="C3467" t="s">
        <v>16353</v>
      </c>
      <c r="D3467" t="s">
        <v>16354</v>
      </c>
      <c r="E3467" t="s">
        <v>16355</v>
      </c>
      <c r="F3467" t="s">
        <v>5</v>
      </c>
      <c r="G3467" t="s">
        <v>6</v>
      </c>
      <c r="L3467" t="s">
        <v>7</v>
      </c>
      <c r="M3467">
        <v>2023</v>
      </c>
      <c r="N3467" s="1">
        <v>45016</v>
      </c>
      <c r="O3467" t="s">
        <v>16356</v>
      </c>
      <c r="P3467">
        <v>1</v>
      </c>
      <c r="Q3467" t="s">
        <v>12961</v>
      </c>
      <c r="S3467">
        <v>217.95</v>
      </c>
      <c r="T3467">
        <v>250</v>
      </c>
      <c r="U3467">
        <v>190</v>
      </c>
      <c r="V3467" t="s">
        <v>42</v>
      </c>
      <c r="W3467" t="s">
        <v>43</v>
      </c>
      <c r="X3467" t="s">
        <v>1061</v>
      </c>
      <c r="Y3467" t="s">
        <v>1339</v>
      </c>
      <c r="AF3467" t="s">
        <v>13</v>
      </c>
      <c r="AH3467" t="str">
        <f>HYPERLINK("http://www.degruyter.com/isbn/9781399511438")</f>
        <v>http://www.degruyter.com/isbn/9781399511438</v>
      </c>
      <c r="AI3467" t="s">
        <v>15812</v>
      </c>
      <c r="AL3467" t="s">
        <v>638</v>
      </c>
      <c r="AM3467">
        <v>1</v>
      </c>
      <c r="AN3467" s="2">
        <v>9781399511414</v>
      </c>
    </row>
    <row r="3468" spans="1:40" x14ac:dyDescent="0.3">
      <c r="A3468" t="s">
        <v>16357</v>
      </c>
      <c r="B3468" t="s">
        <v>1</v>
      </c>
      <c r="C3468" t="s">
        <v>16358</v>
      </c>
      <c r="E3468" t="s">
        <v>16359</v>
      </c>
      <c r="F3468" t="s">
        <v>5</v>
      </c>
      <c r="G3468" t="s">
        <v>6</v>
      </c>
      <c r="L3468" t="s">
        <v>7</v>
      </c>
      <c r="M3468">
        <v>2023</v>
      </c>
      <c r="N3468" s="1">
        <v>45063</v>
      </c>
      <c r="O3468" t="s">
        <v>16360</v>
      </c>
      <c r="P3468">
        <v>1</v>
      </c>
      <c r="Q3468" t="s">
        <v>16361</v>
      </c>
      <c r="S3468">
        <v>217.95</v>
      </c>
      <c r="T3468">
        <v>250</v>
      </c>
      <c r="U3468">
        <v>190</v>
      </c>
      <c r="V3468" t="s">
        <v>20</v>
      </c>
      <c r="W3468" t="s">
        <v>21</v>
      </c>
      <c r="X3468" t="s">
        <v>839</v>
      </c>
      <c r="Y3468" t="s">
        <v>1850</v>
      </c>
      <c r="AF3468" t="s">
        <v>13</v>
      </c>
      <c r="AH3468" t="str">
        <f>HYPERLINK("http://www.degruyter.com/isbn/9781399512114")</f>
        <v>http://www.degruyter.com/isbn/9781399512114</v>
      </c>
      <c r="AI3468" t="s">
        <v>15812</v>
      </c>
      <c r="AL3468" t="s">
        <v>638</v>
      </c>
      <c r="AM3468">
        <v>1</v>
      </c>
      <c r="AN3468" s="2">
        <v>9781399512091</v>
      </c>
    </row>
    <row r="3469" spans="1:40" x14ac:dyDescent="0.3">
      <c r="A3469" t="s">
        <v>16362</v>
      </c>
      <c r="B3469" t="s">
        <v>1</v>
      </c>
      <c r="C3469" t="s">
        <v>16363</v>
      </c>
      <c r="D3469" t="s">
        <v>16364</v>
      </c>
      <c r="E3469" t="s">
        <v>16365</v>
      </c>
      <c r="F3469" t="s">
        <v>5</v>
      </c>
      <c r="G3469" t="s">
        <v>6</v>
      </c>
      <c r="L3469" t="s">
        <v>7</v>
      </c>
      <c r="M3469">
        <v>2023</v>
      </c>
      <c r="N3469" s="1">
        <v>45002</v>
      </c>
      <c r="O3469" t="s">
        <v>16366</v>
      </c>
      <c r="P3469">
        <v>1</v>
      </c>
      <c r="S3469">
        <v>217.95</v>
      </c>
      <c r="T3469">
        <v>250</v>
      </c>
      <c r="U3469">
        <v>190</v>
      </c>
      <c r="V3469" t="s">
        <v>9</v>
      </c>
      <c r="W3469" t="s">
        <v>10</v>
      </c>
      <c r="X3469" t="s">
        <v>11</v>
      </c>
      <c r="Y3469" t="s">
        <v>52</v>
      </c>
      <c r="AF3469" t="s">
        <v>13</v>
      </c>
      <c r="AH3469" t="str">
        <f>HYPERLINK("http://www.degruyter.com/isbn/9781399501125")</f>
        <v>http://www.degruyter.com/isbn/9781399501125</v>
      </c>
      <c r="AI3469" t="s">
        <v>15325</v>
      </c>
      <c r="AJ3469" t="s">
        <v>35</v>
      </c>
      <c r="AL3469" t="s">
        <v>638</v>
      </c>
      <c r="AM3469">
        <v>1</v>
      </c>
      <c r="AN3469" s="2">
        <v>9781399501101</v>
      </c>
    </row>
    <row r="3470" spans="1:40" x14ac:dyDescent="0.3">
      <c r="A3470" t="s">
        <v>16367</v>
      </c>
      <c r="B3470" t="s">
        <v>1</v>
      </c>
      <c r="C3470" t="s">
        <v>16368</v>
      </c>
      <c r="D3470" t="s">
        <v>16369</v>
      </c>
      <c r="E3470" t="s">
        <v>16370</v>
      </c>
      <c r="F3470" t="s">
        <v>5</v>
      </c>
      <c r="G3470" t="s">
        <v>6</v>
      </c>
      <c r="L3470" t="s">
        <v>7</v>
      </c>
      <c r="M3470">
        <v>2023</v>
      </c>
      <c r="N3470" s="1">
        <v>44985</v>
      </c>
      <c r="O3470" t="s">
        <v>16371</v>
      </c>
      <c r="P3470">
        <v>1</v>
      </c>
      <c r="Q3470" t="s">
        <v>13460</v>
      </c>
      <c r="S3470">
        <v>217.95</v>
      </c>
      <c r="T3470">
        <v>250</v>
      </c>
      <c r="U3470">
        <v>190</v>
      </c>
      <c r="V3470" t="s">
        <v>42</v>
      </c>
      <c r="W3470" t="s">
        <v>161</v>
      </c>
      <c r="X3470" t="s">
        <v>4261</v>
      </c>
      <c r="Y3470" t="s">
        <v>393</v>
      </c>
      <c r="AF3470" t="s">
        <v>13</v>
      </c>
      <c r="AH3470" t="str">
        <f>HYPERLINK("http://www.degruyter.com/isbn/9781474475143")</f>
        <v>http://www.degruyter.com/isbn/9781474475143</v>
      </c>
      <c r="AI3470" t="s">
        <v>15923</v>
      </c>
      <c r="AL3470" t="s">
        <v>638</v>
      </c>
      <c r="AM3470">
        <v>1</v>
      </c>
      <c r="AN3470" s="2">
        <v>9781474475112</v>
      </c>
    </row>
    <row r="3471" spans="1:40" x14ac:dyDescent="0.3">
      <c r="A3471" t="s">
        <v>16372</v>
      </c>
      <c r="B3471" t="s">
        <v>1</v>
      </c>
      <c r="C3471" t="s">
        <v>16373</v>
      </c>
      <c r="E3471" t="s">
        <v>16374</v>
      </c>
      <c r="F3471" t="s">
        <v>5</v>
      </c>
      <c r="G3471" t="s">
        <v>6</v>
      </c>
      <c r="L3471" t="s">
        <v>7</v>
      </c>
      <c r="M3471">
        <v>2023</v>
      </c>
      <c r="N3471" s="1">
        <v>45002</v>
      </c>
      <c r="O3471" t="s">
        <v>16375</v>
      </c>
      <c r="P3471">
        <v>1</v>
      </c>
      <c r="Q3471" t="s">
        <v>6665</v>
      </c>
      <c r="S3471">
        <v>209.95</v>
      </c>
      <c r="T3471">
        <v>240</v>
      </c>
      <c r="U3471">
        <v>180</v>
      </c>
      <c r="V3471" t="s">
        <v>9</v>
      </c>
      <c r="W3471" t="s">
        <v>10</v>
      </c>
      <c r="X3471" t="s">
        <v>11</v>
      </c>
      <c r="Y3471" t="s">
        <v>45</v>
      </c>
      <c r="AF3471" t="s">
        <v>13</v>
      </c>
      <c r="AH3471" t="str">
        <f>HYPERLINK("http://www.degruyter.com/isbn/9780748693078")</f>
        <v>http://www.degruyter.com/isbn/9780748693078</v>
      </c>
      <c r="AI3471" t="s">
        <v>16233</v>
      </c>
      <c r="AL3471" t="s">
        <v>638</v>
      </c>
      <c r="AM3471">
        <v>1</v>
      </c>
      <c r="AN3471" s="2">
        <v>9780748693061</v>
      </c>
    </row>
    <row r="3472" spans="1:40" x14ac:dyDescent="0.3">
      <c r="A3472" t="s">
        <v>16376</v>
      </c>
      <c r="B3472" t="s">
        <v>1</v>
      </c>
      <c r="C3472" t="s">
        <v>16377</v>
      </c>
      <c r="D3472" t="s">
        <v>16378</v>
      </c>
      <c r="E3472" t="s">
        <v>16379</v>
      </c>
      <c r="F3472" t="s">
        <v>5</v>
      </c>
      <c r="G3472" t="s">
        <v>6</v>
      </c>
      <c r="L3472" t="s">
        <v>7</v>
      </c>
      <c r="M3472">
        <v>2023</v>
      </c>
      <c r="N3472" s="1">
        <v>45064</v>
      </c>
      <c r="O3472" t="s">
        <v>16380</v>
      </c>
      <c r="P3472">
        <v>1</v>
      </c>
      <c r="S3472">
        <v>209.95</v>
      </c>
      <c r="T3472">
        <v>240</v>
      </c>
      <c r="U3472">
        <v>180</v>
      </c>
      <c r="V3472" t="s">
        <v>20</v>
      </c>
      <c r="W3472" t="s">
        <v>556</v>
      </c>
      <c r="X3472" t="s">
        <v>1540</v>
      </c>
      <c r="Y3472" t="s">
        <v>2706</v>
      </c>
      <c r="AF3472" t="s">
        <v>13</v>
      </c>
      <c r="AH3472" t="str">
        <f>HYPERLINK("http://www.degruyter.com/isbn/9781399510004")</f>
        <v>http://www.degruyter.com/isbn/9781399510004</v>
      </c>
      <c r="AI3472" t="s">
        <v>15812</v>
      </c>
      <c r="AL3472" t="s">
        <v>638</v>
      </c>
      <c r="AM3472">
        <v>1</v>
      </c>
      <c r="AN3472" s="2">
        <v>9781399509985</v>
      </c>
    </row>
    <row r="3473" spans="1:40" x14ac:dyDescent="0.3">
      <c r="A3473" t="s">
        <v>16381</v>
      </c>
      <c r="B3473" t="s">
        <v>1</v>
      </c>
      <c r="C3473" t="s">
        <v>16382</v>
      </c>
      <c r="D3473" t="s">
        <v>16383</v>
      </c>
      <c r="E3473" t="s">
        <v>16384</v>
      </c>
      <c r="F3473" t="s">
        <v>5</v>
      </c>
      <c r="G3473" t="s">
        <v>6</v>
      </c>
      <c r="L3473" t="s">
        <v>7</v>
      </c>
      <c r="M3473">
        <v>2023</v>
      </c>
      <c r="N3473" s="1">
        <v>45041</v>
      </c>
      <c r="O3473" t="s">
        <v>16385</v>
      </c>
      <c r="P3473">
        <v>1</v>
      </c>
      <c r="S3473">
        <v>243.95</v>
      </c>
      <c r="T3473">
        <v>280</v>
      </c>
      <c r="U3473">
        <v>210</v>
      </c>
      <c r="V3473" t="s">
        <v>79</v>
      </c>
      <c r="W3473" t="s">
        <v>783</v>
      </c>
      <c r="X3473" t="s">
        <v>783</v>
      </c>
      <c r="Y3473" t="s">
        <v>12691</v>
      </c>
      <c r="AF3473" t="s">
        <v>13</v>
      </c>
      <c r="AH3473" t="str">
        <f>HYPERLINK("http://www.degruyter.com/isbn/9781474457804")</f>
        <v>http://www.degruyter.com/isbn/9781474457804</v>
      </c>
      <c r="AI3473" t="s">
        <v>16146</v>
      </c>
      <c r="AL3473" t="s">
        <v>638</v>
      </c>
      <c r="AM3473">
        <v>1</v>
      </c>
      <c r="AN3473" s="2">
        <v>9781474457774</v>
      </c>
    </row>
    <row r="3474" spans="1:40" x14ac:dyDescent="0.3">
      <c r="A3474" t="s">
        <v>16386</v>
      </c>
      <c r="B3474" t="s">
        <v>1</v>
      </c>
      <c r="C3474" t="s">
        <v>16387</v>
      </c>
      <c r="E3474" t="s">
        <v>16388</v>
      </c>
      <c r="F3474" t="s">
        <v>5</v>
      </c>
      <c r="G3474" t="s">
        <v>6</v>
      </c>
      <c r="L3474" t="s">
        <v>7</v>
      </c>
      <c r="M3474">
        <v>2022</v>
      </c>
      <c r="N3474" s="1">
        <v>44895</v>
      </c>
      <c r="O3474" t="s">
        <v>1861</v>
      </c>
      <c r="P3474">
        <v>1</v>
      </c>
      <c r="Q3474" t="s">
        <v>8942</v>
      </c>
      <c r="S3474">
        <v>209.95</v>
      </c>
      <c r="T3474">
        <v>240</v>
      </c>
      <c r="U3474">
        <v>180</v>
      </c>
      <c r="V3474" t="s">
        <v>305</v>
      </c>
      <c r="W3474" t="s">
        <v>650</v>
      </c>
      <c r="X3474" t="s">
        <v>650</v>
      </c>
      <c r="Y3474" t="s">
        <v>651</v>
      </c>
      <c r="AF3474" t="s">
        <v>13</v>
      </c>
      <c r="AH3474" t="str">
        <f>HYPERLINK("http://www.degruyter.com/isbn/9781399501019")</f>
        <v>http://www.degruyter.com/isbn/9781399501019</v>
      </c>
      <c r="AI3474" t="s">
        <v>15251</v>
      </c>
      <c r="AL3474" t="s">
        <v>308</v>
      </c>
      <c r="AM3474">
        <v>1</v>
      </c>
      <c r="AN3474" s="2">
        <v>9781399500982</v>
      </c>
    </row>
    <row r="3475" spans="1:40" x14ac:dyDescent="0.3">
      <c r="A3475" t="s">
        <v>16389</v>
      </c>
      <c r="B3475" t="s">
        <v>1</v>
      </c>
      <c r="C3475" t="s">
        <v>16390</v>
      </c>
      <c r="E3475" t="s">
        <v>16391</v>
      </c>
      <c r="F3475" t="s">
        <v>5</v>
      </c>
      <c r="G3475" t="s">
        <v>6</v>
      </c>
      <c r="L3475" t="s">
        <v>7</v>
      </c>
      <c r="M3475">
        <v>2023</v>
      </c>
      <c r="N3475" s="1">
        <v>45033</v>
      </c>
      <c r="O3475" t="s">
        <v>16392</v>
      </c>
      <c r="P3475">
        <v>1</v>
      </c>
      <c r="Q3475" t="s">
        <v>15661</v>
      </c>
      <c r="S3475">
        <v>217.95</v>
      </c>
      <c r="T3475">
        <v>250</v>
      </c>
      <c r="U3475">
        <v>190</v>
      </c>
      <c r="V3475" t="s">
        <v>42</v>
      </c>
      <c r="W3475" t="s">
        <v>290</v>
      </c>
      <c r="X3475" t="s">
        <v>290</v>
      </c>
      <c r="Y3475" t="s">
        <v>515</v>
      </c>
      <c r="AF3475" t="s">
        <v>13</v>
      </c>
      <c r="AH3475" t="str">
        <f>HYPERLINK("http://www.degruyter.com/isbn/9781474448413")</f>
        <v>http://www.degruyter.com/isbn/9781474448413</v>
      </c>
      <c r="AI3475" t="s">
        <v>15732</v>
      </c>
      <c r="AL3475" t="s">
        <v>638</v>
      </c>
      <c r="AM3475">
        <v>1</v>
      </c>
      <c r="AN3475" s="2">
        <v>9781474448390</v>
      </c>
    </row>
    <row r="3476" spans="1:40" x14ac:dyDescent="0.3">
      <c r="A3476" t="s">
        <v>16393</v>
      </c>
      <c r="B3476" t="s">
        <v>1</v>
      </c>
      <c r="C3476" t="s">
        <v>16394</v>
      </c>
      <c r="D3476" t="s">
        <v>16395</v>
      </c>
      <c r="E3476" t="s">
        <v>16396</v>
      </c>
      <c r="F3476" t="s">
        <v>5</v>
      </c>
      <c r="G3476" t="s">
        <v>6</v>
      </c>
      <c r="L3476" t="s">
        <v>7</v>
      </c>
      <c r="M3476">
        <v>2023</v>
      </c>
      <c r="N3476" s="1">
        <v>45064</v>
      </c>
      <c r="O3476" t="s">
        <v>16397</v>
      </c>
      <c r="P3476">
        <v>1</v>
      </c>
      <c r="Q3476" t="s">
        <v>7423</v>
      </c>
      <c r="S3476">
        <v>209.95</v>
      </c>
      <c r="T3476">
        <v>240</v>
      </c>
      <c r="U3476">
        <v>180</v>
      </c>
      <c r="V3476" t="s">
        <v>98</v>
      </c>
      <c r="W3476" t="s">
        <v>366</v>
      </c>
      <c r="X3476" t="s">
        <v>10423</v>
      </c>
      <c r="Y3476" t="s">
        <v>10424</v>
      </c>
      <c r="AF3476" t="s">
        <v>13</v>
      </c>
      <c r="AH3476" t="str">
        <f>HYPERLINK("http://www.degruyter.com/isbn/9781474494519")</f>
        <v>http://www.degruyter.com/isbn/9781474494519</v>
      </c>
      <c r="AI3476" t="s">
        <v>16289</v>
      </c>
      <c r="AL3476" t="s">
        <v>638</v>
      </c>
      <c r="AM3476">
        <v>1</v>
      </c>
      <c r="AN3476" s="2">
        <v>9781474494496</v>
      </c>
    </row>
    <row r="3477" spans="1:40" x14ac:dyDescent="0.3">
      <c r="A3477" t="s">
        <v>16398</v>
      </c>
      <c r="B3477" t="s">
        <v>1</v>
      </c>
      <c r="C3477" t="s">
        <v>16399</v>
      </c>
      <c r="D3477" t="s">
        <v>16400</v>
      </c>
      <c r="E3477" t="s">
        <v>16401</v>
      </c>
      <c r="F3477" t="s">
        <v>5</v>
      </c>
      <c r="G3477" t="s">
        <v>6</v>
      </c>
      <c r="L3477" t="s">
        <v>7</v>
      </c>
      <c r="M3477">
        <v>2023</v>
      </c>
      <c r="N3477" s="1">
        <v>45002</v>
      </c>
      <c r="O3477" t="s">
        <v>16402</v>
      </c>
      <c r="P3477">
        <v>1</v>
      </c>
      <c r="S3477">
        <v>209.95</v>
      </c>
      <c r="T3477">
        <v>240</v>
      </c>
      <c r="U3477">
        <v>180</v>
      </c>
      <c r="V3477" t="s">
        <v>42</v>
      </c>
      <c r="W3477" t="s">
        <v>43</v>
      </c>
      <c r="X3477" t="s">
        <v>6163</v>
      </c>
      <c r="Y3477" t="s">
        <v>117</v>
      </c>
      <c r="AF3477" t="s">
        <v>13</v>
      </c>
      <c r="AH3477" t="str">
        <f>HYPERLINK("http://www.degruyter.com/isbn/9781474494762")</f>
        <v>http://www.degruyter.com/isbn/9781474494762</v>
      </c>
      <c r="AI3477" t="s">
        <v>15732</v>
      </c>
      <c r="AL3477" t="s">
        <v>638</v>
      </c>
      <c r="AM3477">
        <v>1</v>
      </c>
      <c r="AN3477" s="2">
        <v>9781474494748</v>
      </c>
    </row>
    <row r="3478" spans="1:40" x14ac:dyDescent="0.3">
      <c r="A3478" t="s">
        <v>16403</v>
      </c>
      <c r="B3478" t="s">
        <v>1</v>
      </c>
      <c r="C3478" t="s">
        <v>16404</v>
      </c>
      <c r="D3478" t="s">
        <v>16405</v>
      </c>
      <c r="E3478" t="s">
        <v>16406</v>
      </c>
      <c r="F3478" t="s">
        <v>5</v>
      </c>
      <c r="G3478" t="s">
        <v>6</v>
      </c>
      <c r="L3478" t="s">
        <v>7</v>
      </c>
      <c r="M3478">
        <v>2023</v>
      </c>
      <c r="N3478" s="1">
        <v>45064</v>
      </c>
      <c r="O3478" t="s">
        <v>16407</v>
      </c>
      <c r="P3478">
        <v>1</v>
      </c>
      <c r="Q3478" t="s">
        <v>13460</v>
      </c>
      <c r="S3478">
        <v>243.95</v>
      </c>
      <c r="T3478">
        <v>280</v>
      </c>
      <c r="U3478">
        <v>210</v>
      </c>
      <c r="V3478" t="s">
        <v>20</v>
      </c>
      <c r="W3478" t="s">
        <v>470</v>
      </c>
      <c r="X3478" t="s">
        <v>471</v>
      </c>
      <c r="Y3478" t="s">
        <v>472</v>
      </c>
      <c r="AF3478" t="s">
        <v>13</v>
      </c>
      <c r="AH3478" t="str">
        <f>HYPERLINK("http://www.degruyter.com/isbn/9781399516143")</f>
        <v>http://www.degruyter.com/isbn/9781399516143</v>
      </c>
      <c r="AI3478" t="s">
        <v>15812</v>
      </c>
      <c r="AL3478" t="s">
        <v>638</v>
      </c>
      <c r="AM3478">
        <v>1</v>
      </c>
      <c r="AN3478" s="2">
        <v>9781399516129</v>
      </c>
    </row>
    <row r="3479" spans="1:40" x14ac:dyDescent="0.3">
      <c r="A3479" t="s">
        <v>16408</v>
      </c>
      <c r="B3479" t="s">
        <v>1</v>
      </c>
      <c r="C3479" t="s">
        <v>16409</v>
      </c>
      <c r="D3479" t="s">
        <v>16409</v>
      </c>
      <c r="E3479" t="s">
        <v>16410</v>
      </c>
      <c r="F3479" t="s">
        <v>5</v>
      </c>
      <c r="G3479" t="s">
        <v>6</v>
      </c>
      <c r="L3479" t="s">
        <v>7</v>
      </c>
      <c r="M3479">
        <v>2023</v>
      </c>
      <c r="N3479" s="1">
        <v>45033</v>
      </c>
      <c r="O3479" t="s">
        <v>16411</v>
      </c>
      <c r="P3479">
        <v>1</v>
      </c>
      <c r="S3479">
        <v>209.95</v>
      </c>
      <c r="T3479">
        <v>240</v>
      </c>
      <c r="U3479">
        <v>180</v>
      </c>
      <c r="V3479" t="s">
        <v>268</v>
      </c>
      <c r="W3479" t="s">
        <v>269</v>
      </c>
      <c r="X3479" t="s">
        <v>269</v>
      </c>
      <c r="Y3479" t="s">
        <v>3691</v>
      </c>
      <c r="AF3479" t="s">
        <v>13</v>
      </c>
      <c r="AH3479" t="str">
        <f>HYPERLINK("http://www.degruyter.com/isbn/9781399505109")</f>
        <v>http://www.degruyter.com/isbn/9781399505109</v>
      </c>
      <c r="AI3479" t="s">
        <v>16412</v>
      </c>
      <c r="AL3479" t="s">
        <v>638</v>
      </c>
      <c r="AM3479">
        <v>1</v>
      </c>
      <c r="AN3479" s="2">
        <v>9781399505086</v>
      </c>
    </row>
    <row r="3480" spans="1:40" x14ac:dyDescent="0.3">
      <c r="A3480" t="s">
        <v>16413</v>
      </c>
      <c r="B3480" t="s">
        <v>1</v>
      </c>
      <c r="C3480" t="s">
        <v>16414</v>
      </c>
      <c r="D3480" t="s">
        <v>16415</v>
      </c>
      <c r="E3480" t="s">
        <v>16416</v>
      </c>
      <c r="F3480" t="s">
        <v>5</v>
      </c>
      <c r="G3480" t="s">
        <v>6</v>
      </c>
      <c r="L3480" t="s">
        <v>7</v>
      </c>
      <c r="M3480">
        <v>2023</v>
      </c>
      <c r="N3480" s="1">
        <v>45033</v>
      </c>
      <c r="O3480" t="s">
        <v>16417</v>
      </c>
      <c r="P3480">
        <v>1</v>
      </c>
      <c r="S3480">
        <v>209.95</v>
      </c>
      <c r="T3480">
        <v>240</v>
      </c>
      <c r="U3480">
        <v>180</v>
      </c>
      <c r="V3480" t="s">
        <v>42</v>
      </c>
      <c r="W3480" t="s">
        <v>107</v>
      </c>
      <c r="X3480" t="s">
        <v>108</v>
      </c>
      <c r="Y3480" t="s">
        <v>221</v>
      </c>
      <c r="AF3480" t="s">
        <v>13</v>
      </c>
      <c r="AH3480" t="str">
        <f>HYPERLINK("http://www.degruyter.com/isbn/9781399506731")</f>
        <v>http://www.degruyter.com/isbn/9781399506731</v>
      </c>
      <c r="AI3480" t="s">
        <v>15732</v>
      </c>
      <c r="AL3480" t="s">
        <v>638</v>
      </c>
      <c r="AM3480">
        <v>1</v>
      </c>
      <c r="AN3480" s="2">
        <v>9781399506717</v>
      </c>
    </row>
    <row r="3481" spans="1:40" x14ac:dyDescent="0.3">
      <c r="A3481" t="s">
        <v>16418</v>
      </c>
      <c r="B3481" t="s">
        <v>1</v>
      </c>
      <c r="C3481" t="s">
        <v>16419</v>
      </c>
      <c r="D3481" t="s">
        <v>16420</v>
      </c>
      <c r="E3481" t="s">
        <v>16421</v>
      </c>
      <c r="F3481" t="s">
        <v>5</v>
      </c>
      <c r="G3481" t="s">
        <v>6</v>
      </c>
      <c r="L3481" t="s">
        <v>7</v>
      </c>
      <c r="M3481">
        <v>2023</v>
      </c>
      <c r="N3481" s="1">
        <v>45033</v>
      </c>
      <c r="O3481" t="s">
        <v>16422</v>
      </c>
      <c r="P3481">
        <v>1</v>
      </c>
      <c r="Q3481" t="s">
        <v>16423</v>
      </c>
      <c r="S3481">
        <v>209.95</v>
      </c>
      <c r="T3481">
        <v>240</v>
      </c>
      <c r="U3481">
        <v>180</v>
      </c>
      <c r="V3481" t="s">
        <v>20</v>
      </c>
      <c r="W3481" t="s">
        <v>21</v>
      </c>
      <c r="X3481" t="s">
        <v>3919</v>
      </c>
      <c r="Y3481" t="s">
        <v>9109</v>
      </c>
      <c r="AF3481" t="s">
        <v>13</v>
      </c>
      <c r="AH3481" t="str">
        <f>HYPERLINK("http://www.degruyter.com/isbn/9781399503716")</f>
        <v>http://www.degruyter.com/isbn/9781399503716</v>
      </c>
      <c r="AI3481" t="s">
        <v>15812</v>
      </c>
      <c r="AL3481" t="s">
        <v>638</v>
      </c>
      <c r="AM3481">
        <v>1</v>
      </c>
      <c r="AN3481" s="2">
        <v>9781399503693</v>
      </c>
    </row>
    <row r="3482" spans="1:40" x14ac:dyDescent="0.3">
      <c r="A3482" t="s">
        <v>16424</v>
      </c>
      <c r="B3482" t="s">
        <v>1</v>
      </c>
      <c r="C3482" t="s">
        <v>16425</v>
      </c>
      <c r="D3482" t="s">
        <v>16426</v>
      </c>
      <c r="E3482" t="s">
        <v>16427</v>
      </c>
      <c r="F3482" t="s">
        <v>5</v>
      </c>
      <c r="G3482" t="s">
        <v>6</v>
      </c>
      <c r="L3482" t="s">
        <v>7</v>
      </c>
      <c r="M3482">
        <v>2023</v>
      </c>
      <c r="N3482" s="1">
        <v>45033</v>
      </c>
      <c r="O3482" t="s">
        <v>16428</v>
      </c>
      <c r="P3482">
        <v>1</v>
      </c>
      <c r="Q3482" t="s">
        <v>16429</v>
      </c>
      <c r="S3482">
        <v>209.95</v>
      </c>
      <c r="T3482">
        <v>240</v>
      </c>
      <c r="U3482">
        <v>180</v>
      </c>
      <c r="V3482" t="s">
        <v>58</v>
      </c>
      <c r="W3482" t="s">
        <v>1135</v>
      </c>
      <c r="X3482" t="s">
        <v>1136</v>
      </c>
      <c r="Y3482" t="s">
        <v>5304</v>
      </c>
      <c r="AF3482" t="s">
        <v>13</v>
      </c>
      <c r="AH3482" t="str">
        <f>HYPERLINK("http://www.degruyter.com/isbn/9781474451222")</f>
        <v>http://www.degruyter.com/isbn/9781474451222</v>
      </c>
      <c r="AI3482" t="s">
        <v>15819</v>
      </c>
      <c r="AL3482" t="s">
        <v>638</v>
      </c>
      <c r="AM3482">
        <v>1</v>
      </c>
      <c r="AN3482" s="2">
        <v>9781474451208</v>
      </c>
    </row>
    <row r="3483" spans="1:40" x14ac:dyDescent="0.3">
      <c r="A3483" t="s">
        <v>16430</v>
      </c>
      <c r="B3483" t="s">
        <v>1</v>
      </c>
      <c r="C3483" t="s">
        <v>16431</v>
      </c>
      <c r="D3483" t="s">
        <v>16432</v>
      </c>
      <c r="E3483" t="s">
        <v>16433</v>
      </c>
      <c r="F3483" t="s">
        <v>5</v>
      </c>
      <c r="G3483" t="s">
        <v>6</v>
      </c>
      <c r="L3483" t="s">
        <v>7</v>
      </c>
      <c r="M3483">
        <v>2023</v>
      </c>
      <c r="N3483" s="1">
        <v>45089</v>
      </c>
      <c r="O3483" t="s">
        <v>16434</v>
      </c>
      <c r="P3483">
        <v>1</v>
      </c>
      <c r="S3483">
        <v>227.95</v>
      </c>
      <c r="T3483">
        <v>260</v>
      </c>
      <c r="U3483">
        <v>200</v>
      </c>
      <c r="V3483" t="s">
        <v>9</v>
      </c>
      <c r="W3483" t="s">
        <v>10</v>
      </c>
      <c r="X3483" t="s">
        <v>11</v>
      </c>
      <c r="Y3483" t="s">
        <v>12</v>
      </c>
      <c r="AF3483" t="s">
        <v>13</v>
      </c>
      <c r="AH3483" t="str">
        <f>HYPERLINK("http://www.degruyter.com/isbn/9781399505925")</f>
        <v>http://www.degruyter.com/isbn/9781399505925</v>
      </c>
      <c r="AI3483" t="s">
        <v>15325</v>
      </c>
      <c r="AL3483" t="s">
        <v>638</v>
      </c>
      <c r="AM3483">
        <v>1</v>
      </c>
      <c r="AN3483" s="2">
        <v>9781399505901</v>
      </c>
    </row>
    <row r="3484" spans="1:40" x14ac:dyDescent="0.3">
      <c r="A3484" t="s">
        <v>16435</v>
      </c>
      <c r="B3484" t="s">
        <v>1</v>
      </c>
      <c r="C3484" t="s">
        <v>16436</v>
      </c>
      <c r="D3484" t="s">
        <v>16437</v>
      </c>
      <c r="E3484" t="s">
        <v>16438</v>
      </c>
      <c r="F3484" t="s">
        <v>5</v>
      </c>
      <c r="G3484" t="s">
        <v>6</v>
      </c>
      <c r="L3484" t="s">
        <v>7</v>
      </c>
      <c r="M3484">
        <v>2023</v>
      </c>
      <c r="N3484" s="1">
        <v>45089</v>
      </c>
      <c r="O3484" t="s">
        <v>16439</v>
      </c>
      <c r="P3484">
        <v>1</v>
      </c>
      <c r="Q3484" t="s">
        <v>6694</v>
      </c>
      <c r="S3484">
        <v>227.95</v>
      </c>
      <c r="T3484">
        <v>260</v>
      </c>
      <c r="U3484">
        <v>200</v>
      </c>
      <c r="V3484" t="s">
        <v>305</v>
      </c>
      <c r="W3484" t="s">
        <v>2129</v>
      </c>
      <c r="X3484" t="s">
        <v>2130</v>
      </c>
      <c r="Y3484" t="s">
        <v>2131</v>
      </c>
      <c r="AF3484" t="s">
        <v>13</v>
      </c>
      <c r="AH3484" t="str">
        <f>HYPERLINK("http://www.degruyter.com/isbn/9781399516020")</f>
        <v>http://www.degruyter.com/isbn/9781399516020</v>
      </c>
      <c r="AI3484" t="s">
        <v>15325</v>
      </c>
      <c r="AL3484" t="s">
        <v>638</v>
      </c>
      <c r="AM3484">
        <v>1</v>
      </c>
      <c r="AN3484" s="2">
        <v>9781399516006</v>
      </c>
    </row>
    <row r="3485" spans="1:40" x14ac:dyDescent="0.3">
      <c r="A3485" t="s">
        <v>16440</v>
      </c>
      <c r="B3485" t="s">
        <v>1</v>
      </c>
      <c r="C3485" t="s">
        <v>16441</v>
      </c>
      <c r="E3485" t="s">
        <v>16442</v>
      </c>
      <c r="F3485" t="s">
        <v>5</v>
      </c>
      <c r="G3485" t="s">
        <v>6</v>
      </c>
      <c r="H3485" t="s">
        <v>16123</v>
      </c>
      <c r="L3485" t="s">
        <v>7</v>
      </c>
      <c r="M3485">
        <v>2016</v>
      </c>
      <c r="N3485" s="1">
        <v>42719</v>
      </c>
      <c r="O3485" t="s">
        <v>16443</v>
      </c>
      <c r="P3485">
        <v>1</v>
      </c>
      <c r="Q3485" t="s">
        <v>7738</v>
      </c>
      <c r="S3485">
        <v>209.95</v>
      </c>
      <c r="T3485">
        <v>240</v>
      </c>
      <c r="U3485">
        <v>180</v>
      </c>
      <c r="V3485" t="s">
        <v>98</v>
      </c>
      <c r="W3485" t="s">
        <v>2283</v>
      </c>
      <c r="X3485" t="s">
        <v>2284</v>
      </c>
      <c r="Y3485" t="s">
        <v>2285</v>
      </c>
      <c r="AF3485" t="s">
        <v>13</v>
      </c>
      <c r="AH3485" t="str">
        <f>HYPERLINK("http://www.degruyter.com/isbn/9781399504621")</f>
        <v>http://www.degruyter.com/isbn/9781399504621</v>
      </c>
      <c r="AI3485" t="s">
        <v>180</v>
      </c>
      <c r="AM3485">
        <v>1</v>
      </c>
      <c r="AN3485" s="2">
        <v>9781399504607</v>
      </c>
    </row>
    <row r="3486" spans="1:40" x14ac:dyDescent="0.3">
      <c r="A3486" t="s">
        <v>16444</v>
      </c>
      <c r="B3486" t="s">
        <v>1</v>
      </c>
      <c r="C3486" t="s">
        <v>16445</v>
      </c>
      <c r="E3486" t="s">
        <v>16446</v>
      </c>
      <c r="F3486" t="s">
        <v>5</v>
      </c>
      <c r="G3486" t="s">
        <v>6</v>
      </c>
      <c r="L3486" t="s">
        <v>7</v>
      </c>
      <c r="M3486">
        <v>2023</v>
      </c>
      <c r="N3486" s="1">
        <v>45091</v>
      </c>
      <c r="O3486" t="s">
        <v>16447</v>
      </c>
      <c r="P3486">
        <v>1</v>
      </c>
      <c r="Q3486" t="s">
        <v>13309</v>
      </c>
      <c r="S3486">
        <v>347.95</v>
      </c>
      <c r="T3486">
        <v>400</v>
      </c>
      <c r="U3486">
        <v>310</v>
      </c>
      <c r="V3486" t="s">
        <v>42</v>
      </c>
      <c r="W3486" t="s">
        <v>43</v>
      </c>
      <c r="X3486" t="s">
        <v>178</v>
      </c>
      <c r="Y3486" t="s">
        <v>14278</v>
      </c>
      <c r="AF3486" t="s">
        <v>13</v>
      </c>
      <c r="AH3486" t="str">
        <f>HYPERLINK("http://www.degruyter.com/isbn/9781474495059")</f>
        <v>http://www.degruyter.com/isbn/9781474495059</v>
      </c>
      <c r="AI3486" t="s">
        <v>15732</v>
      </c>
      <c r="AL3486" t="s">
        <v>638</v>
      </c>
      <c r="AM3486">
        <v>1</v>
      </c>
      <c r="AN3486" s="2">
        <v>9781474495042</v>
      </c>
    </row>
    <row r="3487" spans="1:40" x14ac:dyDescent="0.3">
      <c r="A3487" t="s">
        <v>16448</v>
      </c>
      <c r="B3487" t="s">
        <v>1</v>
      </c>
      <c r="C3487" t="s">
        <v>16449</v>
      </c>
      <c r="D3487" t="s">
        <v>16450</v>
      </c>
      <c r="E3487" t="s">
        <v>16451</v>
      </c>
      <c r="F3487" t="s">
        <v>5</v>
      </c>
      <c r="G3487" t="s">
        <v>6</v>
      </c>
      <c r="L3487" t="s">
        <v>7</v>
      </c>
      <c r="M3487">
        <v>2023</v>
      </c>
      <c r="N3487" s="1">
        <v>45093</v>
      </c>
      <c r="O3487" t="s">
        <v>16452</v>
      </c>
      <c r="P3487">
        <v>1</v>
      </c>
      <c r="Q3487" t="s">
        <v>7539</v>
      </c>
      <c r="S3487">
        <v>261.95</v>
      </c>
      <c r="T3487">
        <v>300</v>
      </c>
      <c r="U3487">
        <v>230</v>
      </c>
      <c r="V3487" t="s">
        <v>20</v>
      </c>
      <c r="W3487" t="s">
        <v>470</v>
      </c>
      <c r="X3487" t="s">
        <v>1269</v>
      </c>
      <c r="Y3487" t="s">
        <v>6700</v>
      </c>
      <c r="AF3487" t="s">
        <v>13</v>
      </c>
      <c r="AH3487" t="str">
        <f>HYPERLINK("http://www.degruyter.com/isbn/9781474410830")</f>
        <v>http://www.degruyter.com/isbn/9781474410830</v>
      </c>
      <c r="AI3487" t="s">
        <v>15812</v>
      </c>
      <c r="AL3487" t="s">
        <v>638</v>
      </c>
      <c r="AM3487">
        <v>1</v>
      </c>
      <c r="AN3487" s="2">
        <v>9781474410823</v>
      </c>
    </row>
    <row r="3488" spans="1:40" x14ac:dyDescent="0.3">
      <c r="A3488" t="s">
        <v>16453</v>
      </c>
      <c r="B3488" t="s">
        <v>1</v>
      </c>
      <c r="C3488" t="s">
        <v>16454</v>
      </c>
      <c r="D3488" t="s">
        <v>16455</v>
      </c>
      <c r="E3488" t="s">
        <v>16456</v>
      </c>
      <c r="F3488" t="s">
        <v>5</v>
      </c>
      <c r="G3488" t="s">
        <v>6</v>
      </c>
      <c r="L3488" t="s">
        <v>7</v>
      </c>
      <c r="M3488">
        <v>2023</v>
      </c>
      <c r="N3488" s="1">
        <v>45117</v>
      </c>
      <c r="O3488" t="s">
        <v>16457</v>
      </c>
      <c r="P3488">
        <v>1</v>
      </c>
      <c r="Q3488" t="s">
        <v>13749</v>
      </c>
      <c r="S3488">
        <v>347.95</v>
      </c>
      <c r="T3488">
        <v>400</v>
      </c>
      <c r="U3488">
        <v>310</v>
      </c>
      <c r="V3488" t="s">
        <v>305</v>
      </c>
      <c r="W3488" t="s">
        <v>306</v>
      </c>
      <c r="X3488" t="s">
        <v>306</v>
      </c>
      <c r="Y3488" t="s">
        <v>16458</v>
      </c>
      <c r="AF3488" t="s">
        <v>13</v>
      </c>
      <c r="AH3488" t="str">
        <f>HYPERLINK("http://www.degruyter.com/isbn/9781399512152")</f>
        <v>http://www.degruyter.com/isbn/9781399512152</v>
      </c>
      <c r="AI3488" t="s">
        <v>15325</v>
      </c>
      <c r="AL3488" t="s">
        <v>638</v>
      </c>
      <c r="AM3488">
        <v>1</v>
      </c>
      <c r="AN3488" s="2">
        <v>9781399512138</v>
      </c>
    </row>
    <row r="3489" spans="1:40" x14ac:dyDescent="0.3">
      <c r="A3489" t="s">
        <v>16459</v>
      </c>
      <c r="B3489" t="s">
        <v>1</v>
      </c>
      <c r="C3489" t="s">
        <v>16460</v>
      </c>
      <c r="D3489" t="s">
        <v>16461</v>
      </c>
      <c r="E3489" t="s">
        <v>16462</v>
      </c>
      <c r="F3489" t="s">
        <v>5</v>
      </c>
      <c r="G3489" t="s">
        <v>6</v>
      </c>
      <c r="L3489" t="s">
        <v>7</v>
      </c>
      <c r="M3489">
        <v>2023</v>
      </c>
      <c r="N3489" s="1">
        <v>45098</v>
      </c>
      <c r="O3489" t="s">
        <v>16463</v>
      </c>
      <c r="P3489">
        <v>1</v>
      </c>
      <c r="S3489">
        <v>209.95</v>
      </c>
      <c r="T3489">
        <v>240</v>
      </c>
      <c r="U3489">
        <v>180</v>
      </c>
      <c r="V3489" t="s">
        <v>20</v>
      </c>
      <c r="W3489" t="s">
        <v>21</v>
      </c>
      <c r="X3489" t="s">
        <v>458</v>
      </c>
      <c r="Y3489" t="s">
        <v>459</v>
      </c>
      <c r="AF3489" t="s">
        <v>13</v>
      </c>
      <c r="AH3489" t="str">
        <f>HYPERLINK("http://www.degruyter.com/isbn/9781399510295")</f>
        <v>http://www.degruyter.com/isbn/9781399510295</v>
      </c>
      <c r="AI3489" t="s">
        <v>15750</v>
      </c>
      <c r="AL3489" t="s">
        <v>638</v>
      </c>
      <c r="AM3489">
        <v>1</v>
      </c>
      <c r="AN3489" s="2">
        <v>9781399510264</v>
      </c>
    </row>
    <row r="3490" spans="1:40" x14ac:dyDescent="0.3">
      <c r="A3490" t="s">
        <v>16464</v>
      </c>
      <c r="B3490" t="s">
        <v>1</v>
      </c>
      <c r="C3490" t="s">
        <v>16465</v>
      </c>
      <c r="D3490" t="s">
        <v>16466</v>
      </c>
      <c r="E3490" t="s">
        <v>16467</v>
      </c>
      <c r="F3490" t="s">
        <v>5</v>
      </c>
      <c r="G3490" t="s">
        <v>6</v>
      </c>
      <c r="K3490" t="s">
        <v>923</v>
      </c>
      <c r="L3490" t="s">
        <v>7</v>
      </c>
      <c r="M3490">
        <v>2023</v>
      </c>
      <c r="N3490" s="1">
        <v>45092</v>
      </c>
      <c r="O3490" t="s">
        <v>16468</v>
      </c>
      <c r="P3490">
        <v>1</v>
      </c>
      <c r="V3490" t="s">
        <v>297</v>
      </c>
      <c r="W3490" t="s">
        <v>7781</v>
      </c>
      <c r="X3490" t="s">
        <v>7781</v>
      </c>
      <c r="Y3490" t="s">
        <v>7782</v>
      </c>
      <c r="AF3490" t="s">
        <v>13</v>
      </c>
      <c r="AH3490" t="str">
        <f>HYPERLINK("http://www.degruyter.com/isbn/9781399502795")</f>
        <v>http://www.degruyter.com/isbn/9781399502795</v>
      </c>
      <c r="AI3490" t="s">
        <v>15923</v>
      </c>
      <c r="AL3490" t="s">
        <v>638</v>
      </c>
      <c r="AM3490">
        <v>1</v>
      </c>
      <c r="AN3490" s="2"/>
    </row>
    <row r="3491" spans="1:40" x14ac:dyDescent="0.3">
      <c r="A3491" t="s">
        <v>16469</v>
      </c>
      <c r="B3491" t="s">
        <v>1</v>
      </c>
      <c r="C3491" t="s">
        <v>16470</v>
      </c>
      <c r="D3491" t="s">
        <v>16471</v>
      </c>
      <c r="E3491" t="s">
        <v>16472</v>
      </c>
      <c r="F3491" t="s">
        <v>5</v>
      </c>
      <c r="G3491" t="s">
        <v>6</v>
      </c>
      <c r="L3491" t="s">
        <v>7</v>
      </c>
      <c r="M3491">
        <v>2023</v>
      </c>
      <c r="N3491" s="1">
        <v>45086</v>
      </c>
      <c r="O3491" t="s">
        <v>16473</v>
      </c>
      <c r="P3491">
        <v>1</v>
      </c>
      <c r="Q3491" t="s">
        <v>8607</v>
      </c>
      <c r="S3491">
        <v>209.95</v>
      </c>
      <c r="T3491">
        <v>240</v>
      </c>
      <c r="U3491">
        <v>180</v>
      </c>
      <c r="V3491" t="s">
        <v>20</v>
      </c>
      <c r="W3491" t="s">
        <v>470</v>
      </c>
      <c r="X3491" t="s">
        <v>3249</v>
      </c>
      <c r="Y3491" t="s">
        <v>3250</v>
      </c>
      <c r="AF3491" t="s">
        <v>13</v>
      </c>
      <c r="AH3491" t="str">
        <f>HYPERLINK("http://www.degruyter.com/isbn/9781474492126")</f>
        <v>http://www.degruyter.com/isbn/9781474492126</v>
      </c>
      <c r="AI3491" t="s">
        <v>15812</v>
      </c>
      <c r="AL3491" t="s">
        <v>638</v>
      </c>
      <c r="AM3491">
        <v>1</v>
      </c>
      <c r="AN3491" s="2">
        <v>9781474492102</v>
      </c>
    </row>
    <row r="3492" spans="1:40" x14ac:dyDescent="0.3">
      <c r="A3492" t="s">
        <v>16474</v>
      </c>
      <c r="B3492" t="s">
        <v>1</v>
      </c>
      <c r="C3492" t="s">
        <v>16475</v>
      </c>
      <c r="E3492" t="s">
        <v>16476</v>
      </c>
      <c r="F3492" t="s">
        <v>5</v>
      </c>
      <c r="G3492" t="s">
        <v>6</v>
      </c>
      <c r="L3492" t="s">
        <v>7</v>
      </c>
      <c r="M3492">
        <v>2023</v>
      </c>
      <c r="N3492" s="1">
        <v>45117</v>
      </c>
      <c r="O3492" t="s">
        <v>16477</v>
      </c>
      <c r="P3492">
        <v>1</v>
      </c>
      <c r="S3492">
        <v>227.95</v>
      </c>
      <c r="T3492">
        <v>260</v>
      </c>
      <c r="U3492">
        <v>200</v>
      </c>
      <c r="V3492" t="s">
        <v>98</v>
      </c>
      <c r="W3492" t="s">
        <v>256</v>
      </c>
      <c r="X3492" t="s">
        <v>16478</v>
      </c>
      <c r="Y3492" t="s">
        <v>387</v>
      </c>
      <c r="AF3492" t="s">
        <v>13</v>
      </c>
      <c r="AH3492" t="str">
        <f>HYPERLINK("http://www.degruyter.com/isbn/9781399519953")</f>
        <v>http://www.degruyter.com/isbn/9781399519953</v>
      </c>
      <c r="AI3492" t="s">
        <v>16289</v>
      </c>
      <c r="AL3492" t="s">
        <v>638</v>
      </c>
      <c r="AM3492">
        <v>1</v>
      </c>
      <c r="AN3492" s="2">
        <v>9781399519939</v>
      </c>
    </row>
    <row r="3493" spans="1:40" x14ac:dyDescent="0.3">
      <c r="A3493" t="s">
        <v>16479</v>
      </c>
      <c r="B3493" t="s">
        <v>1</v>
      </c>
      <c r="C3493" t="s">
        <v>16480</v>
      </c>
      <c r="D3493" t="s">
        <v>16481</v>
      </c>
      <c r="E3493" t="s">
        <v>16482</v>
      </c>
      <c r="F3493" t="s">
        <v>5</v>
      </c>
      <c r="G3493" t="s">
        <v>6</v>
      </c>
      <c r="L3493" t="s">
        <v>7</v>
      </c>
      <c r="M3493">
        <v>2023</v>
      </c>
      <c r="N3493" s="1">
        <v>45098</v>
      </c>
      <c r="O3493" t="s">
        <v>16483</v>
      </c>
      <c r="P3493">
        <v>1</v>
      </c>
      <c r="Q3493" t="s">
        <v>13460</v>
      </c>
      <c r="S3493">
        <v>217.95</v>
      </c>
      <c r="T3493">
        <v>250</v>
      </c>
      <c r="U3493">
        <v>190</v>
      </c>
      <c r="V3493" t="s">
        <v>20</v>
      </c>
      <c r="W3493" t="s">
        <v>21</v>
      </c>
      <c r="X3493" t="s">
        <v>458</v>
      </c>
      <c r="Y3493" t="s">
        <v>459</v>
      </c>
      <c r="AF3493" t="s">
        <v>13</v>
      </c>
      <c r="AH3493" t="str">
        <f>HYPERLINK("http://www.degruyter.com/isbn/9781399503198")</f>
        <v>http://www.degruyter.com/isbn/9781399503198</v>
      </c>
      <c r="AI3493" t="s">
        <v>15750</v>
      </c>
      <c r="AL3493" t="s">
        <v>638</v>
      </c>
      <c r="AM3493">
        <v>1</v>
      </c>
      <c r="AN3493" s="2">
        <v>9781399503174</v>
      </c>
    </row>
    <row r="3494" spans="1:40" x14ac:dyDescent="0.3">
      <c r="A3494" t="s">
        <v>16484</v>
      </c>
      <c r="B3494" t="s">
        <v>1</v>
      </c>
      <c r="C3494" t="s">
        <v>16485</v>
      </c>
      <c r="E3494" t="s">
        <v>16486</v>
      </c>
      <c r="F3494" t="s">
        <v>5</v>
      </c>
      <c r="G3494" t="s">
        <v>6</v>
      </c>
      <c r="L3494" t="s">
        <v>7</v>
      </c>
      <c r="M3494">
        <v>2023</v>
      </c>
      <c r="N3494" s="1">
        <v>45086</v>
      </c>
      <c r="O3494" t="s">
        <v>16487</v>
      </c>
      <c r="P3494">
        <v>1</v>
      </c>
      <c r="S3494">
        <v>209.95</v>
      </c>
      <c r="T3494">
        <v>240</v>
      </c>
      <c r="U3494">
        <v>180</v>
      </c>
      <c r="V3494" t="s">
        <v>9</v>
      </c>
      <c r="W3494" t="s">
        <v>10</v>
      </c>
      <c r="X3494" t="s">
        <v>11</v>
      </c>
      <c r="Y3494" t="s">
        <v>52</v>
      </c>
      <c r="AF3494" t="s">
        <v>13</v>
      </c>
      <c r="AH3494" t="str">
        <f>HYPERLINK("http://www.degruyter.com/isbn/9781399505840")</f>
        <v>http://www.degruyter.com/isbn/9781399505840</v>
      </c>
      <c r="AI3494" t="s">
        <v>15325</v>
      </c>
      <c r="AL3494" t="s">
        <v>638</v>
      </c>
      <c r="AM3494">
        <v>1</v>
      </c>
      <c r="AN3494" s="2">
        <v>9781399505826</v>
      </c>
    </row>
    <row r="3495" spans="1:40" x14ac:dyDescent="0.3">
      <c r="A3495" t="s">
        <v>16488</v>
      </c>
      <c r="B3495" t="s">
        <v>1</v>
      </c>
      <c r="C3495" t="s">
        <v>16489</v>
      </c>
      <c r="D3495" t="s">
        <v>16490</v>
      </c>
      <c r="E3495" t="s">
        <v>16491</v>
      </c>
      <c r="F3495" t="s">
        <v>5</v>
      </c>
      <c r="G3495" t="s">
        <v>6</v>
      </c>
      <c r="L3495" t="s">
        <v>7</v>
      </c>
      <c r="M3495">
        <v>2023</v>
      </c>
      <c r="N3495" s="1">
        <v>45110</v>
      </c>
      <c r="O3495" t="s">
        <v>16492</v>
      </c>
      <c r="P3495">
        <v>1</v>
      </c>
      <c r="Q3495" t="s">
        <v>15656</v>
      </c>
      <c r="S3495">
        <v>217.95</v>
      </c>
      <c r="T3495">
        <v>250</v>
      </c>
      <c r="U3495">
        <v>190</v>
      </c>
      <c r="V3495" t="s">
        <v>329</v>
      </c>
      <c r="W3495" t="s">
        <v>330</v>
      </c>
      <c r="X3495" t="s">
        <v>331</v>
      </c>
      <c r="Y3495" t="s">
        <v>4770</v>
      </c>
      <c r="AF3495" t="s">
        <v>13</v>
      </c>
      <c r="AH3495" t="str">
        <f>HYPERLINK("http://www.degruyter.com/isbn/9781399508674")</f>
        <v>http://www.degruyter.com/isbn/9781399508674</v>
      </c>
      <c r="AI3495" t="s">
        <v>15750</v>
      </c>
      <c r="AL3495" t="s">
        <v>638</v>
      </c>
      <c r="AM3495">
        <v>1</v>
      </c>
      <c r="AN3495" s="2">
        <v>9781399508650</v>
      </c>
    </row>
    <row r="3496" spans="1:40" x14ac:dyDescent="0.3">
      <c r="A3496" t="s">
        <v>16493</v>
      </c>
      <c r="B3496" t="s">
        <v>1</v>
      </c>
      <c r="C3496" t="s">
        <v>16494</v>
      </c>
      <c r="D3496" t="s">
        <v>16495</v>
      </c>
      <c r="E3496" t="s">
        <v>16496</v>
      </c>
      <c r="F3496" t="s">
        <v>5</v>
      </c>
      <c r="G3496" t="s">
        <v>6</v>
      </c>
      <c r="L3496" t="s">
        <v>7</v>
      </c>
      <c r="M3496">
        <v>2023</v>
      </c>
      <c r="N3496" s="1">
        <v>45075</v>
      </c>
      <c r="O3496" t="s">
        <v>16497</v>
      </c>
      <c r="P3496">
        <v>1</v>
      </c>
      <c r="Q3496" t="s">
        <v>12961</v>
      </c>
      <c r="S3496">
        <v>209.95</v>
      </c>
      <c r="T3496">
        <v>240</v>
      </c>
      <c r="U3496">
        <v>180</v>
      </c>
      <c r="V3496" t="s">
        <v>305</v>
      </c>
      <c r="W3496" t="s">
        <v>650</v>
      </c>
      <c r="X3496" t="s">
        <v>650</v>
      </c>
      <c r="Y3496" t="s">
        <v>651</v>
      </c>
      <c r="AF3496" t="s">
        <v>13</v>
      </c>
      <c r="AH3496" t="str">
        <f>HYPERLINK("http://www.degruyter.com/isbn/9781474488679")</f>
        <v>http://www.degruyter.com/isbn/9781474488679</v>
      </c>
      <c r="AI3496" t="s">
        <v>15325</v>
      </c>
      <c r="AL3496" t="s">
        <v>638</v>
      </c>
      <c r="AM3496">
        <v>1</v>
      </c>
      <c r="AN3496" s="2">
        <v>9781474488648</v>
      </c>
    </row>
    <row r="3497" spans="1:40" x14ac:dyDescent="0.3">
      <c r="A3497" t="s">
        <v>16498</v>
      </c>
      <c r="B3497" t="s">
        <v>1</v>
      </c>
      <c r="C3497" t="s">
        <v>16499</v>
      </c>
      <c r="E3497" t="s">
        <v>16500</v>
      </c>
      <c r="F3497" t="s">
        <v>5</v>
      </c>
      <c r="G3497" t="s">
        <v>6</v>
      </c>
      <c r="K3497" t="s">
        <v>923</v>
      </c>
      <c r="L3497" t="s">
        <v>7</v>
      </c>
      <c r="M3497">
        <v>2023</v>
      </c>
      <c r="N3497" s="1">
        <v>45111</v>
      </c>
      <c r="O3497" t="s">
        <v>16501</v>
      </c>
      <c r="P3497">
        <v>1</v>
      </c>
      <c r="Q3497" t="s">
        <v>15350</v>
      </c>
      <c r="V3497" t="s">
        <v>329</v>
      </c>
      <c r="W3497" t="s">
        <v>330</v>
      </c>
      <c r="X3497" t="s">
        <v>331</v>
      </c>
      <c r="Y3497" t="s">
        <v>1035</v>
      </c>
      <c r="AF3497" t="s">
        <v>13</v>
      </c>
      <c r="AH3497" t="str">
        <f>HYPERLINK("http://www.degruyter.com/isbn/9781474492898")</f>
        <v>http://www.degruyter.com/isbn/9781474492898</v>
      </c>
      <c r="AI3497" t="s">
        <v>15750</v>
      </c>
      <c r="AL3497" t="s">
        <v>638</v>
      </c>
      <c r="AM3497">
        <v>1</v>
      </c>
      <c r="AN3497" s="2"/>
    </row>
    <row r="3498" spans="1:40" x14ac:dyDescent="0.3">
      <c r="A3498" t="s">
        <v>16502</v>
      </c>
      <c r="B3498" t="s">
        <v>1</v>
      </c>
      <c r="C3498" t="s">
        <v>16503</v>
      </c>
      <c r="E3498" t="s">
        <v>16504</v>
      </c>
      <c r="F3498" t="s">
        <v>5</v>
      </c>
      <c r="G3498" t="s">
        <v>6</v>
      </c>
      <c r="L3498" t="s">
        <v>7</v>
      </c>
      <c r="M3498">
        <v>2023</v>
      </c>
      <c r="N3498" s="1">
        <v>45002</v>
      </c>
      <c r="O3498" t="s">
        <v>8536</v>
      </c>
      <c r="P3498">
        <v>1</v>
      </c>
      <c r="Q3498" t="s">
        <v>8537</v>
      </c>
      <c r="S3498">
        <v>209.95</v>
      </c>
      <c r="T3498">
        <v>240</v>
      </c>
      <c r="U3498">
        <v>180</v>
      </c>
      <c r="V3498" t="s">
        <v>42</v>
      </c>
      <c r="W3498" t="s">
        <v>116</v>
      </c>
      <c r="X3498" t="s">
        <v>116</v>
      </c>
      <c r="Y3498" t="s">
        <v>117</v>
      </c>
      <c r="AF3498" t="s">
        <v>13</v>
      </c>
      <c r="AH3498" t="str">
        <f>HYPERLINK("http://www.degruyter.com/isbn/9781474499880")</f>
        <v>http://www.degruyter.com/isbn/9781474499880</v>
      </c>
      <c r="AI3498" t="s">
        <v>15732</v>
      </c>
      <c r="AL3498" t="s">
        <v>638</v>
      </c>
      <c r="AM3498">
        <v>1</v>
      </c>
      <c r="AN3498" s="2">
        <v>9781474499866</v>
      </c>
    </row>
    <row r="3499" spans="1:40" x14ac:dyDescent="0.3">
      <c r="A3499" t="s">
        <v>16505</v>
      </c>
      <c r="B3499" t="s">
        <v>1</v>
      </c>
      <c r="C3499" t="s">
        <v>16506</v>
      </c>
      <c r="D3499" t="s">
        <v>16507</v>
      </c>
      <c r="E3499" t="s">
        <v>16508</v>
      </c>
      <c r="F3499" t="s">
        <v>5</v>
      </c>
      <c r="G3499" t="s">
        <v>6</v>
      </c>
      <c r="L3499" t="s">
        <v>7</v>
      </c>
      <c r="M3499">
        <v>2023</v>
      </c>
      <c r="N3499" s="1">
        <v>45125</v>
      </c>
      <c r="O3499" t="s">
        <v>16509</v>
      </c>
      <c r="P3499">
        <v>1</v>
      </c>
      <c r="Q3499" t="s">
        <v>9162</v>
      </c>
      <c r="S3499">
        <v>217.95</v>
      </c>
      <c r="T3499">
        <v>250</v>
      </c>
      <c r="U3499">
        <v>190</v>
      </c>
      <c r="V3499" t="s">
        <v>42</v>
      </c>
      <c r="W3499" t="s">
        <v>116</v>
      </c>
      <c r="X3499" t="s">
        <v>116</v>
      </c>
      <c r="Y3499" t="s">
        <v>117</v>
      </c>
      <c r="AF3499" t="s">
        <v>13</v>
      </c>
      <c r="AH3499" t="str">
        <f>HYPERLINK("http://www.degruyter.com/isbn/9781474460583")</f>
        <v>http://www.degruyter.com/isbn/9781474460583</v>
      </c>
      <c r="AI3499" t="s">
        <v>15732</v>
      </c>
      <c r="AL3499" t="s">
        <v>638</v>
      </c>
      <c r="AM3499">
        <v>1</v>
      </c>
      <c r="AN3499" s="2">
        <v>9781474460576</v>
      </c>
    </row>
    <row r="3500" spans="1:40" x14ac:dyDescent="0.3">
      <c r="A3500" t="s">
        <v>16510</v>
      </c>
      <c r="B3500" t="s">
        <v>1</v>
      </c>
      <c r="C3500" t="s">
        <v>16511</v>
      </c>
      <c r="D3500" t="s">
        <v>16512</v>
      </c>
      <c r="E3500" t="s">
        <v>16513</v>
      </c>
      <c r="F3500" t="s">
        <v>5</v>
      </c>
      <c r="G3500" t="s">
        <v>6</v>
      </c>
      <c r="L3500" t="s">
        <v>7</v>
      </c>
      <c r="M3500">
        <v>2023</v>
      </c>
      <c r="N3500" s="1">
        <v>45098</v>
      </c>
      <c r="O3500" t="s">
        <v>16514</v>
      </c>
      <c r="P3500">
        <v>1</v>
      </c>
      <c r="S3500">
        <v>209.95</v>
      </c>
      <c r="T3500">
        <v>240</v>
      </c>
      <c r="U3500">
        <v>180</v>
      </c>
      <c r="V3500" t="s">
        <v>42</v>
      </c>
      <c r="W3500" t="s">
        <v>290</v>
      </c>
      <c r="X3500" t="s">
        <v>290</v>
      </c>
      <c r="Y3500" t="s">
        <v>515</v>
      </c>
      <c r="AF3500" t="s">
        <v>13</v>
      </c>
      <c r="AH3500" t="str">
        <f>HYPERLINK("http://www.degruyter.com/isbn/9781474478960")</f>
        <v>http://www.degruyter.com/isbn/9781474478960</v>
      </c>
      <c r="AI3500" t="s">
        <v>15732</v>
      </c>
      <c r="AL3500" t="s">
        <v>638</v>
      </c>
      <c r="AM3500">
        <v>1</v>
      </c>
      <c r="AN3500" s="2">
        <v>9781474478946</v>
      </c>
    </row>
    <row r="3501" spans="1:40" x14ac:dyDescent="0.3">
      <c r="A3501" t="s">
        <v>16515</v>
      </c>
      <c r="B3501" t="s">
        <v>1</v>
      </c>
      <c r="C3501" t="s">
        <v>16516</v>
      </c>
      <c r="D3501" t="s">
        <v>16517</v>
      </c>
      <c r="E3501" t="s">
        <v>16518</v>
      </c>
      <c r="F3501" t="s">
        <v>5</v>
      </c>
      <c r="G3501" t="s">
        <v>6</v>
      </c>
      <c r="K3501" t="s">
        <v>923</v>
      </c>
      <c r="L3501" t="s">
        <v>7</v>
      </c>
      <c r="M3501">
        <v>2023</v>
      </c>
      <c r="N3501" s="1">
        <v>45065</v>
      </c>
      <c r="O3501" t="s">
        <v>16519</v>
      </c>
      <c r="P3501">
        <v>1</v>
      </c>
      <c r="Q3501" t="s">
        <v>9678</v>
      </c>
      <c r="V3501" t="s">
        <v>329</v>
      </c>
      <c r="W3501" t="s">
        <v>4080</v>
      </c>
      <c r="X3501" t="s">
        <v>4080</v>
      </c>
      <c r="Y3501" t="s">
        <v>4081</v>
      </c>
      <c r="AF3501" t="s">
        <v>13</v>
      </c>
      <c r="AH3501" t="str">
        <f>HYPERLINK("http://www.degruyter.com/isbn/9781399517515")</f>
        <v>http://www.degruyter.com/isbn/9781399517515</v>
      </c>
      <c r="AI3501" t="s">
        <v>15750</v>
      </c>
      <c r="AL3501" t="s">
        <v>638</v>
      </c>
      <c r="AM3501">
        <v>1</v>
      </c>
      <c r="AN3501" s="2"/>
    </row>
    <row r="3502" spans="1:40" x14ac:dyDescent="0.3">
      <c r="A3502" t="s">
        <v>16520</v>
      </c>
      <c r="B3502" t="s">
        <v>1</v>
      </c>
      <c r="C3502" t="s">
        <v>16521</v>
      </c>
      <c r="D3502" t="s">
        <v>16522</v>
      </c>
      <c r="E3502" t="s">
        <v>16523</v>
      </c>
      <c r="F3502" t="s">
        <v>5</v>
      </c>
      <c r="G3502" t="s">
        <v>6</v>
      </c>
      <c r="L3502" t="s">
        <v>7</v>
      </c>
      <c r="M3502">
        <v>2023</v>
      </c>
      <c r="N3502" s="1">
        <v>45086</v>
      </c>
      <c r="O3502" t="s">
        <v>16524</v>
      </c>
      <c r="P3502">
        <v>1</v>
      </c>
      <c r="S3502">
        <v>217.95</v>
      </c>
      <c r="T3502">
        <v>250</v>
      </c>
      <c r="U3502">
        <v>190</v>
      </c>
      <c r="V3502" t="s">
        <v>42</v>
      </c>
      <c r="W3502" t="s">
        <v>290</v>
      </c>
      <c r="X3502" t="s">
        <v>290</v>
      </c>
      <c r="Y3502" t="s">
        <v>515</v>
      </c>
      <c r="AF3502" t="s">
        <v>13</v>
      </c>
      <c r="AH3502" t="str">
        <f>HYPERLINK("http://www.degruyter.com/isbn/9781474486071")</f>
        <v>http://www.degruyter.com/isbn/9781474486071</v>
      </c>
      <c r="AI3502" t="s">
        <v>15732</v>
      </c>
      <c r="AJ3502" t="s">
        <v>35</v>
      </c>
      <c r="AL3502" t="s">
        <v>638</v>
      </c>
      <c r="AM3502">
        <v>1</v>
      </c>
      <c r="AN3502" s="2">
        <v>9781474486057</v>
      </c>
    </row>
    <row r="3503" spans="1:40" x14ac:dyDescent="0.3">
      <c r="A3503" t="s">
        <v>16525</v>
      </c>
      <c r="B3503" t="s">
        <v>1</v>
      </c>
      <c r="C3503" t="s">
        <v>16526</v>
      </c>
      <c r="E3503" t="s">
        <v>16527</v>
      </c>
      <c r="F3503" t="s">
        <v>5</v>
      </c>
      <c r="G3503" t="s">
        <v>6</v>
      </c>
      <c r="L3503" t="s">
        <v>7</v>
      </c>
      <c r="M3503">
        <v>2023</v>
      </c>
      <c r="N3503" s="1">
        <v>45086</v>
      </c>
      <c r="O3503" t="s">
        <v>16528</v>
      </c>
      <c r="P3503">
        <v>1</v>
      </c>
      <c r="Q3503" t="s">
        <v>13361</v>
      </c>
      <c r="S3503">
        <v>227.95</v>
      </c>
      <c r="T3503">
        <v>260</v>
      </c>
      <c r="U3503">
        <v>200</v>
      </c>
      <c r="V3503" t="s">
        <v>42</v>
      </c>
      <c r="W3503" t="s">
        <v>107</v>
      </c>
      <c r="X3503" t="s">
        <v>108</v>
      </c>
      <c r="Y3503" t="s">
        <v>109</v>
      </c>
      <c r="AF3503" t="s">
        <v>13</v>
      </c>
      <c r="AH3503" t="str">
        <f>HYPERLINK("http://www.degruyter.com/isbn/9781474461962")</f>
        <v>http://www.degruyter.com/isbn/9781474461962</v>
      </c>
      <c r="AI3503" t="s">
        <v>15732</v>
      </c>
      <c r="AL3503" t="s">
        <v>638</v>
      </c>
      <c r="AM3503">
        <v>1</v>
      </c>
      <c r="AN3503" s="2">
        <v>9781474461948</v>
      </c>
    </row>
    <row r="3504" spans="1:40" x14ac:dyDescent="0.3">
      <c r="A3504" t="s">
        <v>16529</v>
      </c>
      <c r="B3504" t="s">
        <v>1</v>
      </c>
      <c r="C3504" t="s">
        <v>16530</v>
      </c>
      <c r="D3504" t="s">
        <v>16531</v>
      </c>
      <c r="E3504" t="s">
        <v>16532</v>
      </c>
      <c r="F3504" t="s">
        <v>5</v>
      </c>
      <c r="G3504" t="s">
        <v>6</v>
      </c>
      <c r="K3504" t="s">
        <v>923</v>
      </c>
      <c r="L3504" t="s">
        <v>7</v>
      </c>
      <c r="M3504">
        <v>2023</v>
      </c>
      <c r="N3504" s="1">
        <v>45075</v>
      </c>
      <c r="O3504" t="s">
        <v>16533</v>
      </c>
      <c r="P3504">
        <v>1</v>
      </c>
      <c r="Q3504" t="s">
        <v>12630</v>
      </c>
      <c r="V3504" t="s">
        <v>329</v>
      </c>
      <c r="W3504" t="s">
        <v>330</v>
      </c>
      <c r="X3504" t="s">
        <v>331</v>
      </c>
      <c r="Y3504" t="s">
        <v>1035</v>
      </c>
      <c r="AF3504" t="s">
        <v>13</v>
      </c>
      <c r="AH3504" t="str">
        <f>HYPERLINK("http://www.degruyter.com/isbn/9781399507486")</f>
        <v>http://www.degruyter.com/isbn/9781399507486</v>
      </c>
      <c r="AI3504" t="s">
        <v>15750</v>
      </c>
      <c r="AL3504" t="s">
        <v>638</v>
      </c>
      <c r="AM3504">
        <v>1</v>
      </c>
      <c r="AN3504" s="2"/>
    </row>
    <row r="3505" spans="1:40" x14ac:dyDescent="0.3">
      <c r="A3505" t="s">
        <v>16534</v>
      </c>
      <c r="B3505" t="s">
        <v>1</v>
      </c>
      <c r="C3505" t="s">
        <v>16535</v>
      </c>
      <c r="E3505" t="s">
        <v>16536</v>
      </c>
      <c r="F3505" t="s">
        <v>5</v>
      </c>
      <c r="G3505" t="s">
        <v>6</v>
      </c>
      <c r="L3505" t="s">
        <v>7</v>
      </c>
      <c r="M3505">
        <v>2023</v>
      </c>
      <c r="N3505" s="1">
        <v>45110</v>
      </c>
      <c r="O3505" t="s">
        <v>16537</v>
      </c>
      <c r="P3505">
        <v>1</v>
      </c>
      <c r="Q3505" t="s">
        <v>13309</v>
      </c>
      <c r="S3505">
        <v>347.95</v>
      </c>
      <c r="T3505">
        <v>400</v>
      </c>
      <c r="U3505">
        <v>310</v>
      </c>
      <c r="V3505" t="s">
        <v>42</v>
      </c>
      <c r="W3505" t="s">
        <v>43</v>
      </c>
      <c r="X3505" t="s">
        <v>178</v>
      </c>
      <c r="Y3505" t="s">
        <v>3750</v>
      </c>
      <c r="AF3505" t="s">
        <v>13</v>
      </c>
      <c r="AH3505" t="str">
        <f>HYPERLINK("http://www.degruyter.com/isbn/9781399510592")</f>
        <v>http://www.degruyter.com/isbn/9781399510592</v>
      </c>
      <c r="AI3505" t="s">
        <v>15732</v>
      </c>
      <c r="AL3505" t="s">
        <v>638</v>
      </c>
      <c r="AM3505">
        <v>1</v>
      </c>
      <c r="AN3505" s="2">
        <v>9781399510585</v>
      </c>
    </row>
    <row r="3506" spans="1:40" x14ac:dyDescent="0.3">
      <c r="A3506" t="s">
        <v>16538</v>
      </c>
      <c r="B3506" t="s">
        <v>1</v>
      </c>
      <c r="C3506" t="s">
        <v>16539</v>
      </c>
      <c r="E3506" t="s">
        <v>16540</v>
      </c>
      <c r="F3506" t="s">
        <v>5</v>
      </c>
      <c r="G3506" t="s">
        <v>6</v>
      </c>
      <c r="L3506" t="s">
        <v>7</v>
      </c>
      <c r="M3506">
        <v>2023</v>
      </c>
      <c r="N3506" s="1">
        <v>45117</v>
      </c>
      <c r="O3506" t="s">
        <v>11083</v>
      </c>
      <c r="P3506">
        <v>1</v>
      </c>
      <c r="Q3506" t="s">
        <v>7655</v>
      </c>
      <c r="S3506">
        <v>227.95</v>
      </c>
      <c r="T3506">
        <v>260</v>
      </c>
      <c r="U3506">
        <v>200</v>
      </c>
      <c r="V3506" t="s">
        <v>9</v>
      </c>
      <c r="W3506" t="s">
        <v>10</v>
      </c>
      <c r="X3506" t="s">
        <v>11</v>
      </c>
      <c r="Y3506" t="s">
        <v>52</v>
      </c>
      <c r="AF3506" t="s">
        <v>13</v>
      </c>
      <c r="AH3506" t="str">
        <f>HYPERLINK("http://www.degruyter.com/isbn/9781399507028")</f>
        <v>http://www.degruyter.com/isbn/9781399507028</v>
      </c>
      <c r="AI3506" t="s">
        <v>15325</v>
      </c>
      <c r="AL3506" t="s">
        <v>638</v>
      </c>
      <c r="AM3506">
        <v>1</v>
      </c>
      <c r="AN3506" s="2">
        <v>9781399507004</v>
      </c>
    </row>
    <row r="3507" spans="1:40" x14ac:dyDescent="0.3">
      <c r="A3507" t="s">
        <v>16541</v>
      </c>
      <c r="B3507" t="s">
        <v>1</v>
      </c>
      <c r="C3507" t="s">
        <v>16542</v>
      </c>
      <c r="D3507" t="s">
        <v>16543</v>
      </c>
      <c r="E3507" t="s">
        <v>16544</v>
      </c>
      <c r="F3507" t="s">
        <v>5</v>
      </c>
      <c r="G3507" t="s">
        <v>6</v>
      </c>
      <c r="L3507" t="s">
        <v>7</v>
      </c>
      <c r="M3507">
        <v>2023</v>
      </c>
      <c r="N3507" s="1">
        <v>45117</v>
      </c>
      <c r="O3507" t="s">
        <v>16545</v>
      </c>
      <c r="P3507">
        <v>1</v>
      </c>
      <c r="Q3507" t="s">
        <v>16546</v>
      </c>
      <c r="S3507">
        <v>227.95</v>
      </c>
      <c r="T3507">
        <v>260</v>
      </c>
      <c r="U3507">
        <v>200</v>
      </c>
      <c r="V3507" t="s">
        <v>20</v>
      </c>
      <c r="W3507" t="s">
        <v>21</v>
      </c>
      <c r="X3507" t="s">
        <v>458</v>
      </c>
      <c r="Y3507" t="s">
        <v>459</v>
      </c>
      <c r="AF3507" t="s">
        <v>13</v>
      </c>
      <c r="AH3507" t="str">
        <f>HYPERLINK("http://www.degruyter.com/isbn/9781399503556")</f>
        <v>http://www.degruyter.com/isbn/9781399503556</v>
      </c>
      <c r="AI3507" t="s">
        <v>15750</v>
      </c>
      <c r="AL3507" t="s">
        <v>638</v>
      </c>
      <c r="AM3507">
        <v>1</v>
      </c>
      <c r="AN3507" s="2">
        <v>9781399503532</v>
      </c>
    </row>
    <row r="3508" spans="1:40" x14ac:dyDescent="0.3">
      <c r="A3508" t="s">
        <v>16547</v>
      </c>
      <c r="B3508" t="s">
        <v>1</v>
      </c>
      <c r="C3508" t="s">
        <v>16548</v>
      </c>
      <c r="D3508" t="s">
        <v>16549</v>
      </c>
      <c r="E3508" t="s">
        <v>16550</v>
      </c>
      <c r="F3508" t="s">
        <v>5</v>
      </c>
      <c r="G3508" t="s">
        <v>6</v>
      </c>
      <c r="L3508" t="s">
        <v>7</v>
      </c>
      <c r="M3508">
        <v>2023</v>
      </c>
      <c r="N3508" s="1">
        <v>45086</v>
      </c>
      <c r="O3508" t="s">
        <v>16551</v>
      </c>
      <c r="P3508">
        <v>1</v>
      </c>
      <c r="S3508">
        <v>209.95</v>
      </c>
      <c r="T3508">
        <v>240</v>
      </c>
      <c r="U3508">
        <v>180</v>
      </c>
      <c r="V3508" t="s">
        <v>9</v>
      </c>
      <c r="W3508" t="s">
        <v>10</v>
      </c>
      <c r="X3508" t="s">
        <v>11</v>
      </c>
      <c r="Y3508" t="s">
        <v>12</v>
      </c>
      <c r="AF3508" t="s">
        <v>13</v>
      </c>
      <c r="AH3508" t="str">
        <f>HYPERLINK("http://www.degruyter.com/isbn/9781474447591")</f>
        <v>http://www.degruyter.com/isbn/9781474447591</v>
      </c>
      <c r="AI3508" t="s">
        <v>15325</v>
      </c>
      <c r="AL3508" t="s">
        <v>638</v>
      </c>
      <c r="AM3508">
        <v>1</v>
      </c>
      <c r="AN3508" s="2">
        <v>9781474447584</v>
      </c>
    </row>
    <row r="3509" spans="1:40" x14ac:dyDescent="0.3">
      <c r="A3509" t="s">
        <v>16552</v>
      </c>
      <c r="B3509" t="s">
        <v>1</v>
      </c>
      <c r="C3509" t="s">
        <v>16553</v>
      </c>
      <c r="D3509" t="s">
        <v>16554</v>
      </c>
      <c r="E3509" t="s">
        <v>16555</v>
      </c>
      <c r="F3509" t="s">
        <v>5</v>
      </c>
      <c r="G3509" t="s">
        <v>6</v>
      </c>
      <c r="L3509" t="s">
        <v>7</v>
      </c>
      <c r="M3509">
        <v>2023</v>
      </c>
      <c r="N3509" s="1">
        <v>44987</v>
      </c>
      <c r="O3509" t="s">
        <v>16556</v>
      </c>
      <c r="P3509">
        <v>1</v>
      </c>
      <c r="S3509">
        <v>209.95</v>
      </c>
      <c r="T3509">
        <v>240</v>
      </c>
      <c r="U3509">
        <v>180</v>
      </c>
      <c r="V3509" t="s">
        <v>20</v>
      </c>
      <c r="W3509" t="s">
        <v>21</v>
      </c>
      <c r="X3509" t="s">
        <v>22</v>
      </c>
      <c r="Y3509" t="s">
        <v>23</v>
      </c>
      <c r="AF3509" t="s">
        <v>13</v>
      </c>
      <c r="AH3509" t="str">
        <f>HYPERLINK("http://www.degruyter.com/isbn/9781399503433")</f>
        <v>http://www.degruyter.com/isbn/9781399503433</v>
      </c>
      <c r="AI3509" t="s">
        <v>15812</v>
      </c>
      <c r="AL3509" t="s">
        <v>638</v>
      </c>
      <c r="AM3509">
        <v>1</v>
      </c>
      <c r="AN3509" s="2">
        <v>9781399503419</v>
      </c>
    </row>
    <row r="3510" spans="1:40" x14ac:dyDescent="0.3">
      <c r="A3510" t="s">
        <v>16557</v>
      </c>
      <c r="B3510" t="s">
        <v>1</v>
      </c>
      <c r="C3510" t="s">
        <v>16558</v>
      </c>
      <c r="E3510" t="s">
        <v>16559</v>
      </c>
      <c r="F3510" t="s">
        <v>5</v>
      </c>
      <c r="G3510" t="s">
        <v>6</v>
      </c>
      <c r="L3510" t="s">
        <v>7</v>
      </c>
      <c r="M3510">
        <v>2023</v>
      </c>
      <c r="N3510" s="1">
        <v>45110</v>
      </c>
      <c r="O3510" t="s">
        <v>16560</v>
      </c>
      <c r="P3510">
        <v>1</v>
      </c>
      <c r="Q3510" t="s">
        <v>8994</v>
      </c>
      <c r="S3510">
        <v>347.95</v>
      </c>
      <c r="T3510">
        <v>400</v>
      </c>
      <c r="U3510">
        <v>310</v>
      </c>
      <c r="V3510" t="s">
        <v>89</v>
      </c>
      <c r="W3510" t="s">
        <v>16561</v>
      </c>
      <c r="X3510" t="s">
        <v>16562</v>
      </c>
      <c r="Y3510" t="s">
        <v>14164</v>
      </c>
      <c r="AF3510" t="s">
        <v>13</v>
      </c>
      <c r="AH3510" t="str">
        <f>HYPERLINK("http://www.degruyter.com/isbn/9781399507448")</f>
        <v>http://www.degruyter.com/isbn/9781399507448</v>
      </c>
      <c r="AI3510" t="s">
        <v>15923</v>
      </c>
      <c r="AL3510" t="s">
        <v>638</v>
      </c>
      <c r="AM3510">
        <v>1</v>
      </c>
      <c r="AN3510" s="2">
        <v>9781399507431</v>
      </c>
    </row>
    <row r="3511" spans="1:40" x14ac:dyDescent="0.3">
      <c r="A3511" t="s">
        <v>16563</v>
      </c>
      <c r="B3511" t="s">
        <v>1</v>
      </c>
      <c r="C3511" t="s">
        <v>16564</v>
      </c>
      <c r="D3511" t="s">
        <v>16565</v>
      </c>
      <c r="E3511" t="s">
        <v>16566</v>
      </c>
      <c r="F3511" t="s">
        <v>5</v>
      </c>
      <c r="G3511" t="s">
        <v>6</v>
      </c>
      <c r="L3511" t="s">
        <v>7</v>
      </c>
      <c r="M3511">
        <v>2023</v>
      </c>
      <c r="N3511" s="1">
        <v>45110</v>
      </c>
      <c r="O3511" t="s">
        <v>16567</v>
      </c>
      <c r="P3511">
        <v>1</v>
      </c>
      <c r="S3511">
        <v>227.95</v>
      </c>
      <c r="T3511">
        <v>260</v>
      </c>
      <c r="U3511">
        <v>200</v>
      </c>
      <c r="V3511" t="s">
        <v>42</v>
      </c>
      <c r="W3511" t="s">
        <v>116</v>
      </c>
      <c r="X3511" t="s">
        <v>116</v>
      </c>
      <c r="Y3511" t="s">
        <v>16568</v>
      </c>
      <c r="AF3511" t="s">
        <v>13</v>
      </c>
      <c r="AH3511" t="str">
        <f>HYPERLINK("http://www.degruyter.com/isbn/9781399506878")</f>
        <v>http://www.degruyter.com/isbn/9781399506878</v>
      </c>
      <c r="AI3511" t="s">
        <v>15732</v>
      </c>
      <c r="AL3511" t="s">
        <v>638</v>
      </c>
      <c r="AM3511">
        <v>1</v>
      </c>
      <c r="AN3511" s="2">
        <v>9781399506854</v>
      </c>
    </row>
    <row r="3512" spans="1:40" x14ac:dyDescent="0.3">
      <c r="A3512" t="s">
        <v>16569</v>
      </c>
      <c r="B3512" t="s">
        <v>1</v>
      </c>
      <c r="C3512" t="s">
        <v>16570</v>
      </c>
      <c r="D3512" t="s">
        <v>5690</v>
      </c>
      <c r="E3512" t="s">
        <v>16571</v>
      </c>
      <c r="F3512" t="s">
        <v>5</v>
      </c>
      <c r="G3512" t="s">
        <v>6</v>
      </c>
      <c r="K3512" t="s">
        <v>4259</v>
      </c>
      <c r="L3512" t="s">
        <v>7</v>
      </c>
      <c r="M3512">
        <v>2023</v>
      </c>
      <c r="N3512" s="1">
        <v>45065</v>
      </c>
      <c r="O3512" t="s">
        <v>16572</v>
      </c>
      <c r="P3512">
        <v>1</v>
      </c>
      <c r="Q3512" t="s">
        <v>5693</v>
      </c>
      <c r="V3512" t="s">
        <v>42</v>
      </c>
      <c r="W3512" t="s">
        <v>43</v>
      </c>
      <c r="X3512" t="s">
        <v>178</v>
      </c>
      <c r="Y3512" t="s">
        <v>3750</v>
      </c>
      <c r="AF3512" t="s">
        <v>13</v>
      </c>
      <c r="AH3512" t="str">
        <f>HYPERLINK("http://www.degruyter.com/isbn/9781399500579")</f>
        <v>http://www.degruyter.com/isbn/9781399500579</v>
      </c>
      <c r="AI3512" t="s">
        <v>15732</v>
      </c>
      <c r="AL3512" t="s">
        <v>638</v>
      </c>
      <c r="AM3512">
        <v>1</v>
      </c>
      <c r="AN3512" s="2"/>
    </row>
    <row r="3513" spans="1:40" x14ac:dyDescent="0.3">
      <c r="A3513" t="s">
        <v>16573</v>
      </c>
      <c r="B3513" t="s">
        <v>1</v>
      </c>
      <c r="C3513" t="s">
        <v>16574</v>
      </c>
      <c r="E3513" t="s">
        <v>16575</v>
      </c>
      <c r="F3513" t="s">
        <v>5</v>
      </c>
      <c r="G3513" t="s">
        <v>6</v>
      </c>
      <c r="L3513" t="s">
        <v>7</v>
      </c>
      <c r="M3513">
        <v>2023</v>
      </c>
      <c r="N3513" s="1">
        <v>45086</v>
      </c>
      <c r="O3513" t="s">
        <v>16576</v>
      </c>
      <c r="P3513">
        <v>1</v>
      </c>
      <c r="S3513">
        <v>227.95</v>
      </c>
      <c r="T3513">
        <v>260</v>
      </c>
      <c r="U3513">
        <v>200</v>
      </c>
      <c r="V3513" t="s">
        <v>42</v>
      </c>
      <c r="W3513" t="s">
        <v>116</v>
      </c>
      <c r="X3513" t="s">
        <v>116</v>
      </c>
      <c r="Y3513" t="s">
        <v>3967</v>
      </c>
      <c r="AF3513" t="s">
        <v>13</v>
      </c>
      <c r="AH3513" t="str">
        <f>HYPERLINK("http://www.degruyter.com/isbn/9781474497602")</f>
        <v>http://www.degruyter.com/isbn/9781474497602</v>
      </c>
      <c r="AI3513" t="s">
        <v>15732</v>
      </c>
      <c r="AL3513" t="s">
        <v>638</v>
      </c>
      <c r="AM3513">
        <v>1</v>
      </c>
      <c r="AN3513" s="2">
        <v>9781474497589</v>
      </c>
    </row>
    <row r="3514" spans="1:40" x14ac:dyDescent="0.3">
      <c r="A3514" t="s">
        <v>16577</v>
      </c>
      <c r="B3514" t="s">
        <v>1</v>
      </c>
      <c r="C3514" t="s">
        <v>16578</v>
      </c>
      <c r="D3514" t="s">
        <v>16579</v>
      </c>
      <c r="E3514" t="s">
        <v>16580</v>
      </c>
      <c r="F3514" t="s">
        <v>5</v>
      </c>
      <c r="G3514" t="s">
        <v>6</v>
      </c>
      <c r="L3514" t="s">
        <v>7</v>
      </c>
      <c r="M3514">
        <v>2023</v>
      </c>
      <c r="N3514" s="1">
        <v>45125</v>
      </c>
      <c r="O3514" t="s">
        <v>16581</v>
      </c>
      <c r="P3514">
        <v>1</v>
      </c>
      <c r="Q3514" t="s">
        <v>14000</v>
      </c>
      <c r="S3514">
        <v>243.95</v>
      </c>
      <c r="T3514">
        <v>280</v>
      </c>
      <c r="U3514">
        <v>210</v>
      </c>
      <c r="V3514" t="s">
        <v>42</v>
      </c>
      <c r="W3514" t="s">
        <v>116</v>
      </c>
      <c r="X3514" t="s">
        <v>116</v>
      </c>
      <c r="Y3514" t="s">
        <v>117</v>
      </c>
      <c r="AF3514" t="s">
        <v>13</v>
      </c>
      <c r="AH3514" t="str">
        <f>HYPERLINK("http://www.degruyter.com/isbn/9781399519199")</f>
        <v>http://www.degruyter.com/isbn/9781399519199</v>
      </c>
      <c r="AI3514" t="s">
        <v>15732</v>
      </c>
      <c r="AL3514" t="s">
        <v>638</v>
      </c>
      <c r="AM3514">
        <v>1</v>
      </c>
      <c r="AN3514" s="2">
        <v>9781399519182</v>
      </c>
    </row>
    <row r="3515" spans="1:40" x14ac:dyDescent="0.3">
      <c r="A3515" t="s">
        <v>16582</v>
      </c>
      <c r="B3515" t="s">
        <v>1</v>
      </c>
      <c r="C3515" t="s">
        <v>16583</v>
      </c>
      <c r="E3515" t="s">
        <v>16584</v>
      </c>
      <c r="F3515" t="s">
        <v>5</v>
      </c>
      <c r="G3515" t="s">
        <v>6</v>
      </c>
      <c r="L3515" t="s">
        <v>7</v>
      </c>
      <c r="M3515">
        <v>2023</v>
      </c>
      <c r="N3515" s="1">
        <v>45110</v>
      </c>
      <c r="O3515" t="s">
        <v>16585</v>
      </c>
      <c r="P3515">
        <v>1</v>
      </c>
      <c r="Q3515" t="s">
        <v>6829</v>
      </c>
      <c r="S3515">
        <v>227.95</v>
      </c>
      <c r="T3515">
        <v>260</v>
      </c>
      <c r="U3515">
        <v>200</v>
      </c>
      <c r="V3515" t="s">
        <v>9</v>
      </c>
      <c r="W3515" t="s">
        <v>10</v>
      </c>
      <c r="X3515" t="s">
        <v>11</v>
      </c>
      <c r="Y3515" t="s">
        <v>52</v>
      </c>
      <c r="AF3515" t="s">
        <v>13</v>
      </c>
      <c r="AH3515" t="str">
        <f>HYPERLINK("http://www.degruyter.com/isbn/9781399508186")</f>
        <v>http://www.degruyter.com/isbn/9781399508186</v>
      </c>
      <c r="AI3515" t="s">
        <v>15325</v>
      </c>
      <c r="AL3515" t="s">
        <v>638</v>
      </c>
      <c r="AM3515">
        <v>1</v>
      </c>
      <c r="AN3515" s="2">
        <v>9781399508162</v>
      </c>
    </row>
    <row r="3516" spans="1:40" x14ac:dyDescent="0.3">
      <c r="A3516" t="s">
        <v>16586</v>
      </c>
      <c r="B3516" t="s">
        <v>1</v>
      </c>
      <c r="C3516" t="s">
        <v>16587</v>
      </c>
      <c r="D3516" t="s">
        <v>16588</v>
      </c>
      <c r="E3516" t="s">
        <v>16589</v>
      </c>
      <c r="F3516" t="s">
        <v>5</v>
      </c>
      <c r="G3516" t="s">
        <v>6</v>
      </c>
      <c r="L3516" t="s">
        <v>7</v>
      </c>
      <c r="M3516">
        <v>2023</v>
      </c>
      <c r="N3516" s="1">
        <v>45091</v>
      </c>
      <c r="O3516" t="s">
        <v>16590</v>
      </c>
      <c r="P3516">
        <v>1</v>
      </c>
      <c r="Q3516" t="s">
        <v>8883</v>
      </c>
      <c r="S3516">
        <v>209.95</v>
      </c>
      <c r="T3516">
        <v>240</v>
      </c>
      <c r="U3516">
        <v>180</v>
      </c>
      <c r="V3516" t="s">
        <v>79</v>
      </c>
      <c r="W3516" t="s">
        <v>734</v>
      </c>
      <c r="X3516" t="s">
        <v>734</v>
      </c>
      <c r="Y3516" t="s">
        <v>735</v>
      </c>
      <c r="AF3516" t="s">
        <v>13</v>
      </c>
      <c r="AH3516" t="str">
        <f>HYPERLINK("http://www.degruyter.com/isbn/9781399507684")</f>
        <v>http://www.degruyter.com/isbn/9781399507684</v>
      </c>
      <c r="AI3516" t="s">
        <v>16146</v>
      </c>
      <c r="AL3516" t="s">
        <v>638</v>
      </c>
      <c r="AM3516">
        <v>1</v>
      </c>
      <c r="AN3516" s="2">
        <v>9781399507660</v>
      </c>
    </row>
    <row r="3517" spans="1:40" x14ac:dyDescent="0.3">
      <c r="A3517" t="s">
        <v>16591</v>
      </c>
      <c r="B3517" t="s">
        <v>1</v>
      </c>
      <c r="C3517" t="s">
        <v>16592</v>
      </c>
      <c r="E3517" t="s">
        <v>16593</v>
      </c>
      <c r="F3517" t="s">
        <v>5</v>
      </c>
      <c r="G3517" t="s">
        <v>6</v>
      </c>
      <c r="L3517" t="s">
        <v>7</v>
      </c>
      <c r="M3517">
        <v>2023</v>
      </c>
      <c r="N3517" s="1">
        <v>45096</v>
      </c>
      <c r="O3517" t="s">
        <v>16594</v>
      </c>
      <c r="P3517">
        <v>1</v>
      </c>
      <c r="Q3517" t="s">
        <v>14964</v>
      </c>
      <c r="S3517">
        <v>417.95</v>
      </c>
      <c r="T3517">
        <v>480</v>
      </c>
      <c r="U3517">
        <v>370</v>
      </c>
      <c r="V3517" t="s">
        <v>42</v>
      </c>
      <c r="W3517" t="s">
        <v>107</v>
      </c>
      <c r="X3517" t="s">
        <v>108</v>
      </c>
      <c r="Y3517" t="s">
        <v>952</v>
      </c>
      <c r="AF3517" t="s">
        <v>13</v>
      </c>
      <c r="AH3517" t="str">
        <f>HYPERLINK("http://www.degruyter.com/isbn/9781474499248")</f>
        <v>http://www.degruyter.com/isbn/9781474499248</v>
      </c>
      <c r="AI3517" t="s">
        <v>15732</v>
      </c>
      <c r="AL3517" t="s">
        <v>638</v>
      </c>
      <c r="AM3517">
        <v>1</v>
      </c>
      <c r="AN3517" s="2">
        <v>9781474499231</v>
      </c>
    </row>
    <row r="3518" spans="1:40" x14ac:dyDescent="0.3">
      <c r="A3518" t="s">
        <v>16595</v>
      </c>
      <c r="B3518" t="s">
        <v>1</v>
      </c>
      <c r="C3518" t="s">
        <v>16596</v>
      </c>
      <c r="E3518" t="s">
        <v>16597</v>
      </c>
      <c r="F3518" t="s">
        <v>5</v>
      </c>
      <c r="G3518" t="s">
        <v>6</v>
      </c>
      <c r="L3518" t="s">
        <v>7</v>
      </c>
      <c r="M3518">
        <v>2023</v>
      </c>
      <c r="N3518" s="1">
        <v>45160</v>
      </c>
      <c r="O3518" t="s">
        <v>16598</v>
      </c>
      <c r="P3518">
        <v>1</v>
      </c>
      <c r="Q3518" t="s">
        <v>7303</v>
      </c>
      <c r="S3518">
        <v>227.95</v>
      </c>
      <c r="T3518">
        <v>260</v>
      </c>
      <c r="U3518">
        <v>200</v>
      </c>
      <c r="V3518" t="s">
        <v>305</v>
      </c>
      <c r="W3518" t="s">
        <v>2566</v>
      </c>
      <c r="X3518" t="s">
        <v>2567</v>
      </c>
      <c r="Y3518" t="s">
        <v>13429</v>
      </c>
      <c r="AF3518" t="s">
        <v>13</v>
      </c>
      <c r="AH3518" t="str">
        <f>HYPERLINK("http://www.degruyter.com/isbn/9781399525091")</f>
        <v>http://www.degruyter.com/isbn/9781399525091</v>
      </c>
      <c r="AI3518" t="s">
        <v>15325</v>
      </c>
      <c r="AL3518" t="s">
        <v>638</v>
      </c>
      <c r="AM3518">
        <v>1</v>
      </c>
      <c r="AN3518" s="2">
        <v>9781399525077</v>
      </c>
    </row>
    <row r="3519" spans="1:40" x14ac:dyDescent="0.3">
      <c r="A3519" t="s">
        <v>16599</v>
      </c>
      <c r="B3519" t="s">
        <v>1</v>
      </c>
      <c r="C3519" t="s">
        <v>16600</v>
      </c>
      <c r="D3519" t="s">
        <v>16601</v>
      </c>
      <c r="E3519" t="s">
        <v>16602</v>
      </c>
      <c r="F3519" t="s">
        <v>5</v>
      </c>
      <c r="G3519" t="s">
        <v>6</v>
      </c>
      <c r="L3519" t="s">
        <v>7</v>
      </c>
      <c r="M3519">
        <v>2023</v>
      </c>
      <c r="N3519" s="1">
        <v>45169</v>
      </c>
      <c r="O3519" t="s">
        <v>16603</v>
      </c>
      <c r="P3519">
        <v>1</v>
      </c>
      <c r="Q3519" t="s">
        <v>15661</v>
      </c>
      <c r="S3519">
        <v>209.95</v>
      </c>
      <c r="T3519">
        <v>240</v>
      </c>
      <c r="U3519">
        <v>180</v>
      </c>
      <c r="V3519" t="s">
        <v>42</v>
      </c>
      <c r="W3519" t="s">
        <v>107</v>
      </c>
      <c r="X3519" t="s">
        <v>108</v>
      </c>
      <c r="Y3519" t="s">
        <v>109</v>
      </c>
      <c r="AF3519" t="s">
        <v>13</v>
      </c>
      <c r="AH3519" t="str">
        <f>HYPERLINK("http://www.degruyter.com/isbn/9781399522212")</f>
        <v>http://www.degruyter.com/isbn/9781399522212</v>
      </c>
      <c r="AI3519" t="s">
        <v>15732</v>
      </c>
      <c r="AL3519" t="s">
        <v>638</v>
      </c>
      <c r="AM3519">
        <v>1</v>
      </c>
      <c r="AN3519" s="2">
        <v>9781399522199</v>
      </c>
    </row>
    <row r="3520" spans="1:40" x14ac:dyDescent="0.3">
      <c r="A3520" t="s">
        <v>16604</v>
      </c>
      <c r="B3520" t="s">
        <v>1</v>
      </c>
      <c r="C3520" t="s">
        <v>16605</v>
      </c>
      <c r="D3520" t="s">
        <v>16606</v>
      </c>
      <c r="E3520" t="s">
        <v>16607</v>
      </c>
      <c r="F3520" t="s">
        <v>5</v>
      </c>
      <c r="G3520" t="s">
        <v>6</v>
      </c>
      <c r="L3520" t="s">
        <v>7</v>
      </c>
      <c r="M3520">
        <v>2023</v>
      </c>
      <c r="N3520" s="1">
        <v>45173</v>
      </c>
      <c r="O3520" t="s">
        <v>16608</v>
      </c>
      <c r="P3520">
        <v>1</v>
      </c>
      <c r="S3520">
        <v>209.95</v>
      </c>
      <c r="T3520">
        <v>240</v>
      </c>
      <c r="U3520">
        <v>180</v>
      </c>
      <c r="V3520" t="s">
        <v>58</v>
      </c>
      <c r="W3520" t="s">
        <v>59</v>
      </c>
      <c r="X3520" t="s">
        <v>278</v>
      </c>
      <c r="Y3520" t="s">
        <v>279</v>
      </c>
      <c r="AF3520" t="s">
        <v>13</v>
      </c>
      <c r="AH3520" t="str">
        <f>HYPERLINK("http://www.degruyter.com/isbn/9781474467292")</f>
        <v>http://www.degruyter.com/isbn/9781474467292</v>
      </c>
      <c r="AI3520" t="s">
        <v>15918</v>
      </c>
      <c r="AL3520" t="s">
        <v>638</v>
      </c>
      <c r="AM3520">
        <v>1</v>
      </c>
      <c r="AN3520" s="2">
        <v>9781474467278</v>
      </c>
    </row>
    <row r="3521" spans="1:40" x14ac:dyDescent="0.3">
      <c r="A3521" t="s">
        <v>16609</v>
      </c>
      <c r="B3521" t="s">
        <v>1</v>
      </c>
      <c r="C3521" t="s">
        <v>16610</v>
      </c>
      <c r="D3521" t="s">
        <v>16611</v>
      </c>
      <c r="E3521" t="s">
        <v>16612</v>
      </c>
      <c r="F3521" t="s">
        <v>5</v>
      </c>
      <c r="G3521" t="s">
        <v>6</v>
      </c>
      <c r="L3521" t="s">
        <v>7</v>
      </c>
      <c r="M3521">
        <v>2023</v>
      </c>
      <c r="N3521" s="1">
        <v>45160</v>
      </c>
      <c r="O3521" t="s">
        <v>16613</v>
      </c>
      <c r="P3521">
        <v>1</v>
      </c>
      <c r="Q3521" t="s">
        <v>14976</v>
      </c>
      <c r="S3521">
        <v>217.95</v>
      </c>
      <c r="T3521">
        <v>250</v>
      </c>
      <c r="U3521">
        <v>190</v>
      </c>
      <c r="V3521" t="s">
        <v>305</v>
      </c>
      <c r="W3521" t="s">
        <v>306</v>
      </c>
      <c r="X3521" t="s">
        <v>306</v>
      </c>
      <c r="Y3521" t="s">
        <v>1689</v>
      </c>
      <c r="AF3521" t="s">
        <v>13</v>
      </c>
      <c r="AH3521" t="str">
        <f>HYPERLINK("http://www.degruyter.com/isbn/9781474492409")</f>
        <v>http://www.degruyter.com/isbn/9781474492409</v>
      </c>
      <c r="AI3521" t="s">
        <v>15325</v>
      </c>
      <c r="AL3521" t="s">
        <v>638</v>
      </c>
      <c r="AM3521">
        <v>1</v>
      </c>
      <c r="AN3521" s="2">
        <v>9781474492386</v>
      </c>
    </row>
    <row r="3522" spans="1:40" x14ac:dyDescent="0.3">
      <c r="A3522" t="s">
        <v>16614</v>
      </c>
      <c r="B3522" t="s">
        <v>1</v>
      </c>
      <c r="C3522" t="s">
        <v>16615</v>
      </c>
      <c r="E3522" t="s">
        <v>16616</v>
      </c>
      <c r="F3522" t="s">
        <v>5</v>
      </c>
      <c r="G3522" t="s">
        <v>6</v>
      </c>
      <c r="K3522" t="s">
        <v>16617</v>
      </c>
      <c r="L3522" t="s">
        <v>7</v>
      </c>
      <c r="M3522">
        <v>2023</v>
      </c>
      <c r="N3522" s="1">
        <v>45264</v>
      </c>
      <c r="O3522" t="s">
        <v>16618</v>
      </c>
      <c r="P3522">
        <v>1</v>
      </c>
      <c r="Q3522" t="s">
        <v>12974</v>
      </c>
      <c r="V3522" t="s">
        <v>20</v>
      </c>
      <c r="W3522" t="s">
        <v>21</v>
      </c>
      <c r="X3522" t="s">
        <v>839</v>
      </c>
      <c r="Y3522" t="s">
        <v>840</v>
      </c>
      <c r="AF3522" t="s">
        <v>13</v>
      </c>
      <c r="AH3522" t="str">
        <f>HYPERLINK("http://www.degruyter.com/isbn/9781399515795")</f>
        <v>http://www.degruyter.com/isbn/9781399515795</v>
      </c>
      <c r="AI3522" t="s">
        <v>15812</v>
      </c>
      <c r="AL3522" t="s">
        <v>638</v>
      </c>
      <c r="AM3522">
        <v>1</v>
      </c>
      <c r="AN3522" s="2"/>
    </row>
    <row r="3523" spans="1:40" x14ac:dyDescent="0.3">
      <c r="A3523" t="s">
        <v>16619</v>
      </c>
      <c r="B3523" t="s">
        <v>1</v>
      </c>
      <c r="C3523" t="s">
        <v>16620</v>
      </c>
      <c r="E3523" t="s">
        <v>16621</v>
      </c>
      <c r="F3523" t="s">
        <v>5</v>
      </c>
      <c r="G3523" t="s">
        <v>6</v>
      </c>
      <c r="L3523" t="s">
        <v>7</v>
      </c>
      <c r="M3523">
        <v>2023</v>
      </c>
      <c r="N3523" s="1">
        <v>45111</v>
      </c>
      <c r="O3523" t="s">
        <v>16622</v>
      </c>
      <c r="P3523">
        <v>1</v>
      </c>
      <c r="Q3523" t="s">
        <v>13309</v>
      </c>
      <c r="S3523">
        <v>347.95</v>
      </c>
      <c r="T3523">
        <v>400</v>
      </c>
      <c r="U3523">
        <v>310</v>
      </c>
      <c r="V3523" t="s">
        <v>305</v>
      </c>
      <c r="W3523" t="s">
        <v>306</v>
      </c>
      <c r="X3523" t="s">
        <v>306</v>
      </c>
      <c r="Y3523" t="s">
        <v>2066</v>
      </c>
      <c r="AF3523" t="s">
        <v>13</v>
      </c>
      <c r="AH3523" t="str">
        <f>HYPERLINK("http://www.degruyter.com/isbn/9781474499910")</f>
        <v>http://www.degruyter.com/isbn/9781474499910</v>
      </c>
      <c r="AI3523" t="s">
        <v>15325</v>
      </c>
      <c r="AL3523" t="s">
        <v>638</v>
      </c>
      <c r="AM3523">
        <v>1</v>
      </c>
      <c r="AN3523" s="2">
        <v>9781474499903</v>
      </c>
    </row>
    <row r="3524" spans="1:40" x14ac:dyDescent="0.3">
      <c r="A3524" t="s">
        <v>16623</v>
      </c>
      <c r="B3524" t="s">
        <v>1</v>
      </c>
      <c r="C3524" t="s">
        <v>16624</v>
      </c>
      <c r="D3524" t="s">
        <v>16625</v>
      </c>
      <c r="E3524" t="s">
        <v>16626</v>
      </c>
      <c r="F3524" t="s">
        <v>5</v>
      </c>
      <c r="G3524" t="s">
        <v>6</v>
      </c>
      <c r="L3524" t="s">
        <v>7</v>
      </c>
      <c r="M3524">
        <v>2023</v>
      </c>
      <c r="N3524" s="1">
        <v>45139</v>
      </c>
      <c r="O3524" t="s">
        <v>16627</v>
      </c>
      <c r="P3524">
        <v>1</v>
      </c>
      <c r="S3524">
        <v>243.95</v>
      </c>
      <c r="T3524">
        <v>280</v>
      </c>
      <c r="U3524">
        <v>210</v>
      </c>
      <c r="V3524" t="s">
        <v>58</v>
      </c>
      <c r="W3524" t="s">
        <v>59</v>
      </c>
      <c r="X3524" t="s">
        <v>60</v>
      </c>
      <c r="Y3524" t="s">
        <v>16628</v>
      </c>
      <c r="AF3524" t="s">
        <v>13</v>
      </c>
      <c r="AH3524" t="str">
        <f>HYPERLINK("http://www.degruyter.com/isbn/9781399519670")</f>
        <v>http://www.degruyter.com/isbn/9781399519670</v>
      </c>
      <c r="AI3524" t="s">
        <v>15918</v>
      </c>
      <c r="AL3524" t="s">
        <v>638</v>
      </c>
      <c r="AM3524">
        <v>1</v>
      </c>
      <c r="AN3524" s="2">
        <v>9781399519656</v>
      </c>
    </row>
    <row r="3525" spans="1:40" x14ac:dyDescent="0.3">
      <c r="A3525" t="s">
        <v>16629</v>
      </c>
      <c r="B3525" t="s">
        <v>1</v>
      </c>
      <c r="C3525" t="s">
        <v>16630</v>
      </c>
      <c r="E3525" t="s">
        <v>16631</v>
      </c>
      <c r="F3525" t="s">
        <v>5</v>
      </c>
      <c r="G3525" t="s">
        <v>6</v>
      </c>
      <c r="L3525" t="s">
        <v>7</v>
      </c>
      <c r="M3525">
        <v>2023</v>
      </c>
      <c r="N3525" s="1">
        <v>45160</v>
      </c>
      <c r="O3525" t="s">
        <v>16632</v>
      </c>
      <c r="P3525">
        <v>1</v>
      </c>
      <c r="S3525">
        <v>295.95</v>
      </c>
      <c r="T3525">
        <v>340</v>
      </c>
      <c r="U3525">
        <v>260</v>
      </c>
      <c r="V3525" t="s">
        <v>42</v>
      </c>
      <c r="W3525" t="s">
        <v>116</v>
      </c>
      <c r="X3525" t="s">
        <v>116</v>
      </c>
      <c r="Y3525" t="s">
        <v>117</v>
      </c>
      <c r="AF3525" t="s">
        <v>13</v>
      </c>
      <c r="AH3525" t="str">
        <f>HYPERLINK("http://www.degruyter.com/isbn/9781474487597")</f>
        <v>http://www.degruyter.com/isbn/9781474487597</v>
      </c>
      <c r="AI3525" t="s">
        <v>15732</v>
      </c>
      <c r="AL3525" t="s">
        <v>638</v>
      </c>
      <c r="AM3525">
        <v>1</v>
      </c>
      <c r="AN3525" s="2">
        <v>9781474487573</v>
      </c>
    </row>
    <row r="3526" spans="1:40" x14ac:dyDescent="0.3">
      <c r="A3526" t="s">
        <v>16633</v>
      </c>
      <c r="B3526" t="s">
        <v>1</v>
      </c>
      <c r="C3526" t="s">
        <v>16634</v>
      </c>
      <c r="D3526" t="s">
        <v>16635</v>
      </c>
      <c r="E3526" t="s">
        <v>16636</v>
      </c>
      <c r="F3526" t="s">
        <v>5</v>
      </c>
      <c r="G3526" t="s">
        <v>6</v>
      </c>
      <c r="L3526" t="s">
        <v>7</v>
      </c>
      <c r="M3526">
        <v>2023</v>
      </c>
      <c r="N3526" s="1">
        <v>45198</v>
      </c>
      <c r="O3526" t="s">
        <v>16637</v>
      </c>
      <c r="P3526">
        <v>1</v>
      </c>
      <c r="S3526">
        <v>209.95</v>
      </c>
      <c r="T3526">
        <v>240</v>
      </c>
      <c r="U3526">
        <v>180</v>
      </c>
      <c r="V3526" t="s">
        <v>20</v>
      </c>
      <c r="W3526" t="s">
        <v>21</v>
      </c>
      <c r="X3526" t="s">
        <v>22</v>
      </c>
      <c r="Y3526" t="s">
        <v>23</v>
      </c>
      <c r="AF3526" t="s">
        <v>13</v>
      </c>
      <c r="AH3526" t="str">
        <f>HYPERLINK("http://www.degruyter.com/isbn/9781399522557")</f>
        <v>http://www.degruyter.com/isbn/9781399522557</v>
      </c>
      <c r="AI3526" t="s">
        <v>15812</v>
      </c>
      <c r="AL3526" t="s">
        <v>638</v>
      </c>
      <c r="AM3526">
        <v>1</v>
      </c>
      <c r="AN3526" s="2">
        <v>9781399522533</v>
      </c>
    </row>
    <row r="3527" spans="1:40" x14ac:dyDescent="0.3">
      <c r="A3527" t="s">
        <v>16638</v>
      </c>
      <c r="B3527" t="s">
        <v>1</v>
      </c>
      <c r="C3527" t="s">
        <v>16639</v>
      </c>
      <c r="E3527" t="s">
        <v>16640</v>
      </c>
      <c r="F3527" t="s">
        <v>5</v>
      </c>
      <c r="G3527" t="s">
        <v>6</v>
      </c>
      <c r="L3527" t="s">
        <v>7</v>
      </c>
      <c r="M3527">
        <v>2023</v>
      </c>
      <c r="N3527" s="1">
        <v>45231</v>
      </c>
      <c r="O3527" t="s">
        <v>15001</v>
      </c>
      <c r="P3527">
        <v>1</v>
      </c>
      <c r="Q3527" t="s">
        <v>15002</v>
      </c>
      <c r="S3527">
        <v>295.95</v>
      </c>
      <c r="T3527">
        <v>340</v>
      </c>
      <c r="U3527">
        <v>260</v>
      </c>
      <c r="V3527" t="s">
        <v>79</v>
      </c>
      <c r="W3527" t="s">
        <v>16641</v>
      </c>
      <c r="X3527" t="s">
        <v>16642</v>
      </c>
      <c r="Y3527" t="s">
        <v>16643</v>
      </c>
      <c r="AF3527" t="s">
        <v>13</v>
      </c>
      <c r="AH3527" t="str">
        <f>HYPERLINK("http://www.degruyter.com/isbn/9781399525190")</f>
        <v>http://www.degruyter.com/isbn/9781399525190</v>
      </c>
      <c r="AI3527" t="s">
        <v>16146</v>
      </c>
      <c r="AL3527" t="s">
        <v>638</v>
      </c>
      <c r="AM3527">
        <v>1</v>
      </c>
      <c r="AN3527" s="2">
        <v>9781399525176</v>
      </c>
    </row>
    <row r="3528" spans="1:40" x14ac:dyDescent="0.3">
      <c r="A3528" t="s">
        <v>16644</v>
      </c>
      <c r="B3528" t="s">
        <v>1</v>
      </c>
      <c r="C3528" t="s">
        <v>16645</v>
      </c>
      <c r="E3528" t="s">
        <v>16646</v>
      </c>
      <c r="F3528" t="s">
        <v>5</v>
      </c>
      <c r="G3528" t="s">
        <v>6</v>
      </c>
      <c r="L3528" t="s">
        <v>7</v>
      </c>
      <c r="M3528">
        <v>2023</v>
      </c>
      <c r="N3528" s="1">
        <v>45160</v>
      </c>
      <c r="O3528" t="s">
        <v>16647</v>
      </c>
      <c r="P3528">
        <v>1</v>
      </c>
      <c r="Q3528" t="s">
        <v>14976</v>
      </c>
      <c r="S3528">
        <v>295.95</v>
      </c>
      <c r="T3528">
        <v>340</v>
      </c>
      <c r="U3528">
        <v>260</v>
      </c>
      <c r="V3528" t="s">
        <v>305</v>
      </c>
      <c r="W3528" t="s">
        <v>650</v>
      </c>
      <c r="X3528" t="s">
        <v>650</v>
      </c>
      <c r="Y3528" t="s">
        <v>651</v>
      </c>
      <c r="AF3528" t="s">
        <v>13</v>
      </c>
      <c r="AH3528" t="str">
        <f>HYPERLINK("http://www.degruyter.com/isbn/9781399512596")</f>
        <v>http://www.degruyter.com/isbn/9781399512596</v>
      </c>
      <c r="AI3528" t="s">
        <v>15325</v>
      </c>
      <c r="AL3528" t="s">
        <v>638</v>
      </c>
      <c r="AM3528">
        <v>1</v>
      </c>
      <c r="AN3528" s="2">
        <v>9781399512572</v>
      </c>
    </row>
    <row r="3529" spans="1:40" x14ac:dyDescent="0.3">
      <c r="A3529" t="s">
        <v>16648</v>
      </c>
      <c r="B3529" t="s">
        <v>1</v>
      </c>
      <c r="C3529" t="s">
        <v>16649</v>
      </c>
      <c r="D3529" t="s">
        <v>16650</v>
      </c>
      <c r="E3529" t="s">
        <v>16651</v>
      </c>
      <c r="F3529" t="s">
        <v>5</v>
      </c>
      <c r="G3529" t="s">
        <v>6</v>
      </c>
      <c r="L3529" t="s">
        <v>7</v>
      </c>
      <c r="M3529">
        <v>2023</v>
      </c>
      <c r="N3529" s="1">
        <v>45173</v>
      </c>
      <c r="O3529" t="s">
        <v>16652</v>
      </c>
      <c r="P3529">
        <v>1</v>
      </c>
      <c r="S3529">
        <v>209.95</v>
      </c>
      <c r="T3529">
        <v>240</v>
      </c>
      <c r="U3529">
        <v>180</v>
      </c>
      <c r="V3529" t="s">
        <v>58</v>
      </c>
      <c r="W3529" t="s">
        <v>59</v>
      </c>
      <c r="X3529" t="s">
        <v>60</v>
      </c>
      <c r="Y3529" t="s">
        <v>73</v>
      </c>
      <c r="AF3529" t="s">
        <v>13</v>
      </c>
      <c r="AH3529" t="str">
        <f>HYPERLINK("http://www.degruyter.com/isbn/9781399511872")</f>
        <v>http://www.degruyter.com/isbn/9781399511872</v>
      </c>
      <c r="AI3529" t="s">
        <v>15918</v>
      </c>
      <c r="AL3529" t="s">
        <v>638</v>
      </c>
      <c r="AM3529">
        <v>1</v>
      </c>
      <c r="AN3529" s="2">
        <v>9781399511858</v>
      </c>
    </row>
    <row r="3530" spans="1:40" x14ac:dyDescent="0.3">
      <c r="A3530" t="s">
        <v>16653</v>
      </c>
      <c r="B3530" t="s">
        <v>1</v>
      </c>
      <c r="C3530" t="s">
        <v>16654</v>
      </c>
      <c r="D3530" t="s">
        <v>16655</v>
      </c>
      <c r="E3530" t="s">
        <v>16656</v>
      </c>
      <c r="F3530" t="s">
        <v>5</v>
      </c>
      <c r="G3530" t="s">
        <v>6</v>
      </c>
      <c r="L3530" t="s">
        <v>7</v>
      </c>
      <c r="M3530">
        <v>2023</v>
      </c>
      <c r="N3530" s="1">
        <v>45169</v>
      </c>
      <c r="O3530" t="s">
        <v>16657</v>
      </c>
      <c r="P3530">
        <v>1</v>
      </c>
      <c r="S3530">
        <v>209.95</v>
      </c>
      <c r="T3530">
        <v>240</v>
      </c>
      <c r="U3530">
        <v>180</v>
      </c>
      <c r="V3530" t="s">
        <v>20</v>
      </c>
      <c r="W3530" t="s">
        <v>556</v>
      </c>
      <c r="X3530" t="s">
        <v>902</v>
      </c>
      <c r="Y3530" t="s">
        <v>903</v>
      </c>
      <c r="AF3530" t="s">
        <v>13</v>
      </c>
      <c r="AH3530" t="str">
        <f>HYPERLINK("http://www.degruyter.com/isbn/9781474489751")</f>
        <v>http://www.degruyter.com/isbn/9781474489751</v>
      </c>
      <c r="AI3530" t="s">
        <v>15812</v>
      </c>
      <c r="AL3530" t="s">
        <v>638</v>
      </c>
      <c r="AM3530">
        <v>1</v>
      </c>
      <c r="AN3530" s="2">
        <v>9781474489720</v>
      </c>
    </row>
    <row r="3531" spans="1:40" x14ac:dyDescent="0.3">
      <c r="A3531" t="s">
        <v>16658</v>
      </c>
      <c r="B3531" t="s">
        <v>1</v>
      </c>
      <c r="C3531" t="s">
        <v>16659</v>
      </c>
      <c r="D3531" t="s">
        <v>16660</v>
      </c>
      <c r="E3531" t="s">
        <v>16661</v>
      </c>
      <c r="F3531" t="s">
        <v>5</v>
      </c>
      <c r="G3531" t="s">
        <v>6</v>
      </c>
      <c r="L3531" t="s">
        <v>7</v>
      </c>
      <c r="M3531">
        <v>2024</v>
      </c>
      <c r="N3531" s="1">
        <v>45264</v>
      </c>
      <c r="O3531" t="s">
        <v>16662</v>
      </c>
      <c r="P3531">
        <v>1</v>
      </c>
      <c r="Q3531" t="s">
        <v>6899</v>
      </c>
      <c r="S3531">
        <v>227.95</v>
      </c>
      <c r="T3531">
        <v>260</v>
      </c>
      <c r="U3531">
        <v>200</v>
      </c>
      <c r="V3531" t="s">
        <v>20</v>
      </c>
      <c r="W3531" t="s">
        <v>556</v>
      </c>
      <c r="X3531" t="s">
        <v>16663</v>
      </c>
      <c r="Y3531" t="s">
        <v>16664</v>
      </c>
      <c r="AF3531" t="s">
        <v>13</v>
      </c>
      <c r="AH3531" t="str">
        <f>HYPERLINK("http://www.degruyter.com/isbn/9781399512077")</f>
        <v>http://www.degruyter.com/isbn/9781399512077</v>
      </c>
      <c r="AI3531" t="s">
        <v>16665</v>
      </c>
      <c r="AL3531" t="s">
        <v>638</v>
      </c>
      <c r="AM3531">
        <v>1</v>
      </c>
      <c r="AN3531" s="2">
        <v>9781399512053</v>
      </c>
    </row>
    <row r="3532" spans="1:40" x14ac:dyDescent="0.3">
      <c r="A3532" t="s">
        <v>16666</v>
      </c>
      <c r="B3532" t="s">
        <v>1</v>
      </c>
      <c r="C3532" t="s">
        <v>16667</v>
      </c>
      <c r="D3532" t="s">
        <v>16668</v>
      </c>
      <c r="E3532" t="s">
        <v>16669</v>
      </c>
      <c r="F3532" t="s">
        <v>5</v>
      </c>
      <c r="G3532" t="s">
        <v>6</v>
      </c>
      <c r="L3532" t="s">
        <v>7</v>
      </c>
      <c r="M3532">
        <v>2023</v>
      </c>
      <c r="N3532" s="1">
        <v>45110</v>
      </c>
      <c r="O3532" t="s">
        <v>16670</v>
      </c>
      <c r="P3532">
        <v>1</v>
      </c>
      <c r="S3532">
        <v>209.95</v>
      </c>
      <c r="T3532">
        <v>240</v>
      </c>
      <c r="U3532">
        <v>180</v>
      </c>
      <c r="V3532" t="s">
        <v>9</v>
      </c>
      <c r="W3532" t="s">
        <v>10</v>
      </c>
      <c r="X3532" t="s">
        <v>11</v>
      </c>
      <c r="Y3532" t="s">
        <v>52</v>
      </c>
      <c r="AF3532" t="s">
        <v>13</v>
      </c>
      <c r="AH3532" t="str">
        <f>HYPERLINK("http://www.degruyter.com/isbn/9781399522786")</f>
        <v>http://www.degruyter.com/isbn/9781399522786</v>
      </c>
      <c r="AI3532" t="s">
        <v>15325</v>
      </c>
      <c r="AL3532" t="s">
        <v>638</v>
      </c>
      <c r="AM3532">
        <v>1</v>
      </c>
      <c r="AN3532" s="2">
        <v>9781399522762</v>
      </c>
    </row>
    <row r="3533" spans="1:40" x14ac:dyDescent="0.3">
      <c r="A3533" t="s">
        <v>16671</v>
      </c>
      <c r="B3533" t="s">
        <v>1</v>
      </c>
      <c r="C3533" t="s">
        <v>16672</v>
      </c>
      <c r="D3533" t="s">
        <v>16673</v>
      </c>
      <c r="E3533" t="s">
        <v>16674</v>
      </c>
      <c r="F3533" t="s">
        <v>5</v>
      </c>
      <c r="G3533" t="s">
        <v>6</v>
      </c>
      <c r="L3533" t="s">
        <v>7</v>
      </c>
      <c r="M3533">
        <v>2024</v>
      </c>
      <c r="N3533" s="1">
        <v>45264</v>
      </c>
      <c r="O3533" t="s">
        <v>16675</v>
      </c>
      <c r="P3533">
        <v>1</v>
      </c>
      <c r="S3533">
        <v>209.95</v>
      </c>
      <c r="T3533">
        <v>240</v>
      </c>
      <c r="U3533">
        <v>180</v>
      </c>
      <c r="V3533" t="s">
        <v>9</v>
      </c>
      <c r="W3533" t="s">
        <v>10</v>
      </c>
      <c r="X3533" t="s">
        <v>11</v>
      </c>
      <c r="Y3533" t="s">
        <v>52</v>
      </c>
      <c r="AF3533" t="s">
        <v>13</v>
      </c>
      <c r="AH3533" t="str">
        <f>HYPERLINK("http://www.degruyter.com/isbn/9781399504942")</f>
        <v>http://www.degruyter.com/isbn/9781399504942</v>
      </c>
      <c r="AI3533" t="s">
        <v>16676</v>
      </c>
      <c r="AL3533" t="s">
        <v>638</v>
      </c>
      <c r="AM3533">
        <v>1</v>
      </c>
      <c r="AN3533" s="2">
        <v>9781399504928</v>
      </c>
    </row>
    <row r="3534" spans="1:40" x14ac:dyDescent="0.3">
      <c r="A3534" t="s">
        <v>16677</v>
      </c>
      <c r="B3534" t="s">
        <v>1</v>
      </c>
      <c r="C3534" t="s">
        <v>16678</v>
      </c>
      <c r="E3534" t="s">
        <v>16679</v>
      </c>
      <c r="F3534" t="s">
        <v>5</v>
      </c>
      <c r="G3534" t="s">
        <v>6</v>
      </c>
      <c r="L3534" t="s">
        <v>7</v>
      </c>
      <c r="M3534">
        <v>2023</v>
      </c>
      <c r="N3534" s="1">
        <v>45173</v>
      </c>
      <c r="O3534" t="s">
        <v>16680</v>
      </c>
      <c r="P3534">
        <v>1</v>
      </c>
      <c r="S3534">
        <v>217.95</v>
      </c>
      <c r="T3534">
        <v>250</v>
      </c>
      <c r="U3534">
        <v>190</v>
      </c>
      <c r="V3534" t="s">
        <v>42</v>
      </c>
      <c r="W3534" t="s">
        <v>116</v>
      </c>
      <c r="X3534" t="s">
        <v>116</v>
      </c>
      <c r="Y3534" t="s">
        <v>117</v>
      </c>
      <c r="AF3534" t="s">
        <v>13</v>
      </c>
      <c r="AH3534" t="str">
        <f>HYPERLINK("http://www.degruyter.com/isbn/9781399519168")</f>
        <v>http://www.degruyter.com/isbn/9781399519168</v>
      </c>
      <c r="AI3534" t="s">
        <v>15732</v>
      </c>
      <c r="AL3534" t="s">
        <v>638</v>
      </c>
      <c r="AM3534">
        <v>1</v>
      </c>
      <c r="AN3534" s="2">
        <v>9781399519144</v>
      </c>
    </row>
    <row r="3535" spans="1:40" x14ac:dyDescent="0.3">
      <c r="A3535" t="s">
        <v>16681</v>
      </c>
      <c r="B3535" t="s">
        <v>1</v>
      </c>
      <c r="C3535" t="s">
        <v>16682</v>
      </c>
      <c r="E3535" t="s">
        <v>16683</v>
      </c>
      <c r="F3535" t="s">
        <v>5</v>
      </c>
      <c r="G3535" t="s">
        <v>6</v>
      </c>
      <c r="L3535" t="s">
        <v>7</v>
      </c>
      <c r="M3535">
        <v>2023</v>
      </c>
      <c r="N3535" s="1">
        <v>45065</v>
      </c>
      <c r="O3535" t="s">
        <v>13686</v>
      </c>
      <c r="P3535">
        <v>1</v>
      </c>
      <c r="Q3535" t="s">
        <v>15661</v>
      </c>
      <c r="S3535">
        <v>217.95</v>
      </c>
      <c r="T3535">
        <v>250</v>
      </c>
      <c r="U3535">
        <v>190</v>
      </c>
      <c r="V3535" t="s">
        <v>42</v>
      </c>
      <c r="W3535" t="s">
        <v>107</v>
      </c>
      <c r="X3535" t="s">
        <v>108</v>
      </c>
      <c r="Y3535" t="s">
        <v>109</v>
      </c>
      <c r="AF3535" t="s">
        <v>13</v>
      </c>
      <c r="AH3535" t="str">
        <f>HYPERLINK("http://www.degruyter.com/isbn/9781399516105")</f>
        <v>http://www.degruyter.com/isbn/9781399516105</v>
      </c>
      <c r="AI3535" t="s">
        <v>15732</v>
      </c>
      <c r="AL3535" t="s">
        <v>638</v>
      </c>
      <c r="AM3535">
        <v>1</v>
      </c>
      <c r="AN3535" s="2">
        <v>9781399516082</v>
      </c>
    </row>
    <row r="3536" spans="1:40" x14ac:dyDescent="0.3">
      <c r="A3536" t="s">
        <v>16684</v>
      </c>
      <c r="B3536" t="s">
        <v>1</v>
      </c>
      <c r="C3536" t="s">
        <v>16685</v>
      </c>
      <c r="D3536" t="s">
        <v>16686</v>
      </c>
      <c r="E3536" t="s">
        <v>16687</v>
      </c>
      <c r="F3536" t="s">
        <v>5</v>
      </c>
      <c r="G3536" t="s">
        <v>6</v>
      </c>
      <c r="L3536" t="s">
        <v>7</v>
      </c>
      <c r="M3536">
        <v>2023</v>
      </c>
      <c r="N3536" s="1">
        <v>45173</v>
      </c>
      <c r="O3536" t="s">
        <v>16688</v>
      </c>
      <c r="P3536">
        <v>1</v>
      </c>
      <c r="S3536">
        <v>209.95</v>
      </c>
      <c r="T3536">
        <v>240</v>
      </c>
      <c r="U3536">
        <v>180</v>
      </c>
      <c r="V3536" t="s">
        <v>9</v>
      </c>
      <c r="W3536" t="s">
        <v>10</v>
      </c>
      <c r="X3536" t="s">
        <v>11</v>
      </c>
      <c r="Y3536" t="s">
        <v>52</v>
      </c>
      <c r="AF3536" t="s">
        <v>13</v>
      </c>
      <c r="AH3536" t="str">
        <f>HYPERLINK("http://www.degruyter.com/isbn/9781399521789")</f>
        <v>http://www.degruyter.com/isbn/9781399521789</v>
      </c>
      <c r="AI3536" t="s">
        <v>15325</v>
      </c>
      <c r="AJ3536" t="s">
        <v>35</v>
      </c>
      <c r="AL3536" t="s">
        <v>638</v>
      </c>
      <c r="AM3536">
        <v>1</v>
      </c>
      <c r="AN3536" s="2">
        <v>9781399521765</v>
      </c>
    </row>
    <row r="3537" spans="1:40" x14ac:dyDescent="0.3">
      <c r="A3537" t="s">
        <v>16689</v>
      </c>
      <c r="B3537" t="s">
        <v>1</v>
      </c>
      <c r="C3537" t="s">
        <v>16690</v>
      </c>
      <c r="D3537" t="s">
        <v>16691</v>
      </c>
      <c r="E3537" t="s">
        <v>16692</v>
      </c>
      <c r="F3537" t="s">
        <v>5</v>
      </c>
      <c r="G3537" t="s">
        <v>6</v>
      </c>
      <c r="L3537" t="s">
        <v>7</v>
      </c>
      <c r="M3537">
        <v>2023</v>
      </c>
      <c r="N3537" s="1">
        <v>45111</v>
      </c>
      <c r="O3537" t="s">
        <v>16693</v>
      </c>
      <c r="P3537">
        <v>1</v>
      </c>
      <c r="S3537">
        <v>217.95</v>
      </c>
      <c r="T3537">
        <v>250</v>
      </c>
      <c r="U3537">
        <v>190</v>
      </c>
      <c r="V3537" t="s">
        <v>42</v>
      </c>
      <c r="W3537" t="s">
        <v>107</v>
      </c>
      <c r="X3537" t="s">
        <v>108</v>
      </c>
      <c r="Y3537" t="s">
        <v>221</v>
      </c>
      <c r="AF3537" t="s">
        <v>13</v>
      </c>
      <c r="AH3537" t="str">
        <f>HYPERLINK("http://www.degruyter.com/isbn/9781399516808")</f>
        <v>http://www.degruyter.com/isbn/9781399516808</v>
      </c>
      <c r="AI3537" t="s">
        <v>15732</v>
      </c>
      <c r="AL3537" t="s">
        <v>638</v>
      </c>
      <c r="AM3537">
        <v>1</v>
      </c>
      <c r="AN3537" s="2">
        <v>9781399516785</v>
      </c>
    </row>
    <row r="3538" spans="1:40" x14ac:dyDescent="0.3">
      <c r="A3538" t="s">
        <v>16694</v>
      </c>
      <c r="B3538" t="s">
        <v>1</v>
      </c>
      <c r="C3538" t="s">
        <v>16695</v>
      </c>
      <c r="E3538" t="s">
        <v>16696</v>
      </c>
      <c r="F3538" t="s">
        <v>5</v>
      </c>
      <c r="G3538" t="s">
        <v>6</v>
      </c>
      <c r="L3538" t="s">
        <v>7</v>
      </c>
      <c r="M3538">
        <v>2024</v>
      </c>
      <c r="N3538" s="1">
        <v>45264</v>
      </c>
      <c r="O3538" t="s">
        <v>184</v>
      </c>
      <c r="P3538">
        <v>1</v>
      </c>
      <c r="S3538">
        <v>217.95</v>
      </c>
      <c r="T3538">
        <v>250</v>
      </c>
      <c r="U3538">
        <v>190</v>
      </c>
      <c r="V3538" t="s">
        <v>58</v>
      </c>
      <c r="W3538" t="s">
        <v>59</v>
      </c>
      <c r="X3538" t="s">
        <v>3771</v>
      </c>
      <c r="Y3538" t="s">
        <v>3772</v>
      </c>
      <c r="AF3538" t="s">
        <v>13</v>
      </c>
      <c r="AH3538" t="str">
        <f>HYPERLINK("http://www.degruyter.com/isbn/9781399506441")</f>
        <v>http://www.degruyter.com/isbn/9781399506441</v>
      </c>
      <c r="AI3538" t="s">
        <v>16697</v>
      </c>
      <c r="AL3538" t="s">
        <v>638</v>
      </c>
      <c r="AM3538">
        <v>1</v>
      </c>
      <c r="AN3538" s="2">
        <v>9781399506427</v>
      </c>
    </row>
    <row r="3539" spans="1:40" x14ac:dyDescent="0.3">
      <c r="A3539" t="s">
        <v>16698</v>
      </c>
      <c r="B3539" t="s">
        <v>1</v>
      </c>
      <c r="C3539" t="s">
        <v>16699</v>
      </c>
      <c r="E3539" t="s">
        <v>16700</v>
      </c>
      <c r="F3539" t="s">
        <v>5</v>
      </c>
      <c r="G3539" t="s">
        <v>6</v>
      </c>
      <c r="L3539" t="s">
        <v>7</v>
      </c>
      <c r="M3539">
        <v>2023</v>
      </c>
      <c r="N3539" s="1">
        <v>45092</v>
      </c>
      <c r="O3539" t="s">
        <v>16701</v>
      </c>
      <c r="P3539">
        <v>1</v>
      </c>
      <c r="Q3539" t="s">
        <v>8883</v>
      </c>
      <c r="S3539">
        <v>209.95</v>
      </c>
      <c r="T3539">
        <v>240</v>
      </c>
      <c r="U3539">
        <v>180</v>
      </c>
      <c r="V3539" t="s">
        <v>79</v>
      </c>
      <c r="W3539" t="s">
        <v>734</v>
      </c>
      <c r="X3539" t="s">
        <v>734</v>
      </c>
      <c r="Y3539" t="s">
        <v>735</v>
      </c>
      <c r="AF3539" t="s">
        <v>13</v>
      </c>
      <c r="AH3539" t="str">
        <f>HYPERLINK("http://www.degruyter.com/isbn/9781474483803")</f>
        <v>http://www.degruyter.com/isbn/9781474483803</v>
      </c>
      <c r="AI3539" t="s">
        <v>16146</v>
      </c>
      <c r="AL3539" t="s">
        <v>638</v>
      </c>
      <c r="AM3539">
        <v>1</v>
      </c>
      <c r="AN3539" s="2">
        <v>9781474483780</v>
      </c>
    </row>
    <row r="3540" spans="1:40" x14ac:dyDescent="0.3">
      <c r="A3540" t="s">
        <v>16702</v>
      </c>
      <c r="B3540" t="s">
        <v>1</v>
      </c>
      <c r="C3540" t="s">
        <v>16703</v>
      </c>
      <c r="D3540" t="s">
        <v>16704</v>
      </c>
      <c r="E3540" t="s">
        <v>16705</v>
      </c>
      <c r="F3540" t="s">
        <v>5</v>
      </c>
      <c r="G3540" t="s">
        <v>6</v>
      </c>
      <c r="L3540" t="s">
        <v>7</v>
      </c>
      <c r="M3540">
        <v>2023</v>
      </c>
      <c r="N3540" s="1">
        <v>45139</v>
      </c>
      <c r="O3540" t="s">
        <v>16706</v>
      </c>
      <c r="P3540">
        <v>1</v>
      </c>
      <c r="S3540">
        <v>209.95</v>
      </c>
      <c r="T3540">
        <v>240</v>
      </c>
      <c r="U3540">
        <v>180</v>
      </c>
      <c r="V3540" t="s">
        <v>9</v>
      </c>
      <c r="W3540" t="s">
        <v>10</v>
      </c>
      <c r="X3540" t="s">
        <v>11</v>
      </c>
      <c r="Y3540" t="s">
        <v>52</v>
      </c>
      <c r="AF3540" t="s">
        <v>13</v>
      </c>
      <c r="AH3540" t="str">
        <f>HYPERLINK("http://www.degruyter.com/isbn/9781474496636")</f>
        <v>http://www.degruyter.com/isbn/9781474496636</v>
      </c>
      <c r="AI3540" t="s">
        <v>15325</v>
      </c>
      <c r="AJ3540" t="s">
        <v>35</v>
      </c>
      <c r="AL3540" t="s">
        <v>638</v>
      </c>
      <c r="AM3540">
        <v>1</v>
      </c>
      <c r="AN3540" s="2">
        <v>9781474496612</v>
      </c>
    </row>
    <row r="3541" spans="1:40" x14ac:dyDescent="0.3">
      <c r="A3541" t="s">
        <v>16707</v>
      </c>
      <c r="B3541" t="s">
        <v>1</v>
      </c>
      <c r="C3541" t="s">
        <v>16708</v>
      </c>
      <c r="D3541" t="s">
        <v>16709</v>
      </c>
      <c r="E3541" t="s">
        <v>16710</v>
      </c>
      <c r="F3541" t="s">
        <v>5</v>
      </c>
      <c r="G3541" t="s">
        <v>6</v>
      </c>
      <c r="L3541" t="s">
        <v>7</v>
      </c>
      <c r="M3541">
        <v>2023</v>
      </c>
      <c r="N3541" s="1">
        <v>45169</v>
      </c>
      <c r="O3541" t="s">
        <v>16711</v>
      </c>
      <c r="P3541">
        <v>1</v>
      </c>
      <c r="S3541">
        <v>209.95</v>
      </c>
      <c r="T3541">
        <v>240</v>
      </c>
      <c r="U3541">
        <v>180</v>
      </c>
      <c r="V3541" t="s">
        <v>58</v>
      </c>
      <c r="W3541" t="s">
        <v>59</v>
      </c>
      <c r="X3541" t="s">
        <v>60</v>
      </c>
      <c r="Y3541" t="s">
        <v>61</v>
      </c>
      <c r="AF3541" t="s">
        <v>13</v>
      </c>
      <c r="AH3541" t="str">
        <f>HYPERLINK("http://www.degruyter.com/isbn/9781399511957")</f>
        <v>http://www.degruyter.com/isbn/9781399511957</v>
      </c>
      <c r="AI3541" t="s">
        <v>15918</v>
      </c>
      <c r="AL3541" t="s">
        <v>638</v>
      </c>
      <c r="AM3541">
        <v>1</v>
      </c>
      <c r="AN3541" s="2">
        <v>9781399511933</v>
      </c>
    </row>
    <row r="3542" spans="1:40" x14ac:dyDescent="0.3">
      <c r="A3542" t="s">
        <v>16712</v>
      </c>
      <c r="B3542" t="s">
        <v>1</v>
      </c>
      <c r="C3542" t="s">
        <v>16713</v>
      </c>
      <c r="D3542" t="s">
        <v>16714</v>
      </c>
      <c r="E3542" t="s">
        <v>16715</v>
      </c>
      <c r="F3542" t="s">
        <v>5</v>
      </c>
      <c r="G3542" t="s">
        <v>6</v>
      </c>
      <c r="L3542" t="s">
        <v>7</v>
      </c>
      <c r="M3542">
        <v>2023</v>
      </c>
      <c r="N3542" s="1">
        <v>45169</v>
      </c>
      <c r="O3542" t="s">
        <v>16716</v>
      </c>
      <c r="P3542">
        <v>1</v>
      </c>
      <c r="Q3542" t="s">
        <v>12181</v>
      </c>
      <c r="S3542">
        <v>209.95</v>
      </c>
      <c r="T3542">
        <v>240</v>
      </c>
      <c r="U3542">
        <v>180</v>
      </c>
      <c r="V3542" t="s">
        <v>79</v>
      </c>
      <c r="W3542" t="s">
        <v>783</v>
      </c>
      <c r="X3542" t="s">
        <v>783</v>
      </c>
      <c r="Y3542" t="s">
        <v>784</v>
      </c>
      <c r="AF3542" t="s">
        <v>13</v>
      </c>
      <c r="AH3542" t="str">
        <f>HYPERLINK("http://www.degruyter.com/isbn/9781399522458")</f>
        <v>http://www.degruyter.com/isbn/9781399522458</v>
      </c>
      <c r="AI3542" t="s">
        <v>16146</v>
      </c>
      <c r="AL3542" t="s">
        <v>638</v>
      </c>
      <c r="AM3542">
        <v>1</v>
      </c>
      <c r="AN3542" s="2">
        <v>9781399522434</v>
      </c>
    </row>
    <row r="3543" spans="1:40" x14ac:dyDescent="0.3">
      <c r="A3543" t="s">
        <v>16717</v>
      </c>
      <c r="B3543" t="s">
        <v>1</v>
      </c>
      <c r="C3543" t="s">
        <v>16718</v>
      </c>
      <c r="E3543" t="s">
        <v>16719</v>
      </c>
      <c r="F3543" t="s">
        <v>5</v>
      </c>
      <c r="G3543" t="s">
        <v>6</v>
      </c>
      <c r="L3543" t="s">
        <v>7</v>
      </c>
      <c r="M3543">
        <v>2023</v>
      </c>
      <c r="N3543" s="1">
        <v>45110</v>
      </c>
      <c r="O3543" t="s">
        <v>16720</v>
      </c>
      <c r="P3543">
        <v>1</v>
      </c>
      <c r="Q3543" t="s">
        <v>6665</v>
      </c>
      <c r="S3543">
        <v>209.95</v>
      </c>
      <c r="T3543">
        <v>240</v>
      </c>
      <c r="U3543">
        <v>180</v>
      </c>
      <c r="V3543" t="s">
        <v>9</v>
      </c>
      <c r="W3543" t="s">
        <v>10</v>
      </c>
      <c r="X3543" t="s">
        <v>11</v>
      </c>
      <c r="Y3543" t="s">
        <v>45</v>
      </c>
      <c r="AF3543" t="s">
        <v>13</v>
      </c>
      <c r="AH3543" t="str">
        <f>HYPERLINK("http://www.degruyter.com/isbn/9781474482400")</f>
        <v>http://www.degruyter.com/isbn/9781474482400</v>
      </c>
      <c r="AI3543" t="s">
        <v>16233</v>
      </c>
      <c r="AL3543" t="s">
        <v>638</v>
      </c>
      <c r="AM3543">
        <v>1</v>
      </c>
      <c r="AN3543" s="2">
        <v>9781474482387</v>
      </c>
    </row>
    <row r="3544" spans="1:40" x14ac:dyDescent="0.3">
      <c r="A3544" t="s">
        <v>16721</v>
      </c>
      <c r="B3544" t="s">
        <v>1</v>
      </c>
      <c r="C3544" t="s">
        <v>16722</v>
      </c>
      <c r="E3544" t="s">
        <v>16723</v>
      </c>
      <c r="F3544" t="s">
        <v>5</v>
      </c>
      <c r="G3544" t="s">
        <v>6</v>
      </c>
      <c r="L3544" t="s">
        <v>7</v>
      </c>
      <c r="M3544">
        <v>2023</v>
      </c>
      <c r="N3544" s="1">
        <v>45264</v>
      </c>
      <c r="O3544" t="s">
        <v>16724</v>
      </c>
      <c r="P3544">
        <v>1</v>
      </c>
      <c r="Q3544" t="s">
        <v>6899</v>
      </c>
      <c r="S3544">
        <v>227.95</v>
      </c>
      <c r="T3544">
        <v>260</v>
      </c>
      <c r="U3544">
        <v>200</v>
      </c>
      <c r="V3544" t="s">
        <v>329</v>
      </c>
      <c r="W3544" t="s">
        <v>330</v>
      </c>
      <c r="X3544" t="s">
        <v>331</v>
      </c>
      <c r="Y3544" t="s">
        <v>4770</v>
      </c>
      <c r="AF3544" t="s">
        <v>13</v>
      </c>
      <c r="AH3544" t="str">
        <f>HYPERLINK("http://www.degruyter.com/isbn/9781399520553")</f>
        <v>http://www.degruyter.com/isbn/9781399520553</v>
      </c>
      <c r="AI3544" t="s">
        <v>15750</v>
      </c>
      <c r="AL3544" t="s">
        <v>638</v>
      </c>
      <c r="AM3544">
        <v>1</v>
      </c>
      <c r="AN3544" s="2">
        <v>9781399520539</v>
      </c>
    </row>
    <row r="3545" spans="1:40" x14ac:dyDescent="0.3">
      <c r="A3545" t="s">
        <v>16725</v>
      </c>
      <c r="B3545" t="s">
        <v>1</v>
      </c>
      <c r="C3545" t="s">
        <v>16726</v>
      </c>
      <c r="D3545" t="s">
        <v>16727</v>
      </c>
      <c r="E3545" t="s">
        <v>16728</v>
      </c>
      <c r="F3545" t="s">
        <v>5</v>
      </c>
      <c r="G3545" t="s">
        <v>6</v>
      </c>
      <c r="L3545" t="s">
        <v>7</v>
      </c>
      <c r="M3545">
        <v>2023</v>
      </c>
      <c r="N3545" s="1">
        <v>45231</v>
      </c>
      <c r="O3545" t="s">
        <v>16729</v>
      </c>
      <c r="P3545">
        <v>1</v>
      </c>
      <c r="S3545">
        <v>209.95</v>
      </c>
      <c r="T3545">
        <v>240</v>
      </c>
      <c r="U3545">
        <v>180</v>
      </c>
      <c r="V3545" t="s">
        <v>9</v>
      </c>
      <c r="W3545" t="s">
        <v>10</v>
      </c>
      <c r="X3545" t="s">
        <v>11</v>
      </c>
      <c r="Y3545" t="s">
        <v>12</v>
      </c>
      <c r="AF3545" t="s">
        <v>13</v>
      </c>
      <c r="AH3545" t="str">
        <f>HYPERLINK("http://www.degruyter.com/isbn/9781474448345")</f>
        <v>http://www.degruyter.com/isbn/9781474448345</v>
      </c>
      <c r="AI3545" t="s">
        <v>15325</v>
      </c>
      <c r="AL3545" t="s">
        <v>638</v>
      </c>
      <c r="AM3545">
        <v>1</v>
      </c>
      <c r="AN3545" s="2">
        <v>9781474448321</v>
      </c>
    </row>
    <row r="3546" spans="1:40" x14ac:dyDescent="0.3">
      <c r="A3546" t="s">
        <v>16730</v>
      </c>
      <c r="B3546" t="s">
        <v>1</v>
      </c>
      <c r="C3546" t="s">
        <v>16731</v>
      </c>
      <c r="E3546" t="s">
        <v>16732</v>
      </c>
      <c r="F3546" t="s">
        <v>5</v>
      </c>
      <c r="G3546" t="s">
        <v>6</v>
      </c>
      <c r="L3546" t="s">
        <v>7</v>
      </c>
      <c r="M3546">
        <v>2023</v>
      </c>
      <c r="N3546" s="1">
        <v>45169</v>
      </c>
      <c r="O3546" t="s">
        <v>16733</v>
      </c>
      <c r="P3546">
        <v>1</v>
      </c>
      <c r="S3546">
        <v>209.95</v>
      </c>
      <c r="T3546">
        <v>240</v>
      </c>
      <c r="U3546">
        <v>180</v>
      </c>
      <c r="V3546" t="s">
        <v>20</v>
      </c>
      <c r="W3546" t="s">
        <v>21</v>
      </c>
      <c r="X3546" t="s">
        <v>839</v>
      </c>
      <c r="Y3546" t="s">
        <v>840</v>
      </c>
      <c r="AF3546" t="s">
        <v>13</v>
      </c>
      <c r="AH3546" t="str">
        <f>HYPERLINK("http://www.degruyter.com/isbn/9781399517478")</f>
        <v>http://www.degruyter.com/isbn/9781399517478</v>
      </c>
      <c r="AI3546" t="s">
        <v>15812</v>
      </c>
      <c r="AL3546" t="s">
        <v>638</v>
      </c>
      <c r="AM3546">
        <v>1</v>
      </c>
      <c r="AN3546" s="2">
        <v>9781399517454</v>
      </c>
    </row>
    <row r="3547" spans="1:40" x14ac:dyDescent="0.3">
      <c r="A3547" t="s">
        <v>16734</v>
      </c>
      <c r="B3547" t="s">
        <v>1</v>
      </c>
      <c r="C3547" t="s">
        <v>16735</v>
      </c>
      <c r="E3547" t="s">
        <v>16736</v>
      </c>
      <c r="F3547" t="s">
        <v>5</v>
      </c>
      <c r="G3547" t="s">
        <v>6</v>
      </c>
      <c r="L3547" t="s">
        <v>7</v>
      </c>
      <c r="M3547">
        <v>2023</v>
      </c>
      <c r="N3547" s="1">
        <v>45169</v>
      </c>
      <c r="O3547" t="s">
        <v>16737</v>
      </c>
      <c r="P3547">
        <v>1</v>
      </c>
      <c r="Q3547" t="s">
        <v>7449</v>
      </c>
      <c r="S3547">
        <v>209.95</v>
      </c>
      <c r="T3547">
        <v>240</v>
      </c>
      <c r="U3547">
        <v>180</v>
      </c>
      <c r="V3547" t="s">
        <v>58</v>
      </c>
      <c r="W3547" t="s">
        <v>59</v>
      </c>
      <c r="X3547" t="s">
        <v>60</v>
      </c>
      <c r="Y3547" t="s">
        <v>169</v>
      </c>
      <c r="AF3547" t="s">
        <v>13</v>
      </c>
      <c r="AH3547" t="str">
        <f>HYPERLINK("http://www.degruyter.com/isbn/9781399517102")</f>
        <v>http://www.degruyter.com/isbn/9781399517102</v>
      </c>
      <c r="AI3547" t="s">
        <v>16233</v>
      </c>
      <c r="AL3547" t="s">
        <v>638</v>
      </c>
      <c r="AM3547">
        <v>1</v>
      </c>
      <c r="AN3547" s="2">
        <v>9781399517089</v>
      </c>
    </row>
    <row r="3548" spans="1:40" x14ac:dyDescent="0.3">
      <c r="A3548" t="s">
        <v>16738</v>
      </c>
      <c r="B3548" t="s">
        <v>1</v>
      </c>
      <c r="C3548" t="s">
        <v>16739</v>
      </c>
      <c r="E3548" t="s">
        <v>16740</v>
      </c>
      <c r="F3548" t="s">
        <v>5</v>
      </c>
      <c r="G3548" t="s">
        <v>6</v>
      </c>
      <c r="L3548" t="s">
        <v>7</v>
      </c>
      <c r="M3548">
        <v>2023</v>
      </c>
      <c r="N3548" s="1">
        <v>45201</v>
      </c>
      <c r="O3548" t="s">
        <v>16741</v>
      </c>
      <c r="P3548">
        <v>1</v>
      </c>
      <c r="Q3548" t="s">
        <v>6987</v>
      </c>
      <c r="S3548">
        <v>227.95</v>
      </c>
      <c r="T3548">
        <v>260</v>
      </c>
      <c r="U3548">
        <v>200</v>
      </c>
      <c r="V3548" t="s">
        <v>9</v>
      </c>
      <c r="W3548" t="s">
        <v>10</v>
      </c>
      <c r="X3548" t="s">
        <v>11</v>
      </c>
      <c r="Y3548" t="s">
        <v>52</v>
      </c>
      <c r="AF3548" t="s">
        <v>13</v>
      </c>
      <c r="AH3548" t="str">
        <f>HYPERLINK("http://www.degruyter.com/isbn/9781399511223")</f>
        <v>http://www.degruyter.com/isbn/9781399511223</v>
      </c>
      <c r="AI3548" t="s">
        <v>15325</v>
      </c>
      <c r="AL3548" t="s">
        <v>638</v>
      </c>
      <c r="AM3548">
        <v>1</v>
      </c>
      <c r="AN3548" s="2">
        <v>9781399511209</v>
      </c>
    </row>
    <row r="3549" spans="1:40" x14ac:dyDescent="0.3">
      <c r="A3549" t="s">
        <v>16742</v>
      </c>
      <c r="B3549" t="s">
        <v>1</v>
      </c>
      <c r="C3549" t="s">
        <v>16743</v>
      </c>
      <c r="D3549" t="s">
        <v>16744</v>
      </c>
      <c r="E3549" t="s">
        <v>16745</v>
      </c>
      <c r="F3549" t="s">
        <v>5</v>
      </c>
      <c r="G3549" t="s">
        <v>6</v>
      </c>
      <c r="L3549" t="s">
        <v>7</v>
      </c>
      <c r="M3549">
        <v>2023</v>
      </c>
      <c r="N3549" s="1">
        <v>45264</v>
      </c>
      <c r="O3549" t="s">
        <v>16746</v>
      </c>
      <c r="P3549">
        <v>1</v>
      </c>
      <c r="S3549">
        <v>209.95</v>
      </c>
      <c r="T3549">
        <v>240</v>
      </c>
      <c r="U3549">
        <v>180</v>
      </c>
      <c r="V3549" t="s">
        <v>297</v>
      </c>
      <c r="W3549" t="s">
        <v>1925</v>
      </c>
      <c r="X3549" t="s">
        <v>1925</v>
      </c>
      <c r="Y3549" t="s">
        <v>1926</v>
      </c>
      <c r="AF3549" t="s">
        <v>13</v>
      </c>
      <c r="AH3549" t="str">
        <f>HYPERLINK("http://www.degruyter.com/isbn/9781399507561")</f>
        <v>http://www.degruyter.com/isbn/9781399507561</v>
      </c>
      <c r="AI3549" t="s">
        <v>15923</v>
      </c>
      <c r="AL3549" t="s">
        <v>638</v>
      </c>
      <c r="AM3549">
        <v>1</v>
      </c>
      <c r="AN3549" s="2">
        <v>9781399507547</v>
      </c>
    </row>
    <row r="3550" spans="1:40" x14ac:dyDescent="0.3">
      <c r="A3550" t="s">
        <v>16747</v>
      </c>
      <c r="B3550" t="s">
        <v>1</v>
      </c>
      <c r="C3550" t="s">
        <v>16748</v>
      </c>
      <c r="D3550" t="s">
        <v>16749</v>
      </c>
      <c r="E3550" t="s">
        <v>16750</v>
      </c>
      <c r="F3550" t="s">
        <v>5</v>
      </c>
      <c r="G3550" t="s">
        <v>6</v>
      </c>
      <c r="L3550" t="s">
        <v>7</v>
      </c>
      <c r="M3550">
        <v>2023</v>
      </c>
      <c r="N3550" s="1">
        <v>45169</v>
      </c>
      <c r="O3550" t="s">
        <v>16751</v>
      </c>
      <c r="P3550">
        <v>1</v>
      </c>
      <c r="Q3550" t="s">
        <v>6216</v>
      </c>
      <c r="S3550">
        <v>217.95</v>
      </c>
      <c r="T3550">
        <v>250</v>
      </c>
      <c r="U3550">
        <v>190</v>
      </c>
      <c r="V3550" t="s">
        <v>847</v>
      </c>
      <c r="W3550" t="s">
        <v>5219</v>
      </c>
      <c r="X3550" t="s">
        <v>6217</v>
      </c>
      <c r="Y3550" t="s">
        <v>16752</v>
      </c>
      <c r="AF3550" t="s">
        <v>13</v>
      </c>
      <c r="AH3550" t="str">
        <f>HYPERLINK("http://www.degruyter.com/isbn/9781474497725")</f>
        <v>http://www.degruyter.com/isbn/9781474497725</v>
      </c>
      <c r="AI3550" t="s">
        <v>16052</v>
      </c>
      <c r="AL3550" t="s">
        <v>638</v>
      </c>
      <c r="AM3550">
        <v>1</v>
      </c>
      <c r="AN3550" s="2">
        <v>9781474497701</v>
      </c>
    </row>
    <row r="3551" spans="1:40" x14ac:dyDescent="0.3">
      <c r="A3551" t="s">
        <v>16753</v>
      </c>
      <c r="B3551" t="s">
        <v>1</v>
      </c>
      <c r="C3551" t="s">
        <v>16754</v>
      </c>
      <c r="D3551" t="s">
        <v>16755</v>
      </c>
      <c r="E3551" t="s">
        <v>16756</v>
      </c>
      <c r="F3551" t="s">
        <v>5</v>
      </c>
      <c r="G3551" t="s">
        <v>6</v>
      </c>
      <c r="L3551" t="s">
        <v>7</v>
      </c>
      <c r="M3551">
        <v>2023</v>
      </c>
      <c r="N3551" s="1">
        <v>45173</v>
      </c>
      <c r="O3551" t="s">
        <v>16757</v>
      </c>
      <c r="P3551">
        <v>1</v>
      </c>
      <c r="S3551">
        <v>209.95</v>
      </c>
      <c r="T3551">
        <v>240</v>
      </c>
      <c r="U3551">
        <v>180</v>
      </c>
      <c r="V3551" t="s">
        <v>9</v>
      </c>
      <c r="W3551" t="s">
        <v>10</v>
      </c>
      <c r="X3551" t="s">
        <v>11</v>
      </c>
      <c r="Y3551" t="s">
        <v>12</v>
      </c>
      <c r="AF3551" t="s">
        <v>13</v>
      </c>
      <c r="AH3551" t="str">
        <f>HYPERLINK("http://www.degruyter.com/isbn/9781399524018")</f>
        <v>http://www.degruyter.com/isbn/9781399524018</v>
      </c>
      <c r="AI3551" t="s">
        <v>15325</v>
      </c>
      <c r="AL3551" t="s">
        <v>638</v>
      </c>
      <c r="AM3551">
        <v>1</v>
      </c>
      <c r="AN3551" s="2">
        <v>9781399523998</v>
      </c>
    </row>
    <row r="3552" spans="1:40" x14ac:dyDescent="0.3">
      <c r="A3552" t="s">
        <v>16758</v>
      </c>
      <c r="B3552" t="s">
        <v>1</v>
      </c>
      <c r="C3552" t="s">
        <v>16759</v>
      </c>
      <c r="E3552" t="s">
        <v>16760</v>
      </c>
      <c r="F3552" t="s">
        <v>5</v>
      </c>
      <c r="G3552" t="s">
        <v>6</v>
      </c>
      <c r="L3552" t="s">
        <v>7</v>
      </c>
      <c r="M3552">
        <v>2023</v>
      </c>
      <c r="N3552" s="1">
        <v>45111</v>
      </c>
      <c r="O3552" t="s">
        <v>16761</v>
      </c>
      <c r="P3552">
        <v>1</v>
      </c>
      <c r="Q3552" t="s">
        <v>15661</v>
      </c>
      <c r="S3552">
        <v>209.95</v>
      </c>
      <c r="T3552">
        <v>240</v>
      </c>
      <c r="U3552">
        <v>180</v>
      </c>
      <c r="V3552" t="s">
        <v>20</v>
      </c>
      <c r="W3552" t="s">
        <v>470</v>
      </c>
      <c r="X3552" t="s">
        <v>1269</v>
      </c>
      <c r="Y3552" t="s">
        <v>1270</v>
      </c>
      <c r="AF3552" t="s">
        <v>13</v>
      </c>
      <c r="AH3552" t="str">
        <f>HYPERLINK("http://www.degruyter.com/isbn/9781474498005")</f>
        <v>http://www.degruyter.com/isbn/9781474498005</v>
      </c>
      <c r="AI3552" t="s">
        <v>15812</v>
      </c>
      <c r="AL3552" t="s">
        <v>638</v>
      </c>
      <c r="AM3552">
        <v>1</v>
      </c>
      <c r="AN3552" s="2">
        <v>9781474497985</v>
      </c>
    </row>
    <row r="3553" spans="1:40" x14ac:dyDescent="0.3">
      <c r="A3553" t="s">
        <v>16762</v>
      </c>
      <c r="B3553" t="s">
        <v>1</v>
      </c>
      <c r="C3553" t="s">
        <v>16763</v>
      </c>
      <c r="D3553" t="s">
        <v>5690</v>
      </c>
      <c r="E3553" t="s">
        <v>16764</v>
      </c>
      <c r="F3553" t="s">
        <v>5</v>
      </c>
      <c r="G3553" t="s">
        <v>6</v>
      </c>
      <c r="L3553" t="s">
        <v>7</v>
      </c>
      <c r="M3553">
        <v>2023</v>
      </c>
      <c r="N3553" s="1">
        <v>45139</v>
      </c>
      <c r="O3553" t="s">
        <v>16765</v>
      </c>
      <c r="P3553">
        <v>1</v>
      </c>
      <c r="Q3553" t="s">
        <v>5693</v>
      </c>
      <c r="S3553">
        <v>227.95</v>
      </c>
      <c r="T3553">
        <v>260</v>
      </c>
      <c r="U3553">
        <v>200</v>
      </c>
      <c r="V3553" t="s">
        <v>42</v>
      </c>
      <c r="W3553" t="s">
        <v>107</v>
      </c>
      <c r="X3553" t="s">
        <v>108</v>
      </c>
      <c r="Y3553" t="s">
        <v>109</v>
      </c>
      <c r="AF3553" t="s">
        <v>13</v>
      </c>
      <c r="AH3553" t="str">
        <f>HYPERLINK("http://www.degruyter.com/isbn/9781474494397")</f>
        <v>http://www.degruyter.com/isbn/9781474494397</v>
      </c>
      <c r="AI3553" t="s">
        <v>15732</v>
      </c>
      <c r="AJ3553" t="s">
        <v>35</v>
      </c>
      <c r="AL3553" t="s">
        <v>638</v>
      </c>
      <c r="AM3553">
        <v>1</v>
      </c>
      <c r="AN3553" s="2">
        <v>9781474494380</v>
      </c>
    </row>
    <row r="3554" spans="1:40" x14ac:dyDescent="0.3">
      <c r="A3554" t="s">
        <v>16766</v>
      </c>
      <c r="B3554" t="s">
        <v>1</v>
      </c>
      <c r="C3554" t="s">
        <v>16767</v>
      </c>
      <c r="E3554" t="s">
        <v>16768</v>
      </c>
      <c r="F3554" t="s">
        <v>5</v>
      </c>
      <c r="G3554" t="s">
        <v>6</v>
      </c>
      <c r="L3554" t="s">
        <v>7</v>
      </c>
      <c r="M3554">
        <v>2023</v>
      </c>
      <c r="N3554" s="1">
        <v>45111</v>
      </c>
      <c r="O3554" t="s">
        <v>16769</v>
      </c>
      <c r="P3554">
        <v>1</v>
      </c>
      <c r="Q3554" t="s">
        <v>8601</v>
      </c>
      <c r="S3554">
        <v>209.95</v>
      </c>
      <c r="T3554">
        <v>240</v>
      </c>
      <c r="U3554">
        <v>180</v>
      </c>
      <c r="V3554" t="s">
        <v>305</v>
      </c>
      <c r="W3554" t="s">
        <v>2566</v>
      </c>
      <c r="X3554" t="s">
        <v>2567</v>
      </c>
      <c r="Y3554" t="s">
        <v>4151</v>
      </c>
      <c r="AF3554" t="s">
        <v>13</v>
      </c>
      <c r="AH3554" t="str">
        <f>HYPERLINK("http://www.degruyter.com/isbn/9781474458979")</f>
        <v>http://www.degruyter.com/isbn/9781474458979</v>
      </c>
      <c r="AI3554" t="s">
        <v>15325</v>
      </c>
      <c r="AL3554" t="s">
        <v>638</v>
      </c>
      <c r="AM3554">
        <v>1</v>
      </c>
      <c r="AN3554" s="2">
        <v>9781474458955</v>
      </c>
    </row>
    <row r="3555" spans="1:40" x14ac:dyDescent="0.3">
      <c r="A3555" t="s">
        <v>16770</v>
      </c>
      <c r="B3555" t="s">
        <v>1</v>
      </c>
      <c r="C3555" t="s">
        <v>16771</v>
      </c>
      <c r="E3555" t="s">
        <v>16772</v>
      </c>
      <c r="F3555" t="s">
        <v>5</v>
      </c>
      <c r="G3555" t="s">
        <v>6</v>
      </c>
      <c r="L3555" t="s">
        <v>7</v>
      </c>
      <c r="M3555">
        <v>2023</v>
      </c>
      <c r="N3555" s="1">
        <v>45169</v>
      </c>
      <c r="O3555" t="s">
        <v>16773</v>
      </c>
      <c r="P3555">
        <v>1</v>
      </c>
      <c r="Q3555" t="s">
        <v>8096</v>
      </c>
      <c r="S3555">
        <v>209.95</v>
      </c>
      <c r="T3555">
        <v>240</v>
      </c>
      <c r="U3555">
        <v>180</v>
      </c>
      <c r="V3555" t="s">
        <v>20</v>
      </c>
      <c r="W3555" t="s">
        <v>470</v>
      </c>
      <c r="X3555" t="s">
        <v>1269</v>
      </c>
      <c r="Y3555" t="s">
        <v>1705</v>
      </c>
      <c r="AF3555" t="s">
        <v>13</v>
      </c>
      <c r="AH3555" t="str">
        <f>HYPERLINK("http://www.degruyter.com/isbn/9781399507882")</f>
        <v>http://www.degruyter.com/isbn/9781399507882</v>
      </c>
      <c r="AI3555" t="s">
        <v>15812</v>
      </c>
      <c r="AL3555" t="s">
        <v>638</v>
      </c>
      <c r="AM3555">
        <v>1</v>
      </c>
      <c r="AN3555" s="2">
        <v>9781399507868</v>
      </c>
    </row>
    <row r="3556" spans="1:40" x14ac:dyDescent="0.3">
      <c r="A3556" t="s">
        <v>16774</v>
      </c>
      <c r="B3556" t="s">
        <v>1</v>
      </c>
      <c r="C3556" t="s">
        <v>16775</v>
      </c>
      <c r="D3556" t="s">
        <v>16776</v>
      </c>
      <c r="E3556" t="s">
        <v>16777</v>
      </c>
      <c r="F3556" t="s">
        <v>5</v>
      </c>
      <c r="G3556" t="s">
        <v>6</v>
      </c>
      <c r="L3556" t="s">
        <v>7</v>
      </c>
      <c r="M3556">
        <v>2023</v>
      </c>
      <c r="N3556" s="1">
        <v>45139</v>
      </c>
      <c r="O3556" t="s">
        <v>16778</v>
      </c>
      <c r="P3556">
        <v>1</v>
      </c>
      <c r="S3556">
        <v>347.95</v>
      </c>
      <c r="T3556">
        <v>400</v>
      </c>
      <c r="U3556">
        <v>310</v>
      </c>
      <c r="V3556" t="s">
        <v>329</v>
      </c>
      <c r="W3556" t="s">
        <v>330</v>
      </c>
      <c r="X3556" t="s">
        <v>331</v>
      </c>
      <c r="Y3556" t="s">
        <v>1035</v>
      </c>
      <c r="AF3556" t="s">
        <v>13</v>
      </c>
      <c r="AH3556" t="str">
        <f>HYPERLINK("http://www.degruyter.com/isbn/9781399518048")</f>
        <v>http://www.degruyter.com/isbn/9781399518048</v>
      </c>
      <c r="AI3556" t="s">
        <v>15750</v>
      </c>
      <c r="AL3556" t="s">
        <v>638</v>
      </c>
      <c r="AM3556">
        <v>1</v>
      </c>
      <c r="AN3556" s="2">
        <v>9781399518024</v>
      </c>
    </row>
    <row r="3557" spans="1:40" x14ac:dyDescent="0.3">
      <c r="A3557" t="s">
        <v>16779</v>
      </c>
      <c r="B3557" t="s">
        <v>1</v>
      </c>
      <c r="C3557" t="s">
        <v>16780</v>
      </c>
      <c r="D3557" t="s">
        <v>16781</v>
      </c>
      <c r="E3557" t="s">
        <v>16782</v>
      </c>
      <c r="F3557" t="s">
        <v>5</v>
      </c>
      <c r="G3557" t="s">
        <v>6</v>
      </c>
      <c r="L3557" t="s">
        <v>7</v>
      </c>
      <c r="M3557">
        <v>2023</v>
      </c>
      <c r="N3557" s="1">
        <v>45225</v>
      </c>
      <c r="O3557" t="s">
        <v>16783</v>
      </c>
      <c r="P3557">
        <v>1</v>
      </c>
      <c r="Q3557" t="s">
        <v>14060</v>
      </c>
      <c r="S3557">
        <v>217.95</v>
      </c>
      <c r="T3557">
        <v>250</v>
      </c>
      <c r="U3557">
        <v>190</v>
      </c>
      <c r="V3557" t="s">
        <v>98</v>
      </c>
      <c r="W3557" t="s">
        <v>99</v>
      </c>
      <c r="X3557" t="s">
        <v>2010</v>
      </c>
      <c r="Y3557" t="s">
        <v>2011</v>
      </c>
      <c r="AF3557" t="s">
        <v>13</v>
      </c>
      <c r="AH3557" t="str">
        <f>HYPERLINK("http://www.degruyter.com/isbn/9781474486316")</f>
        <v>http://www.degruyter.com/isbn/9781474486316</v>
      </c>
      <c r="AI3557" t="s">
        <v>16289</v>
      </c>
      <c r="AL3557" t="s">
        <v>638</v>
      </c>
      <c r="AM3557">
        <v>1</v>
      </c>
      <c r="AN3557" s="2">
        <v>9781474486293</v>
      </c>
    </row>
    <row r="3558" spans="1:40" x14ac:dyDescent="0.3">
      <c r="A3558" t="s">
        <v>16784</v>
      </c>
      <c r="B3558" t="s">
        <v>1</v>
      </c>
      <c r="C3558" t="s">
        <v>16785</v>
      </c>
      <c r="D3558" t="s">
        <v>16786</v>
      </c>
      <c r="E3558" t="s">
        <v>16787</v>
      </c>
      <c r="F3558" t="s">
        <v>5</v>
      </c>
      <c r="G3558" t="s">
        <v>6</v>
      </c>
      <c r="L3558" t="s">
        <v>7</v>
      </c>
      <c r="M3558">
        <v>2023</v>
      </c>
      <c r="N3558" s="1">
        <v>45169</v>
      </c>
      <c r="O3558" t="s">
        <v>16788</v>
      </c>
      <c r="P3558">
        <v>1</v>
      </c>
      <c r="Q3558" t="s">
        <v>14970</v>
      </c>
      <c r="S3558">
        <v>209.95</v>
      </c>
      <c r="T3558">
        <v>240</v>
      </c>
      <c r="U3558">
        <v>180</v>
      </c>
      <c r="V3558" t="s">
        <v>79</v>
      </c>
      <c r="W3558" t="s">
        <v>123</v>
      </c>
      <c r="X3558" t="s">
        <v>123</v>
      </c>
      <c r="Y3558" t="s">
        <v>124</v>
      </c>
      <c r="AF3558" t="s">
        <v>13</v>
      </c>
      <c r="AH3558" t="str">
        <f>HYPERLINK("http://www.degruyter.com/isbn/9781399522885")</f>
        <v>http://www.degruyter.com/isbn/9781399522885</v>
      </c>
      <c r="AI3558" t="s">
        <v>16146</v>
      </c>
      <c r="AL3558" t="s">
        <v>638</v>
      </c>
      <c r="AM3558">
        <v>1</v>
      </c>
      <c r="AN3558" s="2">
        <v>9781399522915</v>
      </c>
    </row>
    <row r="3559" spans="1:40" x14ac:dyDescent="0.3">
      <c r="A3559" t="s">
        <v>16789</v>
      </c>
      <c r="B3559" t="s">
        <v>1</v>
      </c>
      <c r="C3559" t="s">
        <v>16790</v>
      </c>
      <c r="E3559" t="s">
        <v>16791</v>
      </c>
      <c r="F3559" t="s">
        <v>5</v>
      </c>
      <c r="G3559" t="s">
        <v>6</v>
      </c>
      <c r="L3559" t="s">
        <v>7</v>
      </c>
      <c r="M3559">
        <v>2023</v>
      </c>
      <c r="N3559" s="1">
        <v>45198</v>
      </c>
      <c r="O3559" t="s">
        <v>16792</v>
      </c>
      <c r="P3559">
        <v>1</v>
      </c>
      <c r="S3559">
        <v>227.95</v>
      </c>
      <c r="T3559">
        <v>260</v>
      </c>
      <c r="U3559">
        <v>200</v>
      </c>
      <c r="V3559" t="s">
        <v>20</v>
      </c>
      <c r="W3559" t="s">
        <v>21</v>
      </c>
      <c r="X3559" t="s">
        <v>3919</v>
      </c>
      <c r="Y3559" t="s">
        <v>9109</v>
      </c>
      <c r="AF3559" t="s">
        <v>13</v>
      </c>
      <c r="AH3559" t="str">
        <f>HYPERLINK("http://www.degruyter.com/isbn/9781399520775")</f>
        <v>http://www.degruyter.com/isbn/9781399520775</v>
      </c>
      <c r="AI3559" t="s">
        <v>15812</v>
      </c>
      <c r="AJ3559" t="s">
        <v>35</v>
      </c>
      <c r="AL3559" t="s">
        <v>638</v>
      </c>
      <c r="AM3559">
        <v>1</v>
      </c>
      <c r="AN3559" s="2">
        <v>9781399520751</v>
      </c>
    </row>
    <row r="3560" spans="1:40" x14ac:dyDescent="0.3">
      <c r="A3560" t="s">
        <v>16793</v>
      </c>
      <c r="B3560" t="s">
        <v>1</v>
      </c>
      <c r="C3560" t="s">
        <v>16794</v>
      </c>
      <c r="D3560" t="s">
        <v>16795</v>
      </c>
      <c r="E3560" t="s">
        <v>16796</v>
      </c>
      <c r="F3560" t="s">
        <v>5</v>
      </c>
      <c r="G3560" t="s">
        <v>6</v>
      </c>
      <c r="L3560" t="s">
        <v>7</v>
      </c>
      <c r="M3560">
        <v>2023</v>
      </c>
      <c r="N3560" s="1">
        <v>45169</v>
      </c>
      <c r="O3560" t="s">
        <v>16797</v>
      </c>
      <c r="P3560">
        <v>1</v>
      </c>
      <c r="S3560">
        <v>227.95</v>
      </c>
      <c r="T3560">
        <v>260</v>
      </c>
      <c r="U3560">
        <v>200</v>
      </c>
      <c r="V3560" t="s">
        <v>42</v>
      </c>
      <c r="W3560" t="s">
        <v>116</v>
      </c>
      <c r="X3560" t="s">
        <v>116</v>
      </c>
      <c r="Y3560" t="s">
        <v>117</v>
      </c>
      <c r="AF3560" t="s">
        <v>13</v>
      </c>
      <c r="AH3560" t="str">
        <f>HYPERLINK("http://www.degruyter.com/isbn/9781399510639")</f>
        <v>http://www.degruyter.com/isbn/9781399510639</v>
      </c>
      <c r="AI3560" t="s">
        <v>15732</v>
      </c>
      <c r="AL3560" t="s">
        <v>638</v>
      </c>
      <c r="AM3560">
        <v>1</v>
      </c>
      <c r="AN3560" s="2">
        <v>9781399510615</v>
      </c>
    </row>
    <row r="3561" spans="1:40" x14ac:dyDescent="0.3">
      <c r="A3561" t="s">
        <v>16798</v>
      </c>
      <c r="B3561" t="s">
        <v>1</v>
      </c>
      <c r="C3561" t="s">
        <v>16799</v>
      </c>
      <c r="D3561" t="s">
        <v>16800</v>
      </c>
      <c r="E3561" t="s">
        <v>16801</v>
      </c>
      <c r="F3561" t="s">
        <v>5</v>
      </c>
      <c r="G3561" t="s">
        <v>6</v>
      </c>
      <c r="L3561" t="s">
        <v>7</v>
      </c>
      <c r="M3561">
        <v>2023</v>
      </c>
      <c r="N3561" s="1">
        <v>45199</v>
      </c>
      <c r="O3561" t="s">
        <v>16802</v>
      </c>
      <c r="P3561">
        <v>1</v>
      </c>
      <c r="Q3561" t="s">
        <v>9162</v>
      </c>
      <c r="S3561">
        <v>217.95</v>
      </c>
      <c r="T3561">
        <v>250</v>
      </c>
      <c r="U3561">
        <v>190</v>
      </c>
      <c r="V3561" t="s">
        <v>42</v>
      </c>
      <c r="W3561" t="s">
        <v>116</v>
      </c>
      <c r="X3561" t="s">
        <v>116</v>
      </c>
      <c r="Y3561" t="s">
        <v>1129</v>
      </c>
      <c r="AF3561" t="s">
        <v>13</v>
      </c>
      <c r="AH3561" t="str">
        <f>HYPERLINK("http://www.degruyter.com/isbn/9781474449489")</f>
        <v>http://www.degruyter.com/isbn/9781474449489</v>
      </c>
      <c r="AI3561" t="s">
        <v>15732</v>
      </c>
      <c r="AL3561" t="s">
        <v>638</v>
      </c>
      <c r="AM3561">
        <v>1</v>
      </c>
      <c r="AN3561" s="2">
        <v>9781474449465</v>
      </c>
    </row>
    <row r="3562" spans="1:40" x14ac:dyDescent="0.3">
      <c r="A3562" t="s">
        <v>16803</v>
      </c>
      <c r="B3562" t="s">
        <v>1</v>
      </c>
      <c r="C3562" t="s">
        <v>16804</v>
      </c>
      <c r="D3562" t="s">
        <v>16805</v>
      </c>
      <c r="E3562" t="s">
        <v>16806</v>
      </c>
      <c r="F3562" t="s">
        <v>5</v>
      </c>
      <c r="G3562" t="s">
        <v>6</v>
      </c>
      <c r="L3562" t="s">
        <v>7</v>
      </c>
      <c r="M3562">
        <v>2024</v>
      </c>
      <c r="N3562" s="1">
        <v>45264</v>
      </c>
      <c r="O3562" t="s">
        <v>16807</v>
      </c>
      <c r="P3562">
        <v>1</v>
      </c>
      <c r="Q3562" t="s">
        <v>16808</v>
      </c>
      <c r="S3562">
        <v>209.95</v>
      </c>
      <c r="T3562">
        <v>240</v>
      </c>
      <c r="U3562">
        <v>180</v>
      </c>
      <c r="V3562" t="s">
        <v>58</v>
      </c>
      <c r="W3562" t="s">
        <v>59</v>
      </c>
      <c r="X3562" t="s">
        <v>60</v>
      </c>
      <c r="Y3562" t="s">
        <v>16809</v>
      </c>
      <c r="AF3562" t="s">
        <v>13</v>
      </c>
      <c r="AH3562" t="str">
        <f>HYPERLINK("http://www.degruyter.com/isbn/9781399507103")</f>
        <v>http://www.degruyter.com/isbn/9781399507103</v>
      </c>
      <c r="AI3562" t="s">
        <v>16697</v>
      </c>
      <c r="AL3562" t="s">
        <v>638</v>
      </c>
      <c r="AM3562">
        <v>1</v>
      </c>
      <c r="AN3562" s="2">
        <v>9781399507080</v>
      </c>
    </row>
    <row r="3563" spans="1:40" x14ac:dyDescent="0.3">
      <c r="A3563" t="s">
        <v>16810</v>
      </c>
      <c r="B3563" t="s">
        <v>1</v>
      </c>
      <c r="C3563" t="s">
        <v>16811</v>
      </c>
      <c r="D3563" t="s">
        <v>16812</v>
      </c>
      <c r="E3563" t="s">
        <v>16813</v>
      </c>
      <c r="F3563" t="s">
        <v>5</v>
      </c>
      <c r="G3563" t="s">
        <v>6</v>
      </c>
      <c r="K3563" t="s">
        <v>16814</v>
      </c>
      <c r="L3563" t="s">
        <v>7</v>
      </c>
      <c r="M3563">
        <v>2023</v>
      </c>
      <c r="N3563" s="1">
        <v>45061</v>
      </c>
      <c r="O3563" t="s">
        <v>16815</v>
      </c>
      <c r="P3563">
        <v>1</v>
      </c>
      <c r="Q3563" t="s">
        <v>16816</v>
      </c>
      <c r="V3563" t="s">
        <v>297</v>
      </c>
      <c r="W3563" t="s">
        <v>298</v>
      </c>
      <c r="X3563" t="s">
        <v>298</v>
      </c>
      <c r="Y3563" t="s">
        <v>10272</v>
      </c>
      <c r="AF3563" t="s">
        <v>13</v>
      </c>
      <c r="AH3563" t="str">
        <f>HYPERLINK("http://www.degruyter.com/isbn/9781399520270")</f>
        <v>http://www.degruyter.com/isbn/9781399520270</v>
      </c>
      <c r="AI3563" t="s">
        <v>15812</v>
      </c>
      <c r="AL3563" t="s">
        <v>638</v>
      </c>
      <c r="AM3563">
        <v>1</v>
      </c>
      <c r="AN3563" s="2"/>
    </row>
    <row r="3564" spans="1:40" x14ac:dyDescent="0.3">
      <c r="A3564" t="s">
        <v>16817</v>
      </c>
      <c r="B3564" t="s">
        <v>1</v>
      </c>
      <c r="C3564" t="s">
        <v>16818</v>
      </c>
      <c r="E3564" t="s">
        <v>16819</v>
      </c>
      <c r="F3564" t="s">
        <v>5</v>
      </c>
      <c r="G3564" t="s">
        <v>6</v>
      </c>
      <c r="L3564" t="s">
        <v>7</v>
      </c>
      <c r="M3564">
        <v>2023</v>
      </c>
      <c r="N3564" s="1">
        <v>45160</v>
      </c>
      <c r="O3564" t="s">
        <v>16820</v>
      </c>
      <c r="P3564">
        <v>1</v>
      </c>
      <c r="Q3564" t="s">
        <v>6987</v>
      </c>
      <c r="S3564">
        <v>217.95</v>
      </c>
      <c r="T3564">
        <v>250</v>
      </c>
      <c r="U3564">
        <v>190</v>
      </c>
      <c r="V3564" t="s">
        <v>9</v>
      </c>
      <c r="W3564" t="s">
        <v>10</v>
      </c>
      <c r="X3564" t="s">
        <v>11</v>
      </c>
      <c r="Y3564" t="s">
        <v>52</v>
      </c>
      <c r="AF3564" t="s">
        <v>13</v>
      </c>
      <c r="AH3564" t="str">
        <f>HYPERLINK("http://www.degruyter.com/isbn/9781399505963")</f>
        <v>http://www.degruyter.com/isbn/9781399505963</v>
      </c>
      <c r="AI3564" t="s">
        <v>15325</v>
      </c>
      <c r="AL3564" t="s">
        <v>638</v>
      </c>
      <c r="AM3564">
        <v>1</v>
      </c>
      <c r="AN3564" s="2">
        <v>9781399505949</v>
      </c>
    </row>
    <row r="3565" spans="1:40" x14ac:dyDescent="0.3">
      <c r="A3565" t="s">
        <v>16821</v>
      </c>
      <c r="B3565" t="s">
        <v>1</v>
      </c>
      <c r="C3565" t="s">
        <v>16822</v>
      </c>
      <c r="D3565" t="s">
        <v>16823</v>
      </c>
      <c r="E3565" t="s">
        <v>16824</v>
      </c>
      <c r="F3565" t="s">
        <v>5</v>
      </c>
      <c r="G3565" t="s">
        <v>6</v>
      </c>
      <c r="K3565" t="s">
        <v>16138</v>
      </c>
      <c r="L3565" t="s">
        <v>7</v>
      </c>
      <c r="M3565">
        <v>2023</v>
      </c>
      <c r="N3565" s="1">
        <v>45075</v>
      </c>
      <c r="O3565" t="s">
        <v>16825</v>
      </c>
      <c r="P3565">
        <v>1</v>
      </c>
      <c r="V3565" t="s">
        <v>9</v>
      </c>
      <c r="W3565" t="s">
        <v>10</v>
      </c>
      <c r="X3565" t="s">
        <v>11</v>
      </c>
      <c r="Y3565" t="s">
        <v>12</v>
      </c>
      <c r="AF3565" t="s">
        <v>13</v>
      </c>
      <c r="AH3565" t="str">
        <f>HYPERLINK("http://www.degruyter.com/isbn/9781474494472")</f>
        <v>http://www.degruyter.com/isbn/9781474494472</v>
      </c>
      <c r="AI3565" t="s">
        <v>15325</v>
      </c>
      <c r="AL3565" t="s">
        <v>638</v>
      </c>
      <c r="AM3565">
        <v>1</v>
      </c>
      <c r="AN3565" s="2"/>
    </row>
    <row r="3566" spans="1:40" x14ac:dyDescent="0.3">
      <c r="A3566" t="s">
        <v>16826</v>
      </c>
      <c r="B3566" t="s">
        <v>1</v>
      </c>
      <c r="C3566" t="s">
        <v>16827</v>
      </c>
      <c r="E3566" t="s">
        <v>16828</v>
      </c>
      <c r="F3566" t="s">
        <v>5</v>
      </c>
      <c r="G3566" t="s">
        <v>6</v>
      </c>
      <c r="K3566" t="s">
        <v>16138</v>
      </c>
      <c r="L3566" t="s">
        <v>7</v>
      </c>
      <c r="M3566">
        <v>2023</v>
      </c>
      <c r="N3566" s="1">
        <v>45201</v>
      </c>
      <c r="O3566" t="s">
        <v>16829</v>
      </c>
      <c r="P3566">
        <v>1</v>
      </c>
      <c r="V3566" t="s">
        <v>58</v>
      </c>
      <c r="W3566" t="s">
        <v>59</v>
      </c>
      <c r="X3566" t="s">
        <v>60</v>
      </c>
      <c r="Y3566" t="s">
        <v>16830</v>
      </c>
      <c r="AF3566" t="s">
        <v>13</v>
      </c>
      <c r="AH3566" t="str">
        <f>HYPERLINK("http://www.degruyter.com/isbn/9781399523813")</f>
        <v>http://www.degruyter.com/isbn/9781399523813</v>
      </c>
      <c r="AI3566" t="s">
        <v>15918</v>
      </c>
      <c r="AL3566" t="s">
        <v>638</v>
      </c>
      <c r="AM3566">
        <v>1</v>
      </c>
      <c r="AN3566" s="2"/>
    </row>
    <row r="3567" spans="1:40" x14ac:dyDescent="0.3">
      <c r="A3567" t="s">
        <v>16831</v>
      </c>
      <c r="B3567" t="s">
        <v>1</v>
      </c>
      <c r="C3567" t="s">
        <v>16832</v>
      </c>
      <c r="D3567" t="s">
        <v>16833</v>
      </c>
      <c r="E3567" t="s">
        <v>16834</v>
      </c>
      <c r="F3567" t="s">
        <v>5</v>
      </c>
      <c r="G3567" t="s">
        <v>6</v>
      </c>
      <c r="K3567" t="s">
        <v>16138</v>
      </c>
      <c r="L3567" t="s">
        <v>7</v>
      </c>
      <c r="M3567">
        <v>2023</v>
      </c>
      <c r="N3567" s="1">
        <v>45092</v>
      </c>
      <c r="O3567" t="s">
        <v>16835</v>
      </c>
      <c r="P3567">
        <v>1</v>
      </c>
      <c r="Q3567" t="s">
        <v>8096</v>
      </c>
      <c r="V3567" t="s">
        <v>42</v>
      </c>
      <c r="W3567" t="s">
        <v>116</v>
      </c>
      <c r="X3567" t="s">
        <v>116</v>
      </c>
      <c r="Y3567" t="s">
        <v>11160</v>
      </c>
      <c r="AF3567" t="s">
        <v>13</v>
      </c>
      <c r="AH3567" t="str">
        <f>HYPERLINK("http://www.degruyter.com/isbn/9781474457248")</f>
        <v>http://www.degruyter.com/isbn/9781474457248</v>
      </c>
      <c r="AI3567" t="s">
        <v>15732</v>
      </c>
      <c r="AL3567" t="s">
        <v>638</v>
      </c>
      <c r="AM3567">
        <v>1</v>
      </c>
      <c r="AN3567" s="2"/>
    </row>
    <row r="3568" spans="1:40" x14ac:dyDescent="0.3">
      <c r="A3568" t="s">
        <v>16836</v>
      </c>
      <c r="B3568" t="s">
        <v>1</v>
      </c>
      <c r="C3568" t="s">
        <v>16837</v>
      </c>
      <c r="E3568" t="s">
        <v>16838</v>
      </c>
      <c r="F3568" t="s">
        <v>5</v>
      </c>
      <c r="G3568" t="s">
        <v>6</v>
      </c>
      <c r="H3568" t="s">
        <v>16123</v>
      </c>
      <c r="L3568" t="s">
        <v>7</v>
      </c>
      <c r="M3568">
        <v>2014</v>
      </c>
      <c r="N3568" s="1">
        <v>41711</v>
      </c>
      <c r="O3568" t="s">
        <v>16839</v>
      </c>
      <c r="P3568">
        <v>1</v>
      </c>
      <c r="Q3568" t="s">
        <v>10773</v>
      </c>
      <c r="S3568">
        <v>209.95</v>
      </c>
      <c r="T3568">
        <v>240</v>
      </c>
      <c r="U3568">
        <v>180</v>
      </c>
      <c r="V3568" t="s">
        <v>268</v>
      </c>
      <c r="W3568" t="s">
        <v>1408</v>
      </c>
      <c r="X3568" t="s">
        <v>13863</v>
      </c>
      <c r="Y3568" t="s">
        <v>13864</v>
      </c>
      <c r="AF3568" t="s">
        <v>13</v>
      </c>
      <c r="AH3568" t="str">
        <f>HYPERLINK("http://www.degruyter.com/isbn/9780748698165")</f>
        <v>http://www.degruyter.com/isbn/9780748698165</v>
      </c>
      <c r="AI3568" t="s">
        <v>34</v>
      </c>
      <c r="AM3568">
        <v>1</v>
      </c>
      <c r="AN3568" s="2">
        <v>9781845860097</v>
      </c>
    </row>
    <row r="3569" spans="1:40" x14ac:dyDescent="0.3">
      <c r="A3569" t="s">
        <v>16840</v>
      </c>
      <c r="B3569" t="s">
        <v>1</v>
      </c>
      <c r="C3569" t="s">
        <v>16841</v>
      </c>
      <c r="E3569" t="s">
        <v>16842</v>
      </c>
      <c r="F3569" t="s">
        <v>5</v>
      </c>
      <c r="G3569" t="s">
        <v>6</v>
      </c>
      <c r="H3569" t="s">
        <v>16123</v>
      </c>
      <c r="L3569" t="s">
        <v>7</v>
      </c>
      <c r="M3569">
        <v>2016</v>
      </c>
      <c r="N3569" s="1">
        <v>42562</v>
      </c>
      <c r="O3569" t="s">
        <v>16843</v>
      </c>
      <c r="P3569">
        <v>1</v>
      </c>
      <c r="Q3569" t="s">
        <v>7187</v>
      </c>
      <c r="S3569">
        <v>227.95</v>
      </c>
      <c r="T3569">
        <v>260</v>
      </c>
      <c r="U3569">
        <v>200</v>
      </c>
      <c r="V3569" t="s">
        <v>98</v>
      </c>
      <c r="W3569" t="s">
        <v>256</v>
      </c>
      <c r="X3569" t="s">
        <v>16478</v>
      </c>
      <c r="Y3569" t="s">
        <v>387</v>
      </c>
      <c r="AF3569" t="s">
        <v>13</v>
      </c>
      <c r="AH3569" t="str">
        <f>HYPERLINK("http://www.degruyter.com/isbn/9780748694822")</f>
        <v>http://www.degruyter.com/isbn/9780748694822</v>
      </c>
      <c r="AI3569" t="s">
        <v>180</v>
      </c>
      <c r="AM3569">
        <v>1</v>
      </c>
      <c r="AN3569" s="2">
        <v>9780748645688</v>
      </c>
    </row>
    <row r="3570" spans="1:40" x14ac:dyDescent="0.3">
      <c r="A3570" t="s">
        <v>16844</v>
      </c>
      <c r="B3570" t="s">
        <v>1</v>
      </c>
      <c r="C3570" t="s">
        <v>16845</v>
      </c>
      <c r="E3570" t="s">
        <v>16846</v>
      </c>
      <c r="F3570" t="s">
        <v>5</v>
      </c>
      <c r="G3570" t="s">
        <v>6</v>
      </c>
      <c r="H3570" t="s">
        <v>16123</v>
      </c>
      <c r="L3570" t="s">
        <v>7</v>
      </c>
      <c r="M3570">
        <v>2021</v>
      </c>
      <c r="N3570" s="1">
        <v>44428</v>
      </c>
      <c r="O3570" t="s">
        <v>3021</v>
      </c>
      <c r="P3570">
        <v>1</v>
      </c>
      <c r="Q3570" t="s">
        <v>7738</v>
      </c>
      <c r="S3570">
        <v>227.95</v>
      </c>
      <c r="T3570">
        <v>260</v>
      </c>
      <c r="U3570">
        <v>200</v>
      </c>
      <c r="V3570" t="s">
        <v>98</v>
      </c>
      <c r="W3570" t="s">
        <v>6450</v>
      </c>
      <c r="X3570" t="s">
        <v>6451</v>
      </c>
      <c r="Y3570" t="s">
        <v>6452</v>
      </c>
      <c r="AF3570" t="s">
        <v>13</v>
      </c>
      <c r="AH3570" t="str">
        <f>HYPERLINK("http://www.degruyter.com/isbn/9781474477918")</f>
        <v>http://www.degruyter.com/isbn/9781474477918</v>
      </c>
      <c r="AI3570" t="s">
        <v>4245</v>
      </c>
      <c r="AM3570">
        <v>1</v>
      </c>
      <c r="AN3570" s="2">
        <v>9781474477895</v>
      </c>
    </row>
    <row r="3571" spans="1:40" x14ac:dyDescent="0.3">
      <c r="A3571" t="s">
        <v>16847</v>
      </c>
      <c r="B3571" t="s">
        <v>1</v>
      </c>
      <c r="C3571" t="s">
        <v>16848</v>
      </c>
      <c r="D3571" t="s">
        <v>16849</v>
      </c>
      <c r="E3571" t="s">
        <v>16850</v>
      </c>
      <c r="F3571" t="s">
        <v>5</v>
      </c>
      <c r="G3571" t="s">
        <v>6</v>
      </c>
      <c r="H3571" t="s">
        <v>16123</v>
      </c>
      <c r="L3571" t="s">
        <v>7</v>
      </c>
      <c r="M3571">
        <v>2014</v>
      </c>
      <c r="N3571" s="1">
        <v>41911</v>
      </c>
      <c r="O3571" t="s">
        <v>16851</v>
      </c>
      <c r="P3571">
        <v>1</v>
      </c>
      <c r="S3571">
        <v>217.95</v>
      </c>
      <c r="T3571">
        <v>250</v>
      </c>
      <c r="U3571">
        <v>190</v>
      </c>
      <c r="V3571" t="s">
        <v>268</v>
      </c>
      <c r="W3571" t="s">
        <v>963</v>
      </c>
      <c r="X3571" t="s">
        <v>964</v>
      </c>
      <c r="Y3571" t="s">
        <v>965</v>
      </c>
      <c r="AF3571" t="s">
        <v>13</v>
      </c>
      <c r="AH3571" t="str">
        <f>HYPERLINK("http://www.degruyter.com/isbn/9780748695812")</f>
        <v>http://www.degruyter.com/isbn/9780748695812</v>
      </c>
      <c r="AI3571" t="s">
        <v>34</v>
      </c>
      <c r="AM3571">
        <v>1</v>
      </c>
      <c r="AN3571" s="2">
        <v>9781845861308</v>
      </c>
    </row>
    <row r="3572" spans="1:40" x14ac:dyDescent="0.3">
      <c r="A3572" t="s">
        <v>16852</v>
      </c>
      <c r="B3572" t="s">
        <v>1</v>
      </c>
      <c r="C3572" t="s">
        <v>16853</v>
      </c>
      <c r="E3572" t="s">
        <v>16854</v>
      </c>
      <c r="F3572" t="s">
        <v>5</v>
      </c>
      <c r="G3572" t="s">
        <v>6</v>
      </c>
      <c r="H3572" t="s">
        <v>16123</v>
      </c>
      <c r="L3572" t="s">
        <v>7</v>
      </c>
      <c r="M3572">
        <v>2017</v>
      </c>
      <c r="N3572" s="1">
        <v>42789</v>
      </c>
      <c r="O3572" t="s">
        <v>16855</v>
      </c>
      <c r="P3572">
        <v>1</v>
      </c>
      <c r="Q3572" t="s">
        <v>10773</v>
      </c>
      <c r="S3572">
        <v>209.95</v>
      </c>
      <c r="T3572">
        <v>240</v>
      </c>
      <c r="U3572">
        <v>180</v>
      </c>
      <c r="V3572" t="s">
        <v>268</v>
      </c>
      <c r="W3572" t="s">
        <v>269</v>
      </c>
      <c r="X3572" t="s">
        <v>269</v>
      </c>
      <c r="Y3572" t="s">
        <v>1798</v>
      </c>
      <c r="AF3572" t="s">
        <v>13</v>
      </c>
      <c r="AH3572" t="str">
        <f>HYPERLINK("http://www.degruyter.com/isbn/9780748698295")</f>
        <v>http://www.degruyter.com/isbn/9780748698295</v>
      </c>
      <c r="AI3572" t="s">
        <v>222</v>
      </c>
      <c r="AM3572">
        <v>1</v>
      </c>
      <c r="AN3572" s="2">
        <v>9781845861674</v>
      </c>
    </row>
    <row r="3573" spans="1:40" x14ac:dyDescent="0.3">
      <c r="A3573" t="s">
        <v>16856</v>
      </c>
      <c r="B3573" t="s">
        <v>1</v>
      </c>
      <c r="C3573" t="s">
        <v>16857</v>
      </c>
      <c r="D3573" t="s">
        <v>1146</v>
      </c>
      <c r="E3573" t="s">
        <v>16858</v>
      </c>
      <c r="F3573" t="s">
        <v>5</v>
      </c>
      <c r="G3573" t="s">
        <v>6</v>
      </c>
      <c r="H3573" t="s">
        <v>16123</v>
      </c>
      <c r="L3573" t="s">
        <v>7</v>
      </c>
      <c r="M3573">
        <v>2019</v>
      </c>
      <c r="N3573" s="1">
        <v>43683</v>
      </c>
      <c r="O3573" t="s">
        <v>16859</v>
      </c>
      <c r="P3573">
        <v>1</v>
      </c>
      <c r="S3573">
        <v>217.95</v>
      </c>
      <c r="T3573">
        <v>250</v>
      </c>
      <c r="U3573">
        <v>190</v>
      </c>
      <c r="V3573" t="s">
        <v>58</v>
      </c>
      <c r="W3573" t="s">
        <v>129</v>
      </c>
      <c r="X3573" t="s">
        <v>16860</v>
      </c>
      <c r="Y3573" t="s">
        <v>7633</v>
      </c>
      <c r="AF3573" t="s">
        <v>13</v>
      </c>
      <c r="AH3573" t="str">
        <f>HYPERLINK("http://www.degruyter.com/isbn/9781474470872")</f>
        <v>http://www.degruyter.com/isbn/9781474470872</v>
      </c>
      <c r="AI3573" t="s">
        <v>280</v>
      </c>
      <c r="AM3573">
        <v>1</v>
      </c>
      <c r="AN3573" s="2">
        <v>9780748608096</v>
      </c>
    </row>
    <row r="3574" spans="1:40" x14ac:dyDescent="0.3">
      <c r="A3574" t="s">
        <v>16861</v>
      </c>
      <c r="B3574" t="s">
        <v>1</v>
      </c>
      <c r="C3574" t="s">
        <v>16862</v>
      </c>
      <c r="E3574" t="s">
        <v>16863</v>
      </c>
      <c r="F3574" t="s">
        <v>5</v>
      </c>
      <c r="G3574" t="s">
        <v>6</v>
      </c>
      <c r="K3574" t="s">
        <v>16138</v>
      </c>
      <c r="L3574" t="s">
        <v>7</v>
      </c>
      <c r="M3574">
        <v>2023</v>
      </c>
      <c r="N3574" s="1">
        <v>45201</v>
      </c>
      <c r="O3574" t="s">
        <v>16864</v>
      </c>
      <c r="P3574">
        <v>1</v>
      </c>
      <c r="Q3574" t="s">
        <v>7303</v>
      </c>
      <c r="V3574" t="s">
        <v>79</v>
      </c>
      <c r="W3574" t="s">
        <v>16641</v>
      </c>
      <c r="X3574" t="s">
        <v>16642</v>
      </c>
      <c r="Y3574" t="s">
        <v>16643</v>
      </c>
      <c r="AF3574" t="s">
        <v>13</v>
      </c>
      <c r="AH3574" t="str">
        <f>HYPERLINK("http://www.degruyter.com/isbn/9781399515498")</f>
        <v>http://www.degruyter.com/isbn/9781399515498</v>
      </c>
      <c r="AI3574" t="s">
        <v>15732</v>
      </c>
      <c r="AL3574" t="s">
        <v>638</v>
      </c>
      <c r="AM3574">
        <v>1</v>
      </c>
      <c r="AN3574" s="2"/>
    </row>
    <row r="3575" spans="1:40" x14ac:dyDescent="0.3">
      <c r="A3575" t="s">
        <v>16865</v>
      </c>
      <c r="B3575" t="s">
        <v>1</v>
      </c>
      <c r="C3575" t="s">
        <v>16866</v>
      </c>
      <c r="D3575" t="s">
        <v>16867</v>
      </c>
      <c r="E3575" t="s">
        <v>16868</v>
      </c>
      <c r="F3575" t="s">
        <v>5</v>
      </c>
      <c r="G3575" t="s">
        <v>6</v>
      </c>
      <c r="K3575" t="s">
        <v>16138</v>
      </c>
      <c r="L3575" t="s">
        <v>7</v>
      </c>
      <c r="M3575">
        <v>2023</v>
      </c>
      <c r="N3575" s="1">
        <v>45111</v>
      </c>
      <c r="O3575" t="s">
        <v>16869</v>
      </c>
      <c r="P3575">
        <v>1</v>
      </c>
      <c r="Q3575" t="s">
        <v>13361</v>
      </c>
      <c r="V3575" t="s">
        <v>42</v>
      </c>
      <c r="W3575" t="s">
        <v>107</v>
      </c>
      <c r="X3575" t="s">
        <v>108</v>
      </c>
      <c r="Y3575" t="s">
        <v>2244</v>
      </c>
      <c r="AF3575" t="s">
        <v>13</v>
      </c>
      <c r="AH3575" t="str">
        <f>HYPERLINK("http://www.degruyter.com/isbn/9781474475709")</f>
        <v>http://www.degruyter.com/isbn/9781474475709</v>
      </c>
      <c r="AI3575" t="s">
        <v>15732</v>
      </c>
      <c r="AL3575" t="s">
        <v>638</v>
      </c>
      <c r="AM3575">
        <v>1</v>
      </c>
      <c r="AN3575" s="2"/>
    </row>
    <row r="3576" spans="1:40" x14ac:dyDescent="0.3">
      <c r="A3576" t="s">
        <v>16870</v>
      </c>
      <c r="B3576" t="s">
        <v>1</v>
      </c>
      <c r="C3576" t="s">
        <v>16871</v>
      </c>
      <c r="D3576" t="s">
        <v>16872</v>
      </c>
      <c r="E3576" t="s">
        <v>16873</v>
      </c>
      <c r="F3576" t="s">
        <v>5</v>
      </c>
      <c r="G3576" t="s">
        <v>6</v>
      </c>
      <c r="L3576" t="s">
        <v>7</v>
      </c>
      <c r="M3576">
        <v>2023</v>
      </c>
      <c r="N3576" s="1">
        <v>45065</v>
      </c>
      <c r="O3576" t="s">
        <v>16874</v>
      </c>
      <c r="P3576">
        <v>1</v>
      </c>
      <c r="Q3576" t="s">
        <v>14065</v>
      </c>
      <c r="S3576">
        <v>209.95</v>
      </c>
      <c r="T3576">
        <v>240</v>
      </c>
      <c r="U3576">
        <v>180</v>
      </c>
      <c r="V3576" t="s">
        <v>42</v>
      </c>
      <c r="W3576" t="s">
        <v>107</v>
      </c>
      <c r="X3576" t="s">
        <v>108</v>
      </c>
      <c r="Y3576" t="s">
        <v>221</v>
      </c>
      <c r="AF3576" t="s">
        <v>13</v>
      </c>
      <c r="AH3576" t="str">
        <f>HYPERLINK("http://www.degruyter.com/isbn/9781474456746")</f>
        <v>http://www.degruyter.com/isbn/9781474456746</v>
      </c>
      <c r="AI3576" t="s">
        <v>15732</v>
      </c>
      <c r="AL3576" t="s">
        <v>638</v>
      </c>
      <c r="AM3576">
        <v>1</v>
      </c>
      <c r="AN3576" s="2">
        <v>9781474456722</v>
      </c>
    </row>
    <row r="3577" spans="1:40" x14ac:dyDescent="0.3">
      <c r="A3577" t="s">
        <v>16875</v>
      </c>
      <c r="B3577" t="s">
        <v>1</v>
      </c>
      <c r="C3577" t="s">
        <v>16876</v>
      </c>
      <c r="D3577" t="s">
        <v>16877</v>
      </c>
      <c r="E3577" t="s">
        <v>16878</v>
      </c>
      <c r="F3577" t="s">
        <v>5</v>
      </c>
      <c r="G3577" t="s">
        <v>6</v>
      </c>
      <c r="L3577" t="s">
        <v>7</v>
      </c>
      <c r="M3577">
        <v>2023</v>
      </c>
      <c r="N3577" s="1">
        <v>45198</v>
      </c>
      <c r="O3577" t="s">
        <v>16879</v>
      </c>
      <c r="P3577">
        <v>1</v>
      </c>
      <c r="Q3577" t="s">
        <v>8607</v>
      </c>
      <c r="S3577">
        <v>209.95</v>
      </c>
      <c r="T3577">
        <v>240</v>
      </c>
      <c r="U3577">
        <v>180</v>
      </c>
      <c r="V3577" t="s">
        <v>847</v>
      </c>
      <c r="W3577" t="s">
        <v>3102</v>
      </c>
      <c r="X3577" t="s">
        <v>3102</v>
      </c>
      <c r="Y3577" t="s">
        <v>16880</v>
      </c>
      <c r="AF3577" t="s">
        <v>13</v>
      </c>
      <c r="AH3577" t="str">
        <f>HYPERLINK("http://www.degruyter.com/isbn/9781399503396")</f>
        <v>http://www.degruyter.com/isbn/9781399503396</v>
      </c>
      <c r="AI3577" t="s">
        <v>16140</v>
      </c>
      <c r="AL3577" t="s">
        <v>638</v>
      </c>
      <c r="AM3577">
        <v>1</v>
      </c>
      <c r="AN3577" s="2">
        <v>9781399503372</v>
      </c>
    </row>
    <row r="3578" spans="1:40" x14ac:dyDescent="0.3">
      <c r="A3578" t="s">
        <v>16881</v>
      </c>
      <c r="B3578" t="s">
        <v>1</v>
      </c>
      <c r="C3578" t="s">
        <v>16882</v>
      </c>
      <c r="D3578" t="s">
        <v>16883</v>
      </c>
      <c r="E3578" t="s">
        <v>16884</v>
      </c>
      <c r="F3578" t="s">
        <v>5</v>
      </c>
      <c r="G3578" t="s">
        <v>6</v>
      </c>
      <c r="L3578" t="s">
        <v>7</v>
      </c>
      <c r="M3578">
        <v>2023</v>
      </c>
      <c r="N3578" s="1">
        <v>45160</v>
      </c>
      <c r="O3578" t="s">
        <v>16885</v>
      </c>
      <c r="P3578">
        <v>1</v>
      </c>
      <c r="S3578">
        <v>209.95</v>
      </c>
      <c r="T3578">
        <v>240</v>
      </c>
      <c r="U3578">
        <v>180</v>
      </c>
      <c r="V3578" t="s">
        <v>9</v>
      </c>
      <c r="W3578" t="s">
        <v>10</v>
      </c>
      <c r="X3578" t="s">
        <v>11</v>
      </c>
      <c r="Y3578" t="s">
        <v>52</v>
      </c>
      <c r="AF3578" t="s">
        <v>13</v>
      </c>
      <c r="AH3578" t="str">
        <f>HYPERLINK("http://www.degruyter.com/isbn/9781399508391")</f>
        <v>http://www.degruyter.com/isbn/9781399508391</v>
      </c>
      <c r="AI3578" t="s">
        <v>15325</v>
      </c>
      <c r="AL3578" t="s">
        <v>638</v>
      </c>
      <c r="AM3578">
        <v>1</v>
      </c>
      <c r="AN3578" s="2">
        <v>9781399508377</v>
      </c>
    </row>
    <row r="3579" spans="1:40" x14ac:dyDescent="0.3">
      <c r="A3579" t="s">
        <v>16886</v>
      </c>
      <c r="B3579" t="s">
        <v>1</v>
      </c>
      <c r="C3579" t="s">
        <v>16887</v>
      </c>
      <c r="D3579" t="s">
        <v>16888</v>
      </c>
      <c r="E3579" t="s">
        <v>16889</v>
      </c>
      <c r="F3579" t="s">
        <v>5</v>
      </c>
      <c r="G3579" t="s">
        <v>6</v>
      </c>
      <c r="L3579" t="s">
        <v>7</v>
      </c>
      <c r="M3579">
        <v>2023</v>
      </c>
      <c r="N3579" s="1">
        <v>45111</v>
      </c>
      <c r="O3579" t="s">
        <v>16890</v>
      </c>
      <c r="P3579">
        <v>1</v>
      </c>
      <c r="Q3579" t="s">
        <v>8883</v>
      </c>
      <c r="S3579">
        <v>227.95</v>
      </c>
      <c r="T3579">
        <v>260</v>
      </c>
      <c r="U3579">
        <v>200</v>
      </c>
      <c r="V3579" t="s">
        <v>79</v>
      </c>
      <c r="W3579" t="s">
        <v>783</v>
      </c>
      <c r="X3579" t="s">
        <v>783</v>
      </c>
      <c r="Y3579" t="s">
        <v>784</v>
      </c>
      <c r="AF3579" t="s">
        <v>13</v>
      </c>
      <c r="AH3579" t="str">
        <f>HYPERLINK("http://www.degruyter.com/isbn/9781474430593")</f>
        <v>http://www.degruyter.com/isbn/9781474430593</v>
      </c>
      <c r="AI3579" t="s">
        <v>16146</v>
      </c>
      <c r="AL3579" t="s">
        <v>638</v>
      </c>
      <c r="AM3579">
        <v>1</v>
      </c>
      <c r="AN3579" s="2">
        <v>9781474430579</v>
      </c>
    </row>
    <row r="3580" spans="1:40" x14ac:dyDescent="0.3">
      <c r="A3580" t="s">
        <v>16891</v>
      </c>
      <c r="B3580" t="s">
        <v>1</v>
      </c>
      <c r="C3580" t="s">
        <v>16892</v>
      </c>
      <c r="D3580" t="s">
        <v>16893</v>
      </c>
      <c r="E3580" t="s">
        <v>16894</v>
      </c>
      <c r="F3580" t="s">
        <v>5</v>
      </c>
      <c r="G3580" t="s">
        <v>6</v>
      </c>
      <c r="L3580" t="s">
        <v>7</v>
      </c>
      <c r="M3580">
        <v>2023</v>
      </c>
      <c r="N3580" s="1">
        <v>45198</v>
      </c>
      <c r="O3580" t="s">
        <v>16895</v>
      </c>
      <c r="P3580">
        <v>1</v>
      </c>
      <c r="Q3580" t="s">
        <v>13125</v>
      </c>
      <c r="S3580">
        <v>217.95</v>
      </c>
      <c r="T3580">
        <v>250</v>
      </c>
      <c r="U3580">
        <v>190</v>
      </c>
      <c r="V3580" t="s">
        <v>297</v>
      </c>
      <c r="W3580" t="s">
        <v>1925</v>
      </c>
      <c r="X3580" t="s">
        <v>1925</v>
      </c>
      <c r="Y3580" t="s">
        <v>1926</v>
      </c>
      <c r="AF3580" t="s">
        <v>13</v>
      </c>
      <c r="AH3580" t="str">
        <f>HYPERLINK("http://www.degruyter.com/isbn/9781474492652")</f>
        <v>http://www.degruyter.com/isbn/9781474492652</v>
      </c>
      <c r="AI3580" t="s">
        <v>15923</v>
      </c>
      <c r="AL3580" t="s">
        <v>638</v>
      </c>
      <c r="AM3580">
        <v>1</v>
      </c>
      <c r="AN3580" s="2">
        <v>9781474492638</v>
      </c>
    </row>
    <row r="3581" spans="1:40" x14ac:dyDescent="0.3">
      <c r="A3581" t="s">
        <v>16896</v>
      </c>
      <c r="B3581" t="s">
        <v>1</v>
      </c>
      <c r="C3581" t="s">
        <v>16897</v>
      </c>
      <c r="E3581" t="s">
        <v>16898</v>
      </c>
      <c r="F3581" t="s">
        <v>5</v>
      </c>
      <c r="G3581" t="s">
        <v>6</v>
      </c>
      <c r="L3581" t="s">
        <v>7</v>
      </c>
      <c r="M3581">
        <v>2024</v>
      </c>
      <c r="N3581" s="1">
        <v>45264</v>
      </c>
      <c r="O3581" t="s">
        <v>16899</v>
      </c>
      <c r="P3581">
        <v>1</v>
      </c>
      <c r="S3581">
        <v>209.95</v>
      </c>
      <c r="T3581">
        <v>240</v>
      </c>
      <c r="U3581">
        <v>180</v>
      </c>
      <c r="V3581" t="s">
        <v>9</v>
      </c>
      <c r="W3581" t="s">
        <v>10</v>
      </c>
      <c r="X3581" t="s">
        <v>11</v>
      </c>
      <c r="Y3581" t="s">
        <v>12</v>
      </c>
      <c r="AF3581" t="s">
        <v>13</v>
      </c>
      <c r="AH3581" t="str">
        <f>HYPERLINK("http://www.degruyter.com/isbn/9781399514224")</f>
        <v>http://www.degruyter.com/isbn/9781399514224</v>
      </c>
      <c r="AI3581" t="s">
        <v>16676</v>
      </c>
      <c r="AL3581" t="s">
        <v>638</v>
      </c>
      <c r="AM3581">
        <v>1</v>
      </c>
      <c r="AN3581" s="2">
        <v>9781399514200</v>
      </c>
    </row>
    <row r="3582" spans="1:40" x14ac:dyDescent="0.3">
      <c r="A3582" t="s">
        <v>16900</v>
      </c>
      <c r="B3582" t="s">
        <v>1</v>
      </c>
      <c r="C3582" t="s">
        <v>16901</v>
      </c>
      <c r="D3582" t="s">
        <v>16902</v>
      </c>
      <c r="E3582" t="s">
        <v>16903</v>
      </c>
      <c r="F3582" t="s">
        <v>5</v>
      </c>
      <c r="G3582" t="s">
        <v>6</v>
      </c>
      <c r="L3582" t="s">
        <v>7</v>
      </c>
      <c r="M3582">
        <v>2023</v>
      </c>
      <c r="N3582" s="1">
        <v>45198</v>
      </c>
      <c r="O3582" t="s">
        <v>16904</v>
      </c>
      <c r="P3582">
        <v>1</v>
      </c>
      <c r="S3582">
        <v>209.95</v>
      </c>
      <c r="T3582">
        <v>240</v>
      </c>
      <c r="U3582">
        <v>180</v>
      </c>
      <c r="V3582" t="s">
        <v>9</v>
      </c>
      <c r="W3582" t="s">
        <v>10</v>
      </c>
      <c r="X3582" t="s">
        <v>11</v>
      </c>
      <c r="Y3582" t="s">
        <v>12</v>
      </c>
      <c r="AF3582" t="s">
        <v>13</v>
      </c>
      <c r="AH3582" t="str">
        <f>HYPERLINK("http://www.degruyter.com/isbn/9781399521673")</f>
        <v>http://www.degruyter.com/isbn/9781399521673</v>
      </c>
      <c r="AI3582" t="s">
        <v>15325</v>
      </c>
      <c r="AL3582" t="s">
        <v>638</v>
      </c>
      <c r="AM3582">
        <v>1</v>
      </c>
      <c r="AN3582" s="2">
        <v>9781399521659</v>
      </c>
    </row>
    <row r="3583" spans="1:40" x14ac:dyDescent="0.3">
      <c r="A3583" t="s">
        <v>16905</v>
      </c>
      <c r="B3583" t="s">
        <v>1</v>
      </c>
      <c r="C3583" t="s">
        <v>16906</v>
      </c>
      <c r="D3583" t="s">
        <v>16907</v>
      </c>
      <c r="E3583" t="s">
        <v>16908</v>
      </c>
      <c r="F3583" t="s">
        <v>5</v>
      </c>
      <c r="G3583" t="s">
        <v>6</v>
      </c>
      <c r="L3583" t="s">
        <v>7</v>
      </c>
      <c r="M3583">
        <v>2023</v>
      </c>
      <c r="N3583" s="1">
        <v>45169</v>
      </c>
      <c r="O3583" t="s">
        <v>16909</v>
      </c>
      <c r="P3583">
        <v>1</v>
      </c>
      <c r="S3583">
        <v>209.95</v>
      </c>
      <c r="T3583">
        <v>240</v>
      </c>
      <c r="U3583">
        <v>180</v>
      </c>
      <c r="V3583" t="s">
        <v>42</v>
      </c>
      <c r="W3583" t="s">
        <v>43</v>
      </c>
      <c r="X3583" t="s">
        <v>44</v>
      </c>
      <c r="Y3583" t="s">
        <v>1745</v>
      </c>
      <c r="AF3583" t="s">
        <v>13</v>
      </c>
      <c r="AH3583" t="str">
        <f>HYPERLINK("http://www.degruyter.com/isbn/9781399510677")</f>
        <v>http://www.degruyter.com/isbn/9781399510677</v>
      </c>
      <c r="AI3583" t="s">
        <v>16233</v>
      </c>
      <c r="AL3583" t="s">
        <v>638</v>
      </c>
      <c r="AM3583">
        <v>1</v>
      </c>
      <c r="AN3583" s="2">
        <v>9781399510653</v>
      </c>
    </row>
    <row r="3584" spans="1:40" x14ac:dyDescent="0.3">
      <c r="A3584" t="s">
        <v>16910</v>
      </c>
      <c r="B3584" t="s">
        <v>1</v>
      </c>
      <c r="C3584" t="s">
        <v>16911</v>
      </c>
      <c r="D3584" t="s">
        <v>16912</v>
      </c>
      <c r="E3584" t="s">
        <v>16913</v>
      </c>
      <c r="F3584" t="s">
        <v>5</v>
      </c>
      <c r="G3584" t="s">
        <v>6</v>
      </c>
      <c r="L3584" t="s">
        <v>7</v>
      </c>
      <c r="M3584">
        <v>2023</v>
      </c>
      <c r="N3584" s="1">
        <v>45160</v>
      </c>
      <c r="O3584" t="s">
        <v>16914</v>
      </c>
      <c r="P3584">
        <v>1</v>
      </c>
      <c r="Q3584" t="s">
        <v>12952</v>
      </c>
      <c r="S3584">
        <v>295.95</v>
      </c>
      <c r="T3584">
        <v>340</v>
      </c>
      <c r="U3584">
        <v>260</v>
      </c>
      <c r="V3584" t="s">
        <v>42</v>
      </c>
      <c r="W3584" t="s">
        <v>107</v>
      </c>
      <c r="X3584" t="s">
        <v>108</v>
      </c>
      <c r="Y3584" t="s">
        <v>952</v>
      </c>
      <c r="AF3584" t="s">
        <v>13</v>
      </c>
      <c r="AH3584" t="str">
        <f>HYPERLINK("http://www.degruyter.com/isbn/9781474458092")</f>
        <v>http://www.degruyter.com/isbn/9781474458092</v>
      </c>
      <c r="AI3584" t="s">
        <v>15732</v>
      </c>
      <c r="AL3584" t="s">
        <v>638</v>
      </c>
      <c r="AM3584">
        <v>1</v>
      </c>
      <c r="AN3584" s="2">
        <v>9781474458085</v>
      </c>
    </row>
    <row r="3585" spans="1:40" x14ac:dyDescent="0.3">
      <c r="A3585" t="s">
        <v>16915</v>
      </c>
      <c r="B3585" t="s">
        <v>1</v>
      </c>
      <c r="C3585" t="s">
        <v>16916</v>
      </c>
      <c r="D3585" t="s">
        <v>16917</v>
      </c>
      <c r="E3585" t="s">
        <v>16918</v>
      </c>
      <c r="F3585" t="s">
        <v>5</v>
      </c>
      <c r="G3585" t="s">
        <v>6</v>
      </c>
      <c r="L3585" t="s">
        <v>7</v>
      </c>
      <c r="M3585">
        <v>2023</v>
      </c>
      <c r="N3585" s="1">
        <v>45173</v>
      </c>
      <c r="O3585" t="s">
        <v>1205</v>
      </c>
      <c r="P3585">
        <v>1</v>
      </c>
      <c r="S3585">
        <v>217.95</v>
      </c>
      <c r="T3585">
        <v>250</v>
      </c>
      <c r="U3585">
        <v>190</v>
      </c>
      <c r="V3585" t="s">
        <v>79</v>
      </c>
      <c r="W3585" t="s">
        <v>734</v>
      </c>
      <c r="X3585" t="s">
        <v>734</v>
      </c>
      <c r="Y3585" t="s">
        <v>735</v>
      </c>
      <c r="AF3585" t="s">
        <v>13</v>
      </c>
      <c r="AH3585" t="str">
        <f>HYPERLINK("http://www.degruyter.com/isbn/9781399525442")</f>
        <v>http://www.degruyter.com/isbn/9781399525442</v>
      </c>
      <c r="AI3585" t="s">
        <v>16146</v>
      </c>
      <c r="AL3585" t="s">
        <v>638</v>
      </c>
      <c r="AM3585">
        <v>1</v>
      </c>
      <c r="AN3585" s="2">
        <v>9781399525428</v>
      </c>
    </row>
    <row r="3586" spans="1:40" x14ac:dyDescent="0.3">
      <c r="A3586" t="s">
        <v>16919</v>
      </c>
      <c r="B3586" t="s">
        <v>1</v>
      </c>
      <c r="C3586" t="s">
        <v>16920</v>
      </c>
      <c r="D3586" t="s">
        <v>16921</v>
      </c>
      <c r="E3586" t="s">
        <v>16922</v>
      </c>
      <c r="F3586" t="s">
        <v>5</v>
      </c>
      <c r="G3586" t="s">
        <v>6</v>
      </c>
      <c r="L3586" t="s">
        <v>7</v>
      </c>
      <c r="M3586">
        <v>2023</v>
      </c>
      <c r="N3586" s="1">
        <v>45110</v>
      </c>
      <c r="O3586" t="s">
        <v>16923</v>
      </c>
      <c r="P3586">
        <v>1</v>
      </c>
      <c r="Q3586" t="s">
        <v>14970</v>
      </c>
      <c r="S3586">
        <v>209.95</v>
      </c>
      <c r="T3586">
        <v>240</v>
      </c>
      <c r="U3586">
        <v>180</v>
      </c>
      <c r="V3586" t="s">
        <v>20</v>
      </c>
      <c r="W3586" t="s">
        <v>21</v>
      </c>
      <c r="X3586" t="s">
        <v>22</v>
      </c>
      <c r="Y3586" t="s">
        <v>23</v>
      </c>
      <c r="AF3586" t="s">
        <v>13</v>
      </c>
      <c r="AH3586" t="str">
        <f>HYPERLINK("http://www.degruyter.com/isbn/9781399521215")</f>
        <v>http://www.degruyter.com/isbn/9781399521215</v>
      </c>
      <c r="AI3586" t="s">
        <v>15812</v>
      </c>
      <c r="AL3586" t="s">
        <v>638</v>
      </c>
      <c r="AM3586">
        <v>1</v>
      </c>
      <c r="AN3586" s="2">
        <v>9781399521192</v>
      </c>
    </row>
    <row r="3587" spans="1:40" x14ac:dyDescent="0.3">
      <c r="A3587" t="s">
        <v>16924</v>
      </c>
      <c r="B3587" t="s">
        <v>1</v>
      </c>
      <c r="C3587" t="s">
        <v>16925</v>
      </c>
      <c r="D3587" t="s">
        <v>16926</v>
      </c>
      <c r="E3587" t="s">
        <v>16927</v>
      </c>
      <c r="F3587" t="s">
        <v>5</v>
      </c>
      <c r="G3587" t="s">
        <v>6</v>
      </c>
      <c r="L3587" t="s">
        <v>7</v>
      </c>
      <c r="M3587">
        <v>2023</v>
      </c>
      <c r="N3587" s="1">
        <v>45201</v>
      </c>
      <c r="O3587" t="s">
        <v>16928</v>
      </c>
      <c r="P3587">
        <v>1</v>
      </c>
      <c r="S3587">
        <v>217.95</v>
      </c>
      <c r="T3587">
        <v>250</v>
      </c>
      <c r="U3587">
        <v>190</v>
      </c>
      <c r="V3587" t="s">
        <v>847</v>
      </c>
      <c r="W3587" t="s">
        <v>848</v>
      </c>
      <c r="X3587" t="s">
        <v>20</v>
      </c>
      <c r="Y3587" t="s">
        <v>3205</v>
      </c>
      <c r="AF3587" t="s">
        <v>13</v>
      </c>
      <c r="AH3587" t="str">
        <f>HYPERLINK("http://www.degruyter.com/isbn/9781399517881")</f>
        <v>http://www.degruyter.com/isbn/9781399517881</v>
      </c>
      <c r="AI3587" t="s">
        <v>16140</v>
      </c>
      <c r="AL3587" t="s">
        <v>638</v>
      </c>
      <c r="AM3587">
        <v>1</v>
      </c>
      <c r="AN3587" s="2">
        <v>9781399517867</v>
      </c>
    </row>
    <row r="3588" spans="1:40" x14ac:dyDescent="0.3">
      <c r="A3588" t="s">
        <v>16929</v>
      </c>
      <c r="B3588" t="s">
        <v>1</v>
      </c>
      <c r="C3588" t="s">
        <v>16930</v>
      </c>
      <c r="E3588" t="s">
        <v>16931</v>
      </c>
      <c r="F3588" t="s">
        <v>5</v>
      </c>
      <c r="G3588" t="s">
        <v>6</v>
      </c>
      <c r="L3588" t="s">
        <v>7</v>
      </c>
      <c r="M3588">
        <v>2023</v>
      </c>
      <c r="N3588" s="1">
        <v>45139</v>
      </c>
      <c r="O3588" t="s">
        <v>16932</v>
      </c>
      <c r="P3588">
        <v>1</v>
      </c>
      <c r="S3588">
        <v>209.95</v>
      </c>
      <c r="T3588">
        <v>240</v>
      </c>
      <c r="U3588">
        <v>180</v>
      </c>
      <c r="V3588" t="s">
        <v>9</v>
      </c>
      <c r="W3588" t="s">
        <v>10</v>
      </c>
      <c r="X3588" t="s">
        <v>11</v>
      </c>
      <c r="Y3588" t="s">
        <v>12</v>
      </c>
      <c r="AF3588" t="s">
        <v>13</v>
      </c>
      <c r="AH3588" t="str">
        <f>HYPERLINK("http://www.degruyter.com/isbn/9781399517553")</f>
        <v>http://www.degruyter.com/isbn/9781399517553</v>
      </c>
      <c r="AI3588" t="s">
        <v>15325</v>
      </c>
      <c r="AL3588" t="s">
        <v>638</v>
      </c>
      <c r="AM3588">
        <v>1</v>
      </c>
      <c r="AN3588" s="2">
        <v>9781399517539</v>
      </c>
    </row>
    <row r="3589" spans="1:40" x14ac:dyDescent="0.3">
      <c r="A3589" t="s">
        <v>16933</v>
      </c>
      <c r="B3589" t="s">
        <v>1</v>
      </c>
      <c r="C3589" t="s">
        <v>16934</v>
      </c>
      <c r="D3589" t="s">
        <v>16935</v>
      </c>
      <c r="E3589" t="s">
        <v>16936</v>
      </c>
      <c r="F3589" t="s">
        <v>5</v>
      </c>
      <c r="G3589" t="s">
        <v>6</v>
      </c>
      <c r="L3589" t="s">
        <v>7</v>
      </c>
      <c r="M3589">
        <v>2023</v>
      </c>
      <c r="N3589" s="1">
        <v>45173</v>
      </c>
      <c r="O3589" t="s">
        <v>2249</v>
      </c>
      <c r="P3589">
        <v>1</v>
      </c>
      <c r="S3589">
        <v>209.95</v>
      </c>
      <c r="T3589">
        <v>240</v>
      </c>
      <c r="U3589">
        <v>180</v>
      </c>
      <c r="V3589" t="s">
        <v>9</v>
      </c>
      <c r="W3589" t="s">
        <v>10</v>
      </c>
      <c r="X3589" t="s">
        <v>11</v>
      </c>
      <c r="Y3589" t="s">
        <v>52</v>
      </c>
      <c r="AF3589" t="s">
        <v>13</v>
      </c>
      <c r="AH3589" t="str">
        <f>HYPERLINK("http://www.degruyter.com/isbn/9781474474238")</f>
        <v>http://www.degruyter.com/isbn/9781474474238</v>
      </c>
      <c r="AI3589" t="s">
        <v>15325</v>
      </c>
      <c r="AL3589" t="s">
        <v>638</v>
      </c>
      <c r="AM3589">
        <v>1</v>
      </c>
      <c r="AN3589" s="2">
        <v>9781474474214</v>
      </c>
    </row>
    <row r="3590" spans="1:40" x14ac:dyDescent="0.3">
      <c r="A3590" t="s">
        <v>16937</v>
      </c>
      <c r="B3590" t="s">
        <v>1</v>
      </c>
      <c r="C3590" t="s">
        <v>16938</v>
      </c>
      <c r="D3590" t="s">
        <v>16939</v>
      </c>
      <c r="E3590" t="s">
        <v>16940</v>
      </c>
      <c r="F3590" t="s">
        <v>5</v>
      </c>
      <c r="G3590" t="s">
        <v>6</v>
      </c>
      <c r="L3590" t="s">
        <v>7</v>
      </c>
      <c r="M3590">
        <v>2023</v>
      </c>
      <c r="N3590" s="1">
        <v>45110</v>
      </c>
      <c r="O3590" t="s">
        <v>16941</v>
      </c>
      <c r="P3590">
        <v>1</v>
      </c>
      <c r="Q3590" t="s">
        <v>13672</v>
      </c>
      <c r="S3590">
        <v>209.95</v>
      </c>
      <c r="T3590">
        <v>240</v>
      </c>
      <c r="U3590">
        <v>180</v>
      </c>
      <c r="V3590" t="s">
        <v>20</v>
      </c>
      <c r="W3590" t="s">
        <v>21</v>
      </c>
      <c r="X3590" t="s">
        <v>22</v>
      </c>
      <c r="Y3590" t="s">
        <v>23</v>
      </c>
      <c r="AF3590" t="s">
        <v>13</v>
      </c>
      <c r="AH3590" t="str">
        <f>HYPERLINK("http://www.degruyter.com/isbn/9781474494328")</f>
        <v>http://www.degruyter.com/isbn/9781474494328</v>
      </c>
      <c r="AI3590" t="s">
        <v>15812</v>
      </c>
      <c r="AL3590" t="s">
        <v>638</v>
      </c>
      <c r="AM3590">
        <v>1</v>
      </c>
      <c r="AN3590" s="2">
        <v>9781474494304</v>
      </c>
    </row>
    <row r="3591" spans="1:40" x14ac:dyDescent="0.3">
      <c r="A3591" t="s">
        <v>16942</v>
      </c>
      <c r="B3591" t="s">
        <v>1</v>
      </c>
      <c r="C3591" t="s">
        <v>16943</v>
      </c>
      <c r="D3591" t="s">
        <v>16944</v>
      </c>
      <c r="E3591" t="s">
        <v>16945</v>
      </c>
      <c r="F3591" t="s">
        <v>5</v>
      </c>
      <c r="G3591" t="s">
        <v>6</v>
      </c>
      <c r="L3591" t="s">
        <v>7</v>
      </c>
      <c r="M3591">
        <v>2023</v>
      </c>
      <c r="N3591" s="1">
        <v>45169</v>
      </c>
      <c r="O3591" t="s">
        <v>16946</v>
      </c>
      <c r="P3591">
        <v>1</v>
      </c>
      <c r="Q3591" t="s">
        <v>7158</v>
      </c>
      <c r="S3591">
        <v>209.95</v>
      </c>
      <c r="T3591">
        <v>240</v>
      </c>
      <c r="U3591">
        <v>180</v>
      </c>
      <c r="V3591" t="s">
        <v>20</v>
      </c>
      <c r="W3591" t="s">
        <v>21</v>
      </c>
      <c r="X3591" t="s">
        <v>22</v>
      </c>
      <c r="Y3591" t="s">
        <v>23</v>
      </c>
      <c r="AF3591" t="s">
        <v>13</v>
      </c>
      <c r="AH3591" t="str">
        <f>HYPERLINK("http://www.degruyter.com/isbn/9781399503358")</f>
        <v>http://www.degruyter.com/isbn/9781399503358</v>
      </c>
      <c r="AI3591" t="s">
        <v>15812</v>
      </c>
      <c r="AL3591" t="s">
        <v>638</v>
      </c>
      <c r="AM3591">
        <v>1</v>
      </c>
      <c r="AN3591" s="2">
        <v>9781399503334</v>
      </c>
    </row>
    <row r="3592" spans="1:40" x14ac:dyDescent="0.3">
      <c r="A3592" t="s">
        <v>16947</v>
      </c>
      <c r="B3592" t="s">
        <v>1</v>
      </c>
      <c r="C3592" t="s">
        <v>16948</v>
      </c>
      <c r="D3592" t="s">
        <v>16949</v>
      </c>
      <c r="E3592" t="s">
        <v>16950</v>
      </c>
      <c r="F3592" t="s">
        <v>5</v>
      </c>
      <c r="G3592" t="s">
        <v>6</v>
      </c>
      <c r="L3592" t="s">
        <v>7</v>
      </c>
      <c r="M3592">
        <v>2023</v>
      </c>
      <c r="N3592" s="1">
        <v>45139</v>
      </c>
      <c r="O3592" t="s">
        <v>16951</v>
      </c>
      <c r="P3592">
        <v>1</v>
      </c>
      <c r="Q3592" t="s">
        <v>12952</v>
      </c>
      <c r="S3592">
        <v>347.95</v>
      </c>
      <c r="T3592">
        <v>400</v>
      </c>
      <c r="U3592">
        <v>310</v>
      </c>
      <c r="V3592" t="s">
        <v>42</v>
      </c>
      <c r="W3592" t="s">
        <v>116</v>
      </c>
      <c r="X3592" t="s">
        <v>116</v>
      </c>
      <c r="Y3592" t="s">
        <v>586</v>
      </c>
      <c r="AF3592" t="s">
        <v>13</v>
      </c>
      <c r="AH3592" t="str">
        <f>HYPERLINK("http://www.degruyter.com/isbn/9781399516884")</f>
        <v>http://www.degruyter.com/isbn/9781399516884</v>
      </c>
      <c r="AI3592" t="s">
        <v>15732</v>
      </c>
      <c r="AL3592" t="s">
        <v>638</v>
      </c>
      <c r="AM3592">
        <v>1</v>
      </c>
      <c r="AN3592" s="2">
        <v>9781399516877</v>
      </c>
    </row>
    <row r="3593" spans="1:40" x14ac:dyDescent="0.3">
      <c r="A3593" t="s">
        <v>16952</v>
      </c>
      <c r="B3593" t="s">
        <v>1</v>
      </c>
      <c r="C3593" t="s">
        <v>16953</v>
      </c>
      <c r="D3593" t="s">
        <v>16954</v>
      </c>
      <c r="E3593" t="s">
        <v>16955</v>
      </c>
      <c r="F3593" t="s">
        <v>5</v>
      </c>
      <c r="G3593" t="s">
        <v>6</v>
      </c>
      <c r="L3593" t="s">
        <v>7</v>
      </c>
      <c r="M3593">
        <v>2023</v>
      </c>
      <c r="N3593" s="1">
        <v>45139</v>
      </c>
      <c r="O3593" t="s">
        <v>16956</v>
      </c>
      <c r="P3593">
        <v>1</v>
      </c>
      <c r="S3593">
        <v>227.95</v>
      </c>
      <c r="T3593">
        <v>260</v>
      </c>
      <c r="U3593">
        <v>200</v>
      </c>
      <c r="V3593" t="s">
        <v>9</v>
      </c>
      <c r="W3593" t="s">
        <v>10</v>
      </c>
      <c r="X3593" t="s">
        <v>11</v>
      </c>
      <c r="Y3593" t="s">
        <v>52</v>
      </c>
      <c r="AF3593" t="s">
        <v>13</v>
      </c>
      <c r="AH3593" t="str">
        <f>HYPERLINK("http://www.degruyter.com/isbn/9781474483957")</f>
        <v>http://www.degruyter.com/isbn/9781474483957</v>
      </c>
      <c r="AI3593" t="s">
        <v>15325</v>
      </c>
      <c r="AL3593" t="s">
        <v>638</v>
      </c>
      <c r="AM3593">
        <v>1</v>
      </c>
      <c r="AN3593" s="2">
        <v>9781474483933</v>
      </c>
    </row>
    <row r="3594" spans="1:40" x14ac:dyDescent="0.3">
      <c r="A3594" t="s">
        <v>16957</v>
      </c>
      <c r="B3594" t="s">
        <v>1</v>
      </c>
      <c r="C3594" t="s">
        <v>16958</v>
      </c>
      <c r="D3594" t="s">
        <v>16959</v>
      </c>
      <c r="E3594" t="s">
        <v>16960</v>
      </c>
      <c r="F3594" t="s">
        <v>5</v>
      </c>
      <c r="G3594" t="s">
        <v>6</v>
      </c>
      <c r="L3594" t="s">
        <v>7</v>
      </c>
      <c r="M3594">
        <v>2023</v>
      </c>
      <c r="N3594" s="1">
        <v>45173</v>
      </c>
      <c r="O3594" t="s">
        <v>16961</v>
      </c>
      <c r="P3594">
        <v>1</v>
      </c>
      <c r="Q3594" t="s">
        <v>7238</v>
      </c>
      <c r="S3594">
        <v>261.95</v>
      </c>
      <c r="T3594">
        <v>300</v>
      </c>
      <c r="U3594">
        <v>230</v>
      </c>
      <c r="V3594" t="s">
        <v>329</v>
      </c>
      <c r="W3594" t="s">
        <v>330</v>
      </c>
      <c r="X3594" t="s">
        <v>331</v>
      </c>
      <c r="Y3594" t="s">
        <v>1035</v>
      </c>
      <c r="AF3594" t="s">
        <v>13</v>
      </c>
      <c r="AH3594" t="str">
        <f>HYPERLINK("http://www.degruyter.com/isbn/9781474475587")</f>
        <v>http://www.degruyter.com/isbn/9781474475587</v>
      </c>
      <c r="AI3594" t="s">
        <v>15750</v>
      </c>
      <c r="AL3594" t="s">
        <v>638</v>
      </c>
      <c r="AM3594">
        <v>1</v>
      </c>
      <c r="AN3594" s="2">
        <v>9781474475563</v>
      </c>
    </row>
    <row r="3595" spans="1:40" x14ac:dyDescent="0.3">
      <c r="A3595" t="s">
        <v>16962</v>
      </c>
      <c r="B3595" t="s">
        <v>1</v>
      </c>
      <c r="C3595" t="s">
        <v>16963</v>
      </c>
      <c r="E3595" t="s">
        <v>16964</v>
      </c>
      <c r="F3595" t="s">
        <v>5</v>
      </c>
      <c r="G3595" t="s">
        <v>6</v>
      </c>
      <c r="L3595" t="s">
        <v>7</v>
      </c>
      <c r="M3595">
        <v>2023</v>
      </c>
      <c r="N3595" s="1">
        <v>45231</v>
      </c>
      <c r="O3595" t="s">
        <v>16965</v>
      </c>
      <c r="P3595">
        <v>1</v>
      </c>
      <c r="Q3595" t="s">
        <v>6987</v>
      </c>
      <c r="S3595">
        <v>209.95</v>
      </c>
      <c r="T3595">
        <v>240</v>
      </c>
      <c r="U3595">
        <v>180</v>
      </c>
      <c r="V3595" t="s">
        <v>9</v>
      </c>
      <c r="W3595" t="s">
        <v>10</v>
      </c>
      <c r="X3595" t="s">
        <v>44</v>
      </c>
      <c r="Y3595" t="s">
        <v>7060</v>
      </c>
      <c r="AF3595" t="s">
        <v>13</v>
      </c>
      <c r="AH3595" t="str">
        <f>HYPERLINK("http://www.degruyter.com/isbn/9781474480932")</f>
        <v>http://www.degruyter.com/isbn/9781474480932</v>
      </c>
      <c r="AI3595" t="s">
        <v>15325</v>
      </c>
      <c r="AL3595" t="s">
        <v>638</v>
      </c>
      <c r="AM3595">
        <v>1</v>
      </c>
      <c r="AN3595" s="2">
        <v>9781474480918</v>
      </c>
    </row>
    <row r="3596" spans="1:40" x14ac:dyDescent="0.3">
      <c r="A3596" t="s">
        <v>16966</v>
      </c>
      <c r="B3596" t="s">
        <v>1</v>
      </c>
      <c r="C3596" t="s">
        <v>16967</v>
      </c>
      <c r="D3596" t="s">
        <v>16968</v>
      </c>
      <c r="E3596" t="s">
        <v>16969</v>
      </c>
      <c r="F3596" t="s">
        <v>5</v>
      </c>
      <c r="G3596" t="s">
        <v>6</v>
      </c>
      <c r="L3596" t="s">
        <v>7</v>
      </c>
      <c r="M3596">
        <v>2023</v>
      </c>
      <c r="N3596" s="1">
        <v>45139</v>
      </c>
      <c r="O3596" t="s">
        <v>16970</v>
      </c>
      <c r="P3596">
        <v>1</v>
      </c>
      <c r="S3596">
        <v>217.95</v>
      </c>
      <c r="T3596">
        <v>250</v>
      </c>
      <c r="U3596">
        <v>190</v>
      </c>
      <c r="V3596" t="s">
        <v>42</v>
      </c>
      <c r="W3596" t="s">
        <v>116</v>
      </c>
      <c r="X3596" t="s">
        <v>116</v>
      </c>
      <c r="Y3596" t="s">
        <v>117</v>
      </c>
      <c r="AF3596" t="s">
        <v>13</v>
      </c>
      <c r="AH3596" t="str">
        <f>HYPERLINK("http://www.degruyter.com/isbn/9781399525015")</f>
        <v>http://www.degruyter.com/isbn/9781399525015</v>
      </c>
      <c r="AI3596" t="s">
        <v>15732</v>
      </c>
      <c r="AL3596" t="s">
        <v>638</v>
      </c>
      <c r="AM3596">
        <v>1</v>
      </c>
      <c r="AN3596" s="2">
        <v>9781399524995</v>
      </c>
    </row>
    <row r="3597" spans="1:40" x14ac:dyDescent="0.3">
      <c r="A3597" t="s">
        <v>16971</v>
      </c>
      <c r="B3597" t="s">
        <v>1</v>
      </c>
      <c r="C3597" t="s">
        <v>16972</v>
      </c>
      <c r="D3597" t="s">
        <v>16973</v>
      </c>
      <c r="E3597" t="s">
        <v>16974</v>
      </c>
      <c r="F3597" t="s">
        <v>5</v>
      </c>
      <c r="G3597" t="s">
        <v>6</v>
      </c>
      <c r="L3597" t="s">
        <v>7</v>
      </c>
      <c r="M3597">
        <v>2023</v>
      </c>
      <c r="N3597" s="1">
        <v>45169</v>
      </c>
      <c r="O3597" t="s">
        <v>11438</v>
      </c>
      <c r="P3597">
        <v>1</v>
      </c>
      <c r="S3597">
        <v>217.95</v>
      </c>
      <c r="T3597">
        <v>250</v>
      </c>
      <c r="U3597">
        <v>190</v>
      </c>
      <c r="V3597" t="s">
        <v>42</v>
      </c>
      <c r="W3597" t="s">
        <v>107</v>
      </c>
      <c r="X3597" t="s">
        <v>108</v>
      </c>
      <c r="Y3597" t="s">
        <v>109</v>
      </c>
      <c r="AF3597" t="s">
        <v>13</v>
      </c>
      <c r="AH3597" t="str">
        <f>HYPERLINK("http://www.degruyter.com/isbn/9781399512473")</f>
        <v>http://www.degruyter.com/isbn/9781399512473</v>
      </c>
      <c r="AI3597" t="s">
        <v>15732</v>
      </c>
      <c r="AL3597" t="s">
        <v>638</v>
      </c>
      <c r="AM3597">
        <v>1</v>
      </c>
      <c r="AN3597" s="2">
        <v>9781399512459</v>
      </c>
    </row>
    <row r="3598" spans="1:40" x14ac:dyDescent="0.3">
      <c r="A3598" t="s">
        <v>16975</v>
      </c>
      <c r="B3598" t="s">
        <v>1</v>
      </c>
      <c r="C3598" t="s">
        <v>16976</v>
      </c>
      <c r="E3598" t="s">
        <v>16977</v>
      </c>
      <c r="F3598" t="s">
        <v>5</v>
      </c>
      <c r="G3598" t="s">
        <v>6</v>
      </c>
      <c r="L3598" t="s">
        <v>7</v>
      </c>
      <c r="M3598">
        <v>2024</v>
      </c>
      <c r="N3598" s="1">
        <v>45264</v>
      </c>
      <c r="O3598" t="s">
        <v>16978</v>
      </c>
      <c r="P3598">
        <v>1</v>
      </c>
      <c r="S3598">
        <v>209.95</v>
      </c>
      <c r="T3598">
        <v>240</v>
      </c>
      <c r="U3598">
        <v>180</v>
      </c>
      <c r="V3598" t="s">
        <v>42</v>
      </c>
      <c r="W3598" t="s">
        <v>740</v>
      </c>
      <c r="X3598" t="s">
        <v>16979</v>
      </c>
      <c r="Y3598" t="s">
        <v>10795</v>
      </c>
      <c r="AF3598" t="s">
        <v>13</v>
      </c>
      <c r="AH3598" t="str">
        <f>HYPERLINK("http://www.degruyter.com/isbn/9781399529167")</f>
        <v>http://www.degruyter.com/isbn/9781399529167</v>
      </c>
      <c r="AI3598" t="s">
        <v>16980</v>
      </c>
      <c r="AL3598" t="s">
        <v>638</v>
      </c>
      <c r="AM3598">
        <v>1</v>
      </c>
      <c r="AN3598" s="2">
        <v>9781399529143</v>
      </c>
    </row>
    <row r="3599" spans="1:40" x14ac:dyDescent="0.3">
      <c r="A3599" t="s">
        <v>16981</v>
      </c>
      <c r="B3599" t="s">
        <v>1</v>
      </c>
      <c r="C3599" t="s">
        <v>16982</v>
      </c>
      <c r="D3599" t="s">
        <v>16983</v>
      </c>
      <c r="E3599" t="s">
        <v>16984</v>
      </c>
      <c r="F3599" t="s">
        <v>5</v>
      </c>
      <c r="G3599" t="s">
        <v>6</v>
      </c>
      <c r="L3599" t="s">
        <v>7</v>
      </c>
      <c r="M3599">
        <v>2024</v>
      </c>
      <c r="N3599" s="1">
        <v>45264</v>
      </c>
      <c r="O3599" t="s">
        <v>2071</v>
      </c>
      <c r="P3599">
        <v>1</v>
      </c>
      <c r="S3599">
        <v>209.95</v>
      </c>
      <c r="T3599">
        <v>240</v>
      </c>
      <c r="U3599">
        <v>180</v>
      </c>
      <c r="V3599" t="s">
        <v>20</v>
      </c>
      <c r="W3599" t="s">
        <v>556</v>
      </c>
      <c r="X3599" t="s">
        <v>1731</v>
      </c>
      <c r="Y3599" t="s">
        <v>1946</v>
      </c>
      <c r="AF3599" t="s">
        <v>13</v>
      </c>
      <c r="AH3599" t="str">
        <f>HYPERLINK("http://www.degruyter.com/isbn/9781399501330")</f>
        <v>http://www.degruyter.com/isbn/9781399501330</v>
      </c>
      <c r="AI3599" t="s">
        <v>16665</v>
      </c>
      <c r="AL3599" t="s">
        <v>638</v>
      </c>
      <c r="AM3599">
        <v>1</v>
      </c>
      <c r="AN3599" s="2">
        <v>9781399501316</v>
      </c>
    </row>
    <row r="3600" spans="1:40" x14ac:dyDescent="0.3">
      <c r="A3600" t="s">
        <v>16985</v>
      </c>
      <c r="B3600" t="s">
        <v>1</v>
      </c>
      <c r="C3600" t="s">
        <v>16986</v>
      </c>
      <c r="D3600" t="s">
        <v>16987</v>
      </c>
      <c r="E3600" t="s">
        <v>16988</v>
      </c>
      <c r="F3600" t="s">
        <v>5</v>
      </c>
      <c r="G3600" t="s">
        <v>6</v>
      </c>
      <c r="L3600" t="s">
        <v>7</v>
      </c>
      <c r="M3600">
        <v>2023</v>
      </c>
      <c r="N3600" s="1">
        <v>45160</v>
      </c>
      <c r="O3600" t="s">
        <v>16989</v>
      </c>
      <c r="P3600">
        <v>1</v>
      </c>
      <c r="S3600">
        <v>417.95</v>
      </c>
      <c r="T3600">
        <v>480</v>
      </c>
      <c r="U3600">
        <v>370</v>
      </c>
      <c r="V3600" t="s">
        <v>20</v>
      </c>
      <c r="W3600" t="s">
        <v>470</v>
      </c>
      <c r="X3600" t="s">
        <v>1269</v>
      </c>
      <c r="Y3600" t="s">
        <v>1705</v>
      </c>
      <c r="AF3600" t="s">
        <v>13</v>
      </c>
      <c r="AH3600" t="str">
        <f>HYPERLINK("http://www.degruyter.com/isbn/9781474492546")</f>
        <v>http://www.degruyter.com/isbn/9781474492546</v>
      </c>
      <c r="AI3600" t="s">
        <v>15812</v>
      </c>
      <c r="AL3600" t="s">
        <v>638</v>
      </c>
      <c r="AM3600">
        <v>1</v>
      </c>
      <c r="AN3600" s="2">
        <v>9781474492515</v>
      </c>
    </row>
    <row r="3601" spans="1:40" x14ac:dyDescent="0.3">
      <c r="A3601" t="s">
        <v>16990</v>
      </c>
      <c r="B3601" t="s">
        <v>1</v>
      </c>
      <c r="C3601" t="s">
        <v>16991</v>
      </c>
      <c r="D3601" t="s">
        <v>16992</v>
      </c>
      <c r="E3601" t="s">
        <v>16993</v>
      </c>
      <c r="F3601" t="s">
        <v>5</v>
      </c>
      <c r="G3601" t="s">
        <v>6</v>
      </c>
      <c r="L3601" t="s">
        <v>7</v>
      </c>
      <c r="M3601">
        <v>2023</v>
      </c>
      <c r="N3601" s="1">
        <v>45198</v>
      </c>
      <c r="O3601" t="s">
        <v>16994</v>
      </c>
      <c r="P3601">
        <v>1</v>
      </c>
      <c r="S3601">
        <v>209.95</v>
      </c>
      <c r="T3601">
        <v>240</v>
      </c>
      <c r="U3601">
        <v>180</v>
      </c>
      <c r="V3601" t="s">
        <v>9</v>
      </c>
      <c r="W3601" t="s">
        <v>10</v>
      </c>
      <c r="X3601" t="s">
        <v>11</v>
      </c>
      <c r="Y3601" t="s">
        <v>12</v>
      </c>
      <c r="AF3601" t="s">
        <v>13</v>
      </c>
      <c r="AH3601" t="str">
        <f>HYPERLINK("http://www.degruyter.com/isbn/9781399500210")</f>
        <v>http://www.degruyter.com/isbn/9781399500210</v>
      </c>
      <c r="AI3601" t="s">
        <v>15325</v>
      </c>
      <c r="AJ3601" t="s">
        <v>2012</v>
      </c>
      <c r="AL3601" t="s">
        <v>638</v>
      </c>
      <c r="AM3601">
        <v>1</v>
      </c>
      <c r="AN3601" s="2">
        <v>9781474499989</v>
      </c>
    </row>
    <row r="3602" spans="1:40" x14ac:dyDescent="0.3">
      <c r="A3602" t="s">
        <v>16995</v>
      </c>
      <c r="B3602" t="s">
        <v>1</v>
      </c>
      <c r="C3602" t="s">
        <v>16996</v>
      </c>
      <c r="D3602" t="s">
        <v>16997</v>
      </c>
      <c r="E3602" t="s">
        <v>16998</v>
      </c>
      <c r="F3602" t="s">
        <v>5</v>
      </c>
      <c r="G3602" t="s">
        <v>6</v>
      </c>
      <c r="K3602" t="s">
        <v>16138</v>
      </c>
      <c r="L3602" t="s">
        <v>7</v>
      </c>
      <c r="M3602">
        <v>2023</v>
      </c>
      <c r="N3602" s="1">
        <v>45065</v>
      </c>
      <c r="O3602" t="s">
        <v>16999</v>
      </c>
      <c r="P3602">
        <v>1</v>
      </c>
      <c r="Q3602" t="s">
        <v>7194</v>
      </c>
      <c r="V3602" t="s">
        <v>79</v>
      </c>
      <c r="W3602" t="s">
        <v>138</v>
      </c>
      <c r="X3602" t="s">
        <v>138</v>
      </c>
      <c r="Y3602" t="s">
        <v>2824</v>
      </c>
      <c r="AF3602" t="s">
        <v>13</v>
      </c>
      <c r="AH3602" t="str">
        <f>HYPERLINK("http://www.degruyter.com/isbn/9781399521741")</f>
        <v>http://www.degruyter.com/isbn/9781399521741</v>
      </c>
      <c r="AI3602" t="s">
        <v>16146</v>
      </c>
      <c r="AL3602" t="s">
        <v>638</v>
      </c>
      <c r="AM3602">
        <v>1</v>
      </c>
      <c r="AN3602" s="2"/>
    </row>
    <row r="3603" spans="1:40" x14ac:dyDescent="0.3">
      <c r="A3603" t="s">
        <v>17000</v>
      </c>
      <c r="B3603" t="s">
        <v>1</v>
      </c>
      <c r="C3603" t="s">
        <v>17001</v>
      </c>
      <c r="E3603" t="s">
        <v>17002</v>
      </c>
      <c r="F3603" t="s">
        <v>5</v>
      </c>
      <c r="G3603" t="s">
        <v>6</v>
      </c>
      <c r="L3603" t="s">
        <v>7</v>
      </c>
      <c r="M3603">
        <v>2024</v>
      </c>
      <c r="N3603" s="1">
        <v>45264</v>
      </c>
      <c r="O3603" t="s">
        <v>17003</v>
      </c>
      <c r="P3603">
        <v>1</v>
      </c>
      <c r="S3603">
        <v>217.95</v>
      </c>
      <c r="T3603">
        <v>250</v>
      </c>
      <c r="U3603">
        <v>190</v>
      </c>
      <c r="V3603" t="s">
        <v>42</v>
      </c>
      <c r="W3603" t="s">
        <v>107</v>
      </c>
      <c r="X3603" t="s">
        <v>108</v>
      </c>
      <c r="Y3603" t="s">
        <v>109</v>
      </c>
      <c r="AF3603" t="s">
        <v>13</v>
      </c>
      <c r="AH3603" t="str">
        <f>HYPERLINK("http://www.degruyter.com/isbn/9781399520232")</f>
        <v>http://www.degruyter.com/isbn/9781399520232</v>
      </c>
      <c r="AI3603" t="s">
        <v>16980</v>
      </c>
      <c r="AL3603" t="s">
        <v>638</v>
      </c>
      <c r="AM3603">
        <v>1</v>
      </c>
      <c r="AN3603" s="2">
        <v>9781399520218</v>
      </c>
    </row>
    <row r="3604" spans="1:40" x14ac:dyDescent="0.3">
      <c r="A3604" t="s">
        <v>17004</v>
      </c>
      <c r="B3604" t="s">
        <v>1</v>
      </c>
      <c r="C3604" t="s">
        <v>17005</v>
      </c>
      <c r="E3604" t="s">
        <v>17006</v>
      </c>
      <c r="F3604" t="s">
        <v>5</v>
      </c>
      <c r="G3604" t="s">
        <v>6</v>
      </c>
      <c r="L3604" t="s">
        <v>7</v>
      </c>
      <c r="M3604">
        <v>2023</v>
      </c>
      <c r="N3604" s="1">
        <v>45160</v>
      </c>
      <c r="O3604" t="s">
        <v>17007</v>
      </c>
      <c r="P3604">
        <v>1</v>
      </c>
      <c r="Q3604" t="s">
        <v>6665</v>
      </c>
      <c r="S3604">
        <v>209.95</v>
      </c>
      <c r="T3604">
        <v>240</v>
      </c>
      <c r="U3604">
        <v>180</v>
      </c>
      <c r="V3604" t="s">
        <v>9</v>
      </c>
      <c r="W3604" t="s">
        <v>10</v>
      </c>
      <c r="X3604" t="s">
        <v>11</v>
      </c>
      <c r="Y3604" t="s">
        <v>52</v>
      </c>
      <c r="AF3604" t="s">
        <v>13</v>
      </c>
      <c r="AH3604" t="str">
        <f>HYPERLINK("http://www.degruyter.com/isbn/9781474498166")</f>
        <v>http://www.degruyter.com/isbn/9781474498166</v>
      </c>
      <c r="AI3604" t="s">
        <v>15325</v>
      </c>
      <c r="AL3604" t="s">
        <v>638</v>
      </c>
      <c r="AM3604">
        <v>1</v>
      </c>
      <c r="AN3604" s="2">
        <v>9781474498142</v>
      </c>
    </row>
    <row r="3605" spans="1:40" x14ac:dyDescent="0.3">
      <c r="A3605" t="s">
        <v>17008</v>
      </c>
      <c r="B3605" t="s">
        <v>1</v>
      </c>
      <c r="C3605" t="s">
        <v>17009</v>
      </c>
      <c r="E3605" t="s">
        <v>17010</v>
      </c>
      <c r="F3605" t="s">
        <v>5</v>
      </c>
      <c r="G3605" t="s">
        <v>6</v>
      </c>
      <c r="L3605" t="s">
        <v>7</v>
      </c>
      <c r="M3605">
        <v>2023</v>
      </c>
      <c r="N3605" s="1">
        <v>45201</v>
      </c>
      <c r="O3605" t="s">
        <v>17011</v>
      </c>
      <c r="P3605">
        <v>1</v>
      </c>
      <c r="Q3605" t="s">
        <v>7655</v>
      </c>
      <c r="S3605">
        <v>227.95</v>
      </c>
      <c r="T3605">
        <v>260</v>
      </c>
      <c r="U3605">
        <v>200</v>
      </c>
      <c r="V3605" t="s">
        <v>9</v>
      </c>
      <c r="W3605" t="s">
        <v>10</v>
      </c>
      <c r="X3605" t="s">
        <v>11</v>
      </c>
      <c r="Y3605" t="s">
        <v>52</v>
      </c>
      <c r="AF3605" t="s">
        <v>13</v>
      </c>
      <c r="AH3605" t="str">
        <f>HYPERLINK("http://www.degruyter.com/isbn/9781399503075")</f>
        <v>http://www.degruyter.com/isbn/9781399503075</v>
      </c>
      <c r="AI3605" t="s">
        <v>15325</v>
      </c>
      <c r="AL3605" t="s">
        <v>638</v>
      </c>
      <c r="AM3605">
        <v>1</v>
      </c>
      <c r="AN3605" s="2">
        <v>9781399503051</v>
      </c>
    </row>
    <row r="3606" spans="1:40" x14ac:dyDescent="0.3">
      <c r="A3606" t="s">
        <v>17012</v>
      </c>
      <c r="B3606" t="s">
        <v>1</v>
      </c>
      <c r="C3606" t="s">
        <v>17013</v>
      </c>
      <c r="D3606" t="s">
        <v>17014</v>
      </c>
      <c r="E3606" t="s">
        <v>17015</v>
      </c>
      <c r="F3606" t="s">
        <v>5</v>
      </c>
      <c r="G3606" t="s">
        <v>6</v>
      </c>
      <c r="L3606" t="s">
        <v>7</v>
      </c>
      <c r="M3606">
        <v>2023</v>
      </c>
      <c r="N3606" s="1">
        <v>45173</v>
      </c>
      <c r="O3606" t="s">
        <v>11420</v>
      </c>
      <c r="P3606">
        <v>1</v>
      </c>
      <c r="S3606">
        <v>209.95</v>
      </c>
      <c r="T3606">
        <v>240</v>
      </c>
      <c r="U3606">
        <v>180</v>
      </c>
      <c r="V3606" t="s">
        <v>42</v>
      </c>
      <c r="W3606" t="s">
        <v>107</v>
      </c>
      <c r="X3606" t="s">
        <v>108</v>
      </c>
      <c r="Y3606" t="s">
        <v>109</v>
      </c>
      <c r="AF3606" t="s">
        <v>13</v>
      </c>
      <c r="AH3606" t="str">
        <f>HYPERLINK("http://www.degruyter.com/isbn/9781474499644")</f>
        <v>http://www.degruyter.com/isbn/9781474499644</v>
      </c>
      <c r="AI3606" t="s">
        <v>15732</v>
      </c>
      <c r="AL3606" t="s">
        <v>638</v>
      </c>
      <c r="AM3606">
        <v>1</v>
      </c>
      <c r="AN3606" s="2">
        <v>9781474499620</v>
      </c>
    </row>
    <row r="3607" spans="1:40" x14ac:dyDescent="0.3">
      <c r="A3607" t="s">
        <v>17016</v>
      </c>
      <c r="B3607" t="s">
        <v>1</v>
      </c>
      <c r="C3607" t="s">
        <v>17017</v>
      </c>
      <c r="E3607" t="s">
        <v>17018</v>
      </c>
      <c r="F3607" t="s">
        <v>5</v>
      </c>
      <c r="G3607" t="s">
        <v>6</v>
      </c>
      <c r="L3607" t="s">
        <v>7</v>
      </c>
      <c r="M3607">
        <v>2023</v>
      </c>
      <c r="N3607" s="1">
        <v>45139</v>
      </c>
      <c r="O3607" t="s">
        <v>17019</v>
      </c>
      <c r="P3607">
        <v>1</v>
      </c>
      <c r="Q3607" t="s">
        <v>6987</v>
      </c>
      <c r="S3607">
        <v>217.95</v>
      </c>
      <c r="T3607">
        <v>250</v>
      </c>
      <c r="U3607">
        <v>190</v>
      </c>
      <c r="V3607" t="s">
        <v>9</v>
      </c>
      <c r="W3607" t="s">
        <v>10</v>
      </c>
      <c r="X3607" t="s">
        <v>11</v>
      </c>
      <c r="Y3607" t="s">
        <v>52</v>
      </c>
      <c r="AF3607" t="s">
        <v>13</v>
      </c>
      <c r="AH3607" t="str">
        <f>HYPERLINK("http://www.degruyter.com/isbn/9781399502993")</f>
        <v>http://www.degruyter.com/isbn/9781399502993</v>
      </c>
      <c r="AI3607" t="s">
        <v>15325</v>
      </c>
      <c r="AL3607" t="s">
        <v>638</v>
      </c>
      <c r="AM3607">
        <v>1</v>
      </c>
      <c r="AN3607" s="2">
        <v>9781399502979</v>
      </c>
    </row>
    <row r="3608" spans="1:40" x14ac:dyDescent="0.3">
      <c r="A3608" t="s">
        <v>17020</v>
      </c>
      <c r="B3608" t="s">
        <v>1</v>
      </c>
      <c r="C3608" t="s">
        <v>17021</v>
      </c>
      <c r="E3608" t="s">
        <v>17022</v>
      </c>
      <c r="F3608" t="s">
        <v>5</v>
      </c>
      <c r="G3608" t="s">
        <v>6</v>
      </c>
      <c r="L3608" t="s">
        <v>7</v>
      </c>
      <c r="M3608">
        <v>2023</v>
      </c>
      <c r="N3608" s="1">
        <v>45160</v>
      </c>
      <c r="O3608" t="s">
        <v>17023</v>
      </c>
      <c r="P3608">
        <v>1</v>
      </c>
      <c r="Q3608" t="s">
        <v>6622</v>
      </c>
      <c r="S3608">
        <v>227.95</v>
      </c>
      <c r="T3608">
        <v>260</v>
      </c>
      <c r="U3608">
        <v>200</v>
      </c>
      <c r="V3608" t="s">
        <v>1325</v>
      </c>
      <c r="W3608" t="s">
        <v>5954</v>
      </c>
      <c r="X3608" t="s">
        <v>5954</v>
      </c>
      <c r="Y3608" t="s">
        <v>5955</v>
      </c>
      <c r="AF3608" t="s">
        <v>13</v>
      </c>
      <c r="AH3608" t="str">
        <f>HYPERLINK("http://www.degruyter.com/isbn/9781399518086")</f>
        <v>http://www.degruyter.com/isbn/9781399518086</v>
      </c>
      <c r="AI3608" t="s">
        <v>15604</v>
      </c>
      <c r="AL3608" t="s">
        <v>638</v>
      </c>
      <c r="AM3608">
        <v>1</v>
      </c>
      <c r="AN3608" s="2">
        <v>9781399518062</v>
      </c>
    </row>
    <row r="3609" spans="1:40" x14ac:dyDescent="0.3">
      <c r="A3609" t="s">
        <v>17024</v>
      </c>
      <c r="B3609" t="s">
        <v>1</v>
      </c>
      <c r="C3609" t="s">
        <v>17025</v>
      </c>
      <c r="D3609" t="s">
        <v>17026</v>
      </c>
      <c r="E3609" t="s">
        <v>17027</v>
      </c>
      <c r="F3609" t="s">
        <v>5</v>
      </c>
      <c r="G3609" t="s">
        <v>6</v>
      </c>
      <c r="L3609" t="s">
        <v>7</v>
      </c>
      <c r="M3609">
        <v>2023</v>
      </c>
      <c r="N3609" s="1">
        <v>45173</v>
      </c>
      <c r="O3609" t="s">
        <v>17028</v>
      </c>
      <c r="P3609">
        <v>1</v>
      </c>
      <c r="S3609">
        <v>209.95</v>
      </c>
      <c r="T3609">
        <v>240</v>
      </c>
      <c r="U3609">
        <v>180</v>
      </c>
      <c r="V3609" t="s">
        <v>9</v>
      </c>
      <c r="W3609" t="s">
        <v>10</v>
      </c>
      <c r="X3609" t="s">
        <v>11</v>
      </c>
      <c r="Y3609" t="s">
        <v>52</v>
      </c>
      <c r="AF3609" t="s">
        <v>13</v>
      </c>
      <c r="AH3609" t="str">
        <f>HYPERLINK("http://www.degruyter.com/isbn/9781474496674")</f>
        <v>http://www.degruyter.com/isbn/9781474496674</v>
      </c>
      <c r="AI3609" t="s">
        <v>15325</v>
      </c>
      <c r="AL3609" t="s">
        <v>638</v>
      </c>
      <c r="AM3609">
        <v>1</v>
      </c>
      <c r="AN3609" s="2">
        <v>9781474496650</v>
      </c>
    </row>
    <row r="3610" spans="1:40" x14ac:dyDescent="0.3">
      <c r="A3610" t="s">
        <v>17029</v>
      </c>
      <c r="B3610" t="s">
        <v>1</v>
      </c>
      <c r="C3610" t="s">
        <v>17030</v>
      </c>
      <c r="D3610" t="s">
        <v>17031</v>
      </c>
      <c r="E3610" t="s">
        <v>17032</v>
      </c>
      <c r="F3610" t="s">
        <v>5</v>
      </c>
      <c r="G3610" t="s">
        <v>6</v>
      </c>
      <c r="K3610" t="s">
        <v>923</v>
      </c>
      <c r="L3610" t="s">
        <v>7</v>
      </c>
      <c r="M3610">
        <v>2023</v>
      </c>
      <c r="N3610" s="1">
        <v>45111</v>
      </c>
      <c r="O3610" t="s">
        <v>17033</v>
      </c>
      <c r="P3610">
        <v>1</v>
      </c>
      <c r="V3610" t="s">
        <v>42</v>
      </c>
      <c r="W3610" t="s">
        <v>116</v>
      </c>
      <c r="X3610" t="s">
        <v>116</v>
      </c>
      <c r="Y3610" t="s">
        <v>810</v>
      </c>
      <c r="AF3610" t="s">
        <v>13</v>
      </c>
      <c r="AH3610" t="str">
        <f>HYPERLINK("http://www.degruyter.com/isbn/9781399516068")</f>
        <v>http://www.degruyter.com/isbn/9781399516068</v>
      </c>
      <c r="AI3610" t="s">
        <v>15732</v>
      </c>
      <c r="AL3610" t="s">
        <v>638</v>
      </c>
      <c r="AM3610">
        <v>1</v>
      </c>
      <c r="AN3610" s="2"/>
    </row>
    <row r="3611" spans="1:40" x14ac:dyDescent="0.3">
      <c r="A3611" t="s">
        <v>17034</v>
      </c>
      <c r="B3611" t="s">
        <v>1</v>
      </c>
      <c r="C3611" t="s">
        <v>17035</v>
      </c>
      <c r="D3611" t="s">
        <v>17036</v>
      </c>
      <c r="E3611" t="s">
        <v>17037</v>
      </c>
      <c r="F3611" t="s">
        <v>5</v>
      </c>
      <c r="G3611" t="s">
        <v>6</v>
      </c>
      <c r="K3611" t="s">
        <v>16138</v>
      </c>
      <c r="L3611" t="s">
        <v>7</v>
      </c>
      <c r="M3611">
        <v>2023</v>
      </c>
      <c r="N3611" s="1">
        <v>45160</v>
      </c>
      <c r="O3611" t="s">
        <v>17038</v>
      </c>
      <c r="P3611">
        <v>1</v>
      </c>
      <c r="V3611" t="s">
        <v>58</v>
      </c>
      <c r="W3611" t="s">
        <v>129</v>
      </c>
      <c r="X3611" t="s">
        <v>5642</v>
      </c>
      <c r="Y3611" t="s">
        <v>5643</v>
      </c>
      <c r="AF3611" t="s">
        <v>13</v>
      </c>
      <c r="AH3611" t="str">
        <f>HYPERLINK("http://www.degruyter.com/isbn/9781399505413")</f>
        <v>http://www.degruyter.com/isbn/9781399505413</v>
      </c>
      <c r="AI3611" t="s">
        <v>15918</v>
      </c>
      <c r="AL3611" t="s">
        <v>638</v>
      </c>
      <c r="AM3611">
        <v>1</v>
      </c>
      <c r="AN3611" s="2"/>
    </row>
    <row r="3612" spans="1:40" x14ac:dyDescent="0.3">
      <c r="A3612" t="s">
        <v>17039</v>
      </c>
      <c r="B3612" t="s">
        <v>1</v>
      </c>
      <c r="C3612" t="s">
        <v>17040</v>
      </c>
      <c r="D3612" t="s">
        <v>17041</v>
      </c>
      <c r="E3612" t="s">
        <v>17042</v>
      </c>
      <c r="F3612" t="s">
        <v>5</v>
      </c>
      <c r="G3612" t="s">
        <v>6</v>
      </c>
      <c r="L3612" t="s">
        <v>7</v>
      </c>
      <c r="M3612">
        <v>2023</v>
      </c>
      <c r="N3612" s="1">
        <v>45230</v>
      </c>
      <c r="O3612" t="s">
        <v>17043</v>
      </c>
      <c r="P3612">
        <v>1</v>
      </c>
      <c r="S3612">
        <v>227.95</v>
      </c>
      <c r="T3612">
        <v>260</v>
      </c>
      <c r="U3612">
        <v>200</v>
      </c>
      <c r="V3612" t="s">
        <v>305</v>
      </c>
      <c r="W3612" t="s">
        <v>306</v>
      </c>
      <c r="X3612" t="s">
        <v>306</v>
      </c>
      <c r="Y3612" t="s">
        <v>307</v>
      </c>
      <c r="AF3612" t="s">
        <v>13</v>
      </c>
      <c r="AH3612" t="str">
        <f>HYPERLINK("http://www.degruyter.com/isbn/9781399518369")</f>
        <v>http://www.degruyter.com/isbn/9781399518369</v>
      </c>
      <c r="AI3612" t="s">
        <v>15325</v>
      </c>
      <c r="AL3612" t="s">
        <v>638</v>
      </c>
      <c r="AM3612">
        <v>1</v>
      </c>
      <c r="AN3612" s="2">
        <v>9781399518345</v>
      </c>
    </row>
    <row r="3613" spans="1:40" x14ac:dyDescent="0.3">
      <c r="A3613" t="s">
        <v>17044</v>
      </c>
      <c r="B3613" t="s">
        <v>1</v>
      </c>
      <c r="C3613" t="s">
        <v>17045</v>
      </c>
      <c r="D3613" t="s">
        <v>17046</v>
      </c>
      <c r="E3613" t="s">
        <v>17047</v>
      </c>
      <c r="F3613" t="s">
        <v>5</v>
      </c>
      <c r="G3613" t="s">
        <v>6</v>
      </c>
      <c r="L3613" t="s">
        <v>7</v>
      </c>
      <c r="M3613">
        <v>2024</v>
      </c>
      <c r="N3613" s="1">
        <v>45264</v>
      </c>
      <c r="O3613" t="s">
        <v>17048</v>
      </c>
      <c r="P3613">
        <v>1</v>
      </c>
      <c r="Q3613" t="s">
        <v>8607</v>
      </c>
      <c r="S3613">
        <v>209.95</v>
      </c>
      <c r="T3613">
        <v>240</v>
      </c>
      <c r="U3613">
        <v>180</v>
      </c>
      <c r="V3613" t="s">
        <v>58</v>
      </c>
      <c r="W3613" t="s">
        <v>59</v>
      </c>
      <c r="X3613" t="s">
        <v>60</v>
      </c>
      <c r="Y3613" t="s">
        <v>5149</v>
      </c>
      <c r="AF3613" t="s">
        <v>13</v>
      </c>
      <c r="AH3613" t="str">
        <f>HYPERLINK("http://www.degruyter.com/isbn/9781399510172")</f>
        <v>http://www.degruyter.com/isbn/9781399510172</v>
      </c>
      <c r="AI3613" t="s">
        <v>16697</v>
      </c>
      <c r="AL3613" t="s">
        <v>638</v>
      </c>
      <c r="AM3613">
        <v>1</v>
      </c>
      <c r="AN3613" s="2">
        <v>9781399510141</v>
      </c>
    </row>
    <row r="3614" spans="1:40" x14ac:dyDescent="0.3">
      <c r="A3614" t="s">
        <v>17049</v>
      </c>
      <c r="B3614" t="s">
        <v>1</v>
      </c>
      <c r="C3614" t="s">
        <v>17050</v>
      </c>
      <c r="D3614" t="s">
        <v>17051</v>
      </c>
      <c r="E3614" t="s">
        <v>17052</v>
      </c>
      <c r="F3614" t="s">
        <v>5</v>
      </c>
      <c r="G3614" t="s">
        <v>6</v>
      </c>
      <c r="L3614" t="s">
        <v>7</v>
      </c>
      <c r="M3614">
        <v>2023</v>
      </c>
      <c r="N3614" s="1">
        <v>45173</v>
      </c>
      <c r="O3614" t="s">
        <v>3552</v>
      </c>
      <c r="P3614">
        <v>1</v>
      </c>
      <c r="S3614">
        <v>209.95</v>
      </c>
      <c r="T3614">
        <v>240</v>
      </c>
      <c r="U3614">
        <v>180</v>
      </c>
      <c r="V3614" t="s">
        <v>42</v>
      </c>
      <c r="W3614" t="s">
        <v>107</v>
      </c>
      <c r="X3614" t="s">
        <v>108</v>
      </c>
      <c r="Y3614" t="s">
        <v>109</v>
      </c>
      <c r="AF3614" t="s">
        <v>13</v>
      </c>
      <c r="AH3614" t="str">
        <f>HYPERLINK("http://www.degruyter.com/isbn/9781474484220")</f>
        <v>http://www.degruyter.com/isbn/9781474484220</v>
      </c>
      <c r="AI3614" t="s">
        <v>15732</v>
      </c>
      <c r="AL3614" t="s">
        <v>638</v>
      </c>
      <c r="AM3614">
        <v>1</v>
      </c>
      <c r="AN3614" s="2">
        <v>9781474484206</v>
      </c>
    </row>
    <row r="3615" spans="1:40" x14ac:dyDescent="0.3">
      <c r="A3615" t="s">
        <v>17053</v>
      </c>
      <c r="B3615" t="s">
        <v>1</v>
      </c>
      <c r="C3615" t="s">
        <v>17054</v>
      </c>
      <c r="D3615" t="s">
        <v>17055</v>
      </c>
      <c r="E3615" t="s">
        <v>17056</v>
      </c>
      <c r="F3615" t="s">
        <v>5</v>
      </c>
      <c r="G3615" t="s">
        <v>6</v>
      </c>
      <c r="L3615" t="s">
        <v>7</v>
      </c>
      <c r="M3615">
        <v>2023</v>
      </c>
      <c r="N3615" s="1">
        <v>45198</v>
      </c>
      <c r="O3615" t="s">
        <v>17057</v>
      </c>
      <c r="P3615">
        <v>1</v>
      </c>
      <c r="Q3615" t="s">
        <v>7303</v>
      </c>
      <c r="S3615">
        <v>217.95</v>
      </c>
      <c r="T3615">
        <v>250</v>
      </c>
      <c r="U3615">
        <v>190</v>
      </c>
      <c r="V3615" t="s">
        <v>79</v>
      </c>
      <c r="W3615" t="s">
        <v>123</v>
      </c>
      <c r="X3615" t="s">
        <v>123</v>
      </c>
      <c r="Y3615" t="s">
        <v>124</v>
      </c>
      <c r="AF3615" t="s">
        <v>13</v>
      </c>
      <c r="AH3615" t="str">
        <f>HYPERLINK("http://www.degruyter.com/isbn/9781399519755")</f>
        <v>http://www.degruyter.com/isbn/9781399519755</v>
      </c>
      <c r="AI3615" t="s">
        <v>16146</v>
      </c>
      <c r="AJ3615" t="s">
        <v>35</v>
      </c>
      <c r="AL3615" t="s">
        <v>638</v>
      </c>
      <c r="AM3615">
        <v>1</v>
      </c>
      <c r="AN3615" s="2">
        <v>9781399519731</v>
      </c>
    </row>
    <row r="3616" spans="1:40" x14ac:dyDescent="0.3">
      <c r="A3616" t="s">
        <v>17058</v>
      </c>
      <c r="B3616" t="s">
        <v>1</v>
      </c>
      <c r="C3616" t="s">
        <v>17059</v>
      </c>
      <c r="E3616" t="s">
        <v>17060</v>
      </c>
      <c r="F3616" t="s">
        <v>5</v>
      </c>
      <c r="G3616" t="s">
        <v>6</v>
      </c>
      <c r="L3616" t="s">
        <v>7</v>
      </c>
      <c r="M3616">
        <v>2023</v>
      </c>
      <c r="N3616" s="1">
        <v>45160</v>
      </c>
      <c r="O3616" t="s">
        <v>17061</v>
      </c>
      <c r="P3616">
        <v>1</v>
      </c>
      <c r="Q3616" t="s">
        <v>6987</v>
      </c>
      <c r="S3616">
        <v>227.95</v>
      </c>
      <c r="T3616">
        <v>260</v>
      </c>
      <c r="U3616">
        <v>200</v>
      </c>
      <c r="V3616" t="s">
        <v>9</v>
      </c>
      <c r="W3616" t="s">
        <v>10</v>
      </c>
      <c r="X3616" t="s">
        <v>11</v>
      </c>
      <c r="Y3616" t="s">
        <v>52</v>
      </c>
      <c r="AF3616" t="s">
        <v>13</v>
      </c>
      <c r="AH3616" t="str">
        <f>HYPERLINK("http://www.degruyter.com/isbn/9781399510950")</f>
        <v>http://www.degruyter.com/isbn/9781399510950</v>
      </c>
      <c r="AI3616" t="s">
        <v>15325</v>
      </c>
      <c r="AL3616" t="s">
        <v>638</v>
      </c>
      <c r="AM3616">
        <v>1</v>
      </c>
      <c r="AN3616" s="2">
        <v>9781399510936</v>
      </c>
    </row>
    <row r="3617" spans="1:40" x14ac:dyDescent="0.3">
      <c r="A3617" t="s">
        <v>17062</v>
      </c>
      <c r="B3617" t="s">
        <v>1</v>
      </c>
      <c r="C3617" t="s">
        <v>17063</v>
      </c>
      <c r="D3617" t="s">
        <v>17064</v>
      </c>
      <c r="E3617" t="s">
        <v>17065</v>
      </c>
      <c r="F3617" t="s">
        <v>5</v>
      </c>
      <c r="G3617" t="s">
        <v>6</v>
      </c>
      <c r="L3617" t="s">
        <v>7</v>
      </c>
      <c r="M3617">
        <v>2023</v>
      </c>
      <c r="N3617" s="1">
        <v>45139</v>
      </c>
      <c r="O3617" t="s">
        <v>17066</v>
      </c>
      <c r="P3617">
        <v>1</v>
      </c>
      <c r="Q3617" t="s">
        <v>7283</v>
      </c>
      <c r="S3617">
        <v>209.95</v>
      </c>
      <c r="T3617">
        <v>240</v>
      </c>
      <c r="U3617">
        <v>180</v>
      </c>
      <c r="V3617" t="s">
        <v>305</v>
      </c>
      <c r="W3617" t="s">
        <v>306</v>
      </c>
      <c r="X3617" t="s">
        <v>306</v>
      </c>
      <c r="Y3617" t="s">
        <v>307</v>
      </c>
      <c r="AF3617" t="s">
        <v>13</v>
      </c>
      <c r="AH3617" t="str">
        <f>HYPERLINK("http://www.degruyter.com/isbn/9781474406994")</f>
        <v>http://www.degruyter.com/isbn/9781474406994</v>
      </c>
      <c r="AI3617" t="s">
        <v>15325</v>
      </c>
      <c r="AL3617" t="s">
        <v>638</v>
      </c>
      <c r="AM3617">
        <v>1</v>
      </c>
      <c r="AN3617" s="2">
        <v>9781474406987</v>
      </c>
    </row>
    <row r="3618" spans="1:40" x14ac:dyDescent="0.3">
      <c r="A3618" t="s">
        <v>17067</v>
      </c>
      <c r="B3618" t="s">
        <v>1</v>
      </c>
      <c r="C3618" t="s">
        <v>17068</v>
      </c>
      <c r="E3618" t="s">
        <v>17069</v>
      </c>
      <c r="F3618" t="s">
        <v>5</v>
      </c>
      <c r="G3618" t="s">
        <v>6</v>
      </c>
      <c r="H3618" t="s">
        <v>16123</v>
      </c>
      <c r="L3618" t="s">
        <v>7</v>
      </c>
      <c r="M3618">
        <v>2014</v>
      </c>
      <c r="N3618" s="1">
        <v>41745</v>
      </c>
      <c r="O3618" t="s">
        <v>17070</v>
      </c>
      <c r="P3618">
        <v>1</v>
      </c>
      <c r="S3618">
        <v>217.95</v>
      </c>
      <c r="T3618">
        <v>250</v>
      </c>
      <c r="U3618">
        <v>190</v>
      </c>
      <c r="V3618" t="s">
        <v>42</v>
      </c>
      <c r="W3618" t="s">
        <v>116</v>
      </c>
      <c r="X3618" t="s">
        <v>116</v>
      </c>
      <c r="Y3618" t="s">
        <v>117</v>
      </c>
      <c r="AF3618" t="s">
        <v>13</v>
      </c>
      <c r="AH3618" t="str">
        <f>HYPERLINK("http://www.degruyter.com/isbn/9780748691333")</f>
        <v>http://www.degruyter.com/isbn/9780748691333</v>
      </c>
      <c r="AI3618" t="s">
        <v>34</v>
      </c>
      <c r="AM3618">
        <v>1</v>
      </c>
      <c r="AN3618" s="2">
        <v>9780748691326</v>
      </c>
    </row>
    <row r="3619" spans="1:40" x14ac:dyDescent="0.3">
      <c r="A3619" t="s">
        <v>17071</v>
      </c>
      <c r="B3619" t="s">
        <v>1</v>
      </c>
      <c r="C3619" t="s">
        <v>17072</v>
      </c>
      <c r="E3619" t="s">
        <v>17073</v>
      </c>
      <c r="F3619" t="s">
        <v>5</v>
      </c>
      <c r="G3619" t="s">
        <v>6</v>
      </c>
      <c r="H3619" t="s">
        <v>16123</v>
      </c>
      <c r="L3619" t="s">
        <v>7</v>
      </c>
      <c r="M3619">
        <v>2017</v>
      </c>
      <c r="N3619" s="1">
        <v>42753</v>
      </c>
      <c r="O3619" t="s">
        <v>17074</v>
      </c>
      <c r="P3619">
        <v>1</v>
      </c>
      <c r="Q3619" t="s">
        <v>7481</v>
      </c>
      <c r="S3619">
        <v>209.95</v>
      </c>
      <c r="T3619">
        <v>240</v>
      </c>
      <c r="U3619">
        <v>180</v>
      </c>
      <c r="V3619" t="s">
        <v>268</v>
      </c>
      <c r="W3619" t="s">
        <v>269</v>
      </c>
      <c r="X3619" t="s">
        <v>269</v>
      </c>
      <c r="Y3619" t="s">
        <v>819</v>
      </c>
      <c r="AF3619" t="s">
        <v>13</v>
      </c>
      <c r="AH3619" t="str">
        <f>HYPERLINK("http://www.degruyter.com/isbn/9781474404259")</f>
        <v>http://www.degruyter.com/isbn/9781474404259</v>
      </c>
      <c r="AI3619" t="s">
        <v>222</v>
      </c>
      <c r="AM3619">
        <v>1</v>
      </c>
      <c r="AN3619" s="2">
        <v>9781474403214</v>
      </c>
    </row>
    <row r="3620" spans="1:40" x14ac:dyDescent="0.3">
      <c r="A3620" t="s">
        <v>17075</v>
      </c>
      <c r="B3620" t="s">
        <v>1</v>
      </c>
      <c r="C3620" t="s">
        <v>17076</v>
      </c>
      <c r="E3620" t="s">
        <v>17077</v>
      </c>
      <c r="F3620" t="s">
        <v>5</v>
      </c>
      <c r="G3620" t="s">
        <v>6</v>
      </c>
      <c r="L3620" t="s">
        <v>7</v>
      </c>
      <c r="M3620">
        <v>2023</v>
      </c>
      <c r="N3620" s="1">
        <v>45110</v>
      </c>
      <c r="O3620" t="s">
        <v>17078</v>
      </c>
      <c r="P3620">
        <v>1</v>
      </c>
      <c r="S3620">
        <v>209.95</v>
      </c>
      <c r="T3620">
        <v>240</v>
      </c>
      <c r="U3620">
        <v>180</v>
      </c>
      <c r="V3620" t="s">
        <v>42</v>
      </c>
      <c r="W3620" t="s">
        <v>290</v>
      </c>
      <c r="X3620" t="s">
        <v>290</v>
      </c>
      <c r="Y3620" t="s">
        <v>515</v>
      </c>
      <c r="AF3620" t="s">
        <v>13</v>
      </c>
      <c r="AH3620" t="str">
        <f>HYPERLINK("http://www.degruyter.com/isbn/9781474464093")</f>
        <v>http://www.degruyter.com/isbn/9781474464093</v>
      </c>
      <c r="AI3620" t="s">
        <v>15732</v>
      </c>
      <c r="AL3620" t="s">
        <v>638</v>
      </c>
      <c r="AM3620">
        <v>1</v>
      </c>
      <c r="AN3620" s="2">
        <v>9781474464048</v>
      </c>
    </row>
    <row r="3621" spans="1:40" x14ac:dyDescent="0.3">
      <c r="A3621" t="s">
        <v>17079</v>
      </c>
      <c r="B3621" t="s">
        <v>1</v>
      </c>
      <c r="C3621" t="s">
        <v>17080</v>
      </c>
      <c r="D3621" t="s">
        <v>17081</v>
      </c>
      <c r="E3621" t="s">
        <v>17082</v>
      </c>
      <c r="F3621" t="s">
        <v>5</v>
      </c>
      <c r="G3621" t="s">
        <v>6</v>
      </c>
      <c r="L3621" t="s">
        <v>7</v>
      </c>
      <c r="M3621">
        <v>2024</v>
      </c>
      <c r="N3621" s="1">
        <v>45264</v>
      </c>
      <c r="O3621" t="s">
        <v>17083</v>
      </c>
      <c r="P3621">
        <v>1</v>
      </c>
      <c r="Q3621" t="s">
        <v>6899</v>
      </c>
      <c r="S3621">
        <v>227.95</v>
      </c>
      <c r="T3621">
        <v>260</v>
      </c>
      <c r="U3621">
        <v>200</v>
      </c>
      <c r="V3621" t="s">
        <v>329</v>
      </c>
      <c r="W3621" t="s">
        <v>330</v>
      </c>
      <c r="X3621" t="s">
        <v>331</v>
      </c>
      <c r="Y3621" t="s">
        <v>4770</v>
      </c>
      <c r="AF3621" t="s">
        <v>13</v>
      </c>
      <c r="AH3621" t="str">
        <f>HYPERLINK("http://www.degruyter.com/isbn/9781399524469")</f>
        <v>http://www.degruyter.com/isbn/9781399524469</v>
      </c>
      <c r="AI3621" t="s">
        <v>17084</v>
      </c>
      <c r="AL3621" t="s">
        <v>638</v>
      </c>
      <c r="AM3621">
        <v>1</v>
      </c>
      <c r="AN3621" s="2">
        <v>9781399524445</v>
      </c>
    </row>
    <row r="3622" spans="1:40" x14ac:dyDescent="0.3">
      <c r="A3622" t="s">
        <v>17085</v>
      </c>
      <c r="B3622" t="s">
        <v>1</v>
      </c>
      <c r="C3622" t="s">
        <v>17086</v>
      </c>
      <c r="E3622" t="s">
        <v>17087</v>
      </c>
      <c r="F3622" t="s">
        <v>5</v>
      </c>
      <c r="G3622" t="s">
        <v>6</v>
      </c>
      <c r="L3622" t="s">
        <v>7</v>
      </c>
      <c r="M3622">
        <v>2023</v>
      </c>
      <c r="N3622" s="1">
        <v>45075</v>
      </c>
      <c r="O3622" t="s">
        <v>17088</v>
      </c>
      <c r="P3622">
        <v>1</v>
      </c>
      <c r="S3622">
        <v>217.95</v>
      </c>
      <c r="T3622">
        <v>250</v>
      </c>
      <c r="U3622">
        <v>190</v>
      </c>
      <c r="V3622" t="s">
        <v>42</v>
      </c>
      <c r="W3622" t="s">
        <v>107</v>
      </c>
      <c r="X3622" t="s">
        <v>108</v>
      </c>
      <c r="Y3622" t="s">
        <v>109</v>
      </c>
      <c r="AF3622" t="s">
        <v>13</v>
      </c>
      <c r="AH3622" t="str">
        <f>HYPERLINK("http://www.degruyter.com/isbn/9781474496759")</f>
        <v>http://www.degruyter.com/isbn/9781474496759</v>
      </c>
      <c r="AI3622" t="s">
        <v>15732</v>
      </c>
      <c r="AL3622" t="s">
        <v>638</v>
      </c>
      <c r="AM3622">
        <v>1</v>
      </c>
      <c r="AN3622" s="2">
        <v>9781474496735</v>
      </c>
    </row>
    <row r="3623" spans="1:40" x14ac:dyDescent="0.3">
      <c r="A3623" t="s">
        <v>17089</v>
      </c>
      <c r="B3623" t="s">
        <v>1</v>
      </c>
      <c r="C3623" t="s">
        <v>17090</v>
      </c>
      <c r="D3623" t="s">
        <v>17091</v>
      </c>
      <c r="E3623" t="s">
        <v>17092</v>
      </c>
      <c r="F3623" t="s">
        <v>5</v>
      </c>
      <c r="G3623" t="s">
        <v>6</v>
      </c>
      <c r="L3623" t="s">
        <v>7</v>
      </c>
      <c r="M3623">
        <v>2023</v>
      </c>
      <c r="N3623" s="1">
        <v>45198</v>
      </c>
      <c r="O3623" t="s">
        <v>17093</v>
      </c>
      <c r="P3623">
        <v>1</v>
      </c>
      <c r="S3623">
        <v>227.95</v>
      </c>
      <c r="T3623">
        <v>260</v>
      </c>
      <c r="U3623">
        <v>200</v>
      </c>
      <c r="V3623" t="s">
        <v>42</v>
      </c>
      <c r="W3623" t="s">
        <v>290</v>
      </c>
      <c r="X3623" t="s">
        <v>290</v>
      </c>
      <c r="Y3623" t="s">
        <v>515</v>
      </c>
      <c r="AF3623" t="s">
        <v>13</v>
      </c>
      <c r="AH3623" t="str">
        <f>HYPERLINK("http://www.degruyter.com/isbn/9781399512558")</f>
        <v>http://www.degruyter.com/isbn/9781399512558</v>
      </c>
      <c r="AI3623" t="s">
        <v>15732</v>
      </c>
      <c r="AL3623" t="s">
        <v>638</v>
      </c>
      <c r="AM3623">
        <v>1</v>
      </c>
      <c r="AN3623" s="2">
        <v>9781399512534</v>
      </c>
    </row>
    <row r="3624" spans="1:40" x14ac:dyDescent="0.3">
      <c r="A3624" t="s">
        <v>17094</v>
      </c>
      <c r="B3624" t="s">
        <v>1</v>
      </c>
      <c r="C3624" t="s">
        <v>17095</v>
      </c>
      <c r="D3624" t="s">
        <v>27</v>
      </c>
      <c r="E3624" t="s">
        <v>17096</v>
      </c>
      <c r="F3624" t="s">
        <v>5</v>
      </c>
      <c r="G3624" t="s">
        <v>6</v>
      </c>
      <c r="H3624" t="s">
        <v>16123</v>
      </c>
      <c r="L3624" t="s">
        <v>7</v>
      </c>
      <c r="M3624">
        <v>2013</v>
      </c>
      <c r="N3624" s="1">
        <v>41313</v>
      </c>
      <c r="O3624" t="s">
        <v>17097</v>
      </c>
      <c r="P3624">
        <v>1</v>
      </c>
      <c r="S3624">
        <v>217.95</v>
      </c>
      <c r="T3624">
        <v>250</v>
      </c>
      <c r="U3624">
        <v>190</v>
      </c>
      <c r="V3624" t="s">
        <v>268</v>
      </c>
      <c r="W3624" t="s">
        <v>269</v>
      </c>
      <c r="X3624" t="s">
        <v>269</v>
      </c>
      <c r="Y3624" t="s">
        <v>411</v>
      </c>
      <c r="AF3624" t="s">
        <v>13</v>
      </c>
      <c r="AH3624" t="str">
        <f>HYPERLINK("http://www.degruyter.com/isbn/9780748699506")</f>
        <v>http://www.degruyter.com/isbn/9780748699506</v>
      </c>
      <c r="AI3624" t="s">
        <v>68</v>
      </c>
      <c r="AM3624">
        <v>1</v>
      </c>
      <c r="AN3624" s="2">
        <v>9781845860158</v>
      </c>
    </row>
    <row r="3625" spans="1:40" x14ac:dyDescent="0.3">
      <c r="A3625" t="s">
        <v>17098</v>
      </c>
      <c r="B3625" t="s">
        <v>1</v>
      </c>
      <c r="C3625" t="s">
        <v>17099</v>
      </c>
      <c r="E3625" t="s">
        <v>17100</v>
      </c>
      <c r="F3625" t="s">
        <v>5</v>
      </c>
      <c r="G3625" t="s">
        <v>6</v>
      </c>
      <c r="L3625" t="s">
        <v>7</v>
      </c>
      <c r="M3625">
        <v>2023</v>
      </c>
      <c r="N3625" s="1">
        <v>45169</v>
      </c>
      <c r="O3625" t="s">
        <v>17101</v>
      </c>
      <c r="P3625">
        <v>1</v>
      </c>
      <c r="Q3625" t="s">
        <v>11407</v>
      </c>
      <c r="S3625">
        <v>295.95</v>
      </c>
      <c r="T3625">
        <v>340</v>
      </c>
      <c r="U3625">
        <v>260</v>
      </c>
      <c r="V3625" t="s">
        <v>329</v>
      </c>
      <c r="W3625" t="s">
        <v>330</v>
      </c>
      <c r="X3625" t="s">
        <v>331</v>
      </c>
      <c r="Y3625" t="s">
        <v>4770</v>
      </c>
      <c r="AF3625" t="s">
        <v>13</v>
      </c>
      <c r="AH3625" t="str">
        <f>HYPERLINK("http://www.degruyter.com/isbn/9781474460903")</f>
        <v>http://www.degruyter.com/isbn/9781474460903</v>
      </c>
      <c r="AI3625" t="s">
        <v>15750</v>
      </c>
      <c r="AL3625" t="s">
        <v>638</v>
      </c>
      <c r="AM3625">
        <v>1</v>
      </c>
      <c r="AN3625" s="2">
        <v>9781474460880</v>
      </c>
    </row>
    <row r="3626" spans="1:40" x14ac:dyDescent="0.3">
      <c r="A3626" t="s">
        <v>17102</v>
      </c>
      <c r="B3626" t="s">
        <v>1</v>
      </c>
      <c r="C3626" t="s">
        <v>17103</v>
      </c>
      <c r="D3626" t="s">
        <v>17104</v>
      </c>
      <c r="E3626" t="s">
        <v>17105</v>
      </c>
      <c r="F3626" t="s">
        <v>5</v>
      </c>
      <c r="G3626" t="s">
        <v>6</v>
      </c>
      <c r="H3626" t="s">
        <v>16123</v>
      </c>
      <c r="L3626" t="s">
        <v>7</v>
      </c>
      <c r="M3626">
        <v>2020</v>
      </c>
      <c r="N3626" s="1">
        <v>43889</v>
      </c>
      <c r="O3626" t="s">
        <v>17106</v>
      </c>
      <c r="P3626">
        <v>1</v>
      </c>
      <c r="Q3626" t="s">
        <v>7738</v>
      </c>
      <c r="S3626">
        <v>227.95</v>
      </c>
      <c r="T3626">
        <v>260</v>
      </c>
      <c r="U3626">
        <v>200</v>
      </c>
      <c r="V3626" t="s">
        <v>98</v>
      </c>
      <c r="W3626" t="s">
        <v>6450</v>
      </c>
      <c r="X3626" t="s">
        <v>17107</v>
      </c>
      <c r="Y3626" t="s">
        <v>937</v>
      </c>
      <c r="AF3626" t="s">
        <v>13</v>
      </c>
      <c r="AH3626" t="str">
        <f>HYPERLINK("http://www.degruyter.com/isbn/9781474463706")</f>
        <v>http://www.degruyter.com/isbn/9781474463706</v>
      </c>
      <c r="AI3626" t="s">
        <v>14</v>
      </c>
      <c r="AM3626">
        <v>1</v>
      </c>
      <c r="AN3626" s="2">
        <v>9781474463683</v>
      </c>
    </row>
    <row r="3627" spans="1:40" x14ac:dyDescent="0.3">
      <c r="A3627" t="s">
        <v>17108</v>
      </c>
      <c r="B3627" t="s">
        <v>1</v>
      </c>
      <c r="C3627" t="s">
        <v>17109</v>
      </c>
      <c r="E3627" t="s">
        <v>17110</v>
      </c>
      <c r="F3627" t="s">
        <v>5</v>
      </c>
      <c r="G3627" t="s">
        <v>6</v>
      </c>
      <c r="H3627" t="s">
        <v>16123</v>
      </c>
      <c r="L3627" t="s">
        <v>7</v>
      </c>
      <c r="M3627">
        <v>2003</v>
      </c>
      <c r="N3627" s="1">
        <v>37784</v>
      </c>
      <c r="O3627" t="s">
        <v>3021</v>
      </c>
      <c r="P3627">
        <v>1</v>
      </c>
      <c r="S3627">
        <v>279.95</v>
      </c>
      <c r="T3627">
        <v>320</v>
      </c>
      <c r="U3627">
        <v>240</v>
      </c>
      <c r="V3627" t="s">
        <v>98</v>
      </c>
      <c r="W3627" t="s">
        <v>256</v>
      </c>
      <c r="X3627" t="s">
        <v>16478</v>
      </c>
      <c r="Y3627" t="s">
        <v>387</v>
      </c>
      <c r="AF3627" t="s">
        <v>13</v>
      </c>
      <c r="AH3627" t="str">
        <f>HYPERLINK("http://www.degruyter.com/isbn/9781474464284")</f>
        <v>http://www.degruyter.com/isbn/9781474464284</v>
      </c>
      <c r="AI3627" t="s">
        <v>68</v>
      </c>
      <c r="AM3627">
        <v>1</v>
      </c>
      <c r="AN3627" s="2">
        <v>9780748617043</v>
      </c>
    </row>
    <row r="3628" spans="1:40" x14ac:dyDescent="0.3">
      <c r="A3628" t="s">
        <v>17111</v>
      </c>
      <c r="B3628" t="s">
        <v>1</v>
      </c>
      <c r="C3628" t="s">
        <v>17112</v>
      </c>
      <c r="E3628" t="s">
        <v>17113</v>
      </c>
      <c r="F3628" t="s">
        <v>5</v>
      </c>
      <c r="G3628" t="s">
        <v>6</v>
      </c>
      <c r="H3628" t="s">
        <v>16123</v>
      </c>
      <c r="L3628" t="s">
        <v>7</v>
      </c>
      <c r="M3628">
        <v>2021</v>
      </c>
      <c r="N3628" s="1">
        <v>44428</v>
      </c>
      <c r="O3628" t="s">
        <v>17114</v>
      </c>
      <c r="P3628">
        <v>1</v>
      </c>
      <c r="Q3628" t="s">
        <v>14060</v>
      </c>
      <c r="S3628">
        <v>253.95</v>
      </c>
      <c r="T3628">
        <v>290</v>
      </c>
      <c r="U3628">
        <v>220</v>
      </c>
      <c r="V3628" t="s">
        <v>98</v>
      </c>
      <c r="W3628" t="s">
        <v>99</v>
      </c>
      <c r="X3628" t="s">
        <v>2492</v>
      </c>
      <c r="Y3628" t="s">
        <v>2493</v>
      </c>
      <c r="AF3628" t="s">
        <v>13</v>
      </c>
      <c r="AH3628" t="str">
        <f>HYPERLINK("http://www.degruyter.com/isbn/9781474459785")</f>
        <v>http://www.degruyter.com/isbn/9781474459785</v>
      </c>
      <c r="AI3628" t="s">
        <v>4245</v>
      </c>
      <c r="AM3628">
        <v>1</v>
      </c>
      <c r="AN3628" s="2">
        <v>9781474459761</v>
      </c>
    </row>
    <row r="3629" spans="1:40" x14ac:dyDescent="0.3">
      <c r="A3629" t="s">
        <v>17115</v>
      </c>
      <c r="B3629" t="s">
        <v>1</v>
      </c>
      <c r="C3629" t="s">
        <v>17116</v>
      </c>
      <c r="E3629" t="s">
        <v>17117</v>
      </c>
      <c r="F3629" t="s">
        <v>5</v>
      </c>
      <c r="G3629" t="s">
        <v>6</v>
      </c>
      <c r="H3629" t="s">
        <v>16123</v>
      </c>
      <c r="L3629" t="s">
        <v>7</v>
      </c>
      <c r="M3629">
        <v>2019</v>
      </c>
      <c r="N3629" s="1">
        <v>43682</v>
      </c>
      <c r="O3629" t="s">
        <v>17118</v>
      </c>
      <c r="P3629">
        <v>1</v>
      </c>
      <c r="Q3629" t="s">
        <v>7187</v>
      </c>
      <c r="S3629">
        <v>217.95</v>
      </c>
      <c r="T3629">
        <v>250</v>
      </c>
      <c r="U3629">
        <v>190</v>
      </c>
      <c r="V3629" t="s">
        <v>98</v>
      </c>
      <c r="W3629" t="s">
        <v>256</v>
      </c>
      <c r="X3629" t="s">
        <v>17119</v>
      </c>
      <c r="Y3629" t="s">
        <v>4298</v>
      </c>
      <c r="AF3629" t="s">
        <v>13</v>
      </c>
      <c r="AH3629" t="str">
        <f>HYPERLINK("http://www.degruyter.com/isbn/9781474470353")</f>
        <v>http://www.degruyter.com/isbn/9781474470353</v>
      </c>
      <c r="AI3629" t="s">
        <v>280</v>
      </c>
      <c r="AM3629">
        <v>1</v>
      </c>
      <c r="AN3629" s="2">
        <v>9780748615629</v>
      </c>
    </row>
    <row r="3630" spans="1:40" x14ac:dyDescent="0.3">
      <c r="A3630" t="s">
        <v>17120</v>
      </c>
      <c r="B3630" t="s">
        <v>1</v>
      </c>
      <c r="C3630" t="s">
        <v>17121</v>
      </c>
      <c r="D3630" t="s">
        <v>1672</v>
      </c>
      <c r="E3630" t="s">
        <v>17122</v>
      </c>
      <c r="F3630" t="s">
        <v>5</v>
      </c>
      <c r="G3630" t="s">
        <v>6</v>
      </c>
      <c r="K3630" t="s">
        <v>923</v>
      </c>
      <c r="L3630" t="s">
        <v>7</v>
      </c>
      <c r="M3630">
        <v>2022</v>
      </c>
      <c r="N3630" s="1">
        <v>44678</v>
      </c>
      <c r="O3630" t="s">
        <v>17123</v>
      </c>
      <c r="P3630">
        <v>1</v>
      </c>
      <c r="V3630" t="s">
        <v>42</v>
      </c>
      <c r="W3630" t="s">
        <v>107</v>
      </c>
      <c r="X3630" t="s">
        <v>108</v>
      </c>
      <c r="Y3630" t="s">
        <v>5001</v>
      </c>
      <c r="AF3630" t="s">
        <v>13</v>
      </c>
      <c r="AH3630" t="str">
        <f>HYPERLINK("http://www.degruyter.com/isbn/9781474429849")</f>
        <v>http://www.degruyter.com/isbn/9781474429849</v>
      </c>
      <c r="AI3630" t="s">
        <v>15374</v>
      </c>
      <c r="AM3630">
        <v>1</v>
      </c>
      <c r="AN3630" s="2"/>
    </row>
    <row r="3631" spans="1:40" x14ac:dyDescent="0.3">
      <c r="A3631" t="s">
        <v>17124</v>
      </c>
      <c r="B3631" t="s">
        <v>1</v>
      </c>
      <c r="C3631" t="s">
        <v>17125</v>
      </c>
      <c r="D3631" t="s">
        <v>17126</v>
      </c>
      <c r="E3631" t="s">
        <v>17127</v>
      </c>
      <c r="F3631" t="s">
        <v>5</v>
      </c>
      <c r="G3631" t="s">
        <v>6</v>
      </c>
      <c r="H3631" t="s">
        <v>16123</v>
      </c>
      <c r="L3631" t="s">
        <v>7</v>
      </c>
      <c r="M3631">
        <v>2013</v>
      </c>
      <c r="N3631" s="1">
        <v>41449</v>
      </c>
      <c r="O3631" t="s">
        <v>17128</v>
      </c>
      <c r="P3631">
        <v>1</v>
      </c>
      <c r="S3631">
        <v>321.95</v>
      </c>
      <c r="T3631">
        <v>370</v>
      </c>
      <c r="U3631">
        <v>280</v>
      </c>
      <c r="V3631" t="s">
        <v>268</v>
      </c>
      <c r="W3631" t="s">
        <v>269</v>
      </c>
      <c r="X3631" t="s">
        <v>269</v>
      </c>
      <c r="Y3631" t="s">
        <v>1045</v>
      </c>
      <c r="AF3631" t="s">
        <v>13</v>
      </c>
      <c r="AH3631" t="str">
        <f>HYPERLINK("http://www.degruyter.com/isbn/9780748679058")</f>
        <v>http://www.degruyter.com/isbn/9780748679058</v>
      </c>
      <c r="AI3631" t="s">
        <v>68</v>
      </c>
      <c r="AM3631">
        <v>1</v>
      </c>
      <c r="AN3631" s="2">
        <v>9780748679034</v>
      </c>
    </row>
    <row r="3632" spans="1:40" x14ac:dyDescent="0.3">
      <c r="A3632" t="s">
        <v>17129</v>
      </c>
      <c r="B3632" t="s">
        <v>1</v>
      </c>
      <c r="C3632" t="s">
        <v>17130</v>
      </c>
      <c r="D3632" t="s">
        <v>17131</v>
      </c>
      <c r="E3632" t="s">
        <v>17132</v>
      </c>
      <c r="F3632" t="s">
        <v>5</v>
      </c>
      <c r="G3632" t="s">
        <v>6</v>
      </c>
      <c r="H3632" t="s">
        <v>16123</v>
      </c>
      <c r="L3632" t="s">
        <v>7</v>
      </c>
      <c r="M3632">
        <v>2018</v>
      </c>
      <c r="N3632" s="1">
        <v>43108</v>
      </c>
      <c r="O3632" t="s">
        <v>17133</v>
      </c>
      <c r="P3632">
        <v>1</v>
      </c>
      <c r="Q3632" t="s">
        <v>7738</v>
      </c>
      <c r="S3632">
        <v>227.95</v>
      </c>
      <c r="T3632">
        <v>260</v>
      </c>
      <c r="U3632">
        <v>200</v>
      </c>
      <c r="V3632" t="s">
        <v>98</v>
      </c>
      <c r="W3632" t="s">
        <v>256</v>
      </c>
      <c r="X3632" t="s">
        <v>16478</v>
      </c>
      <c r="Y3632" t="s">
        <v>387</v>
      </c>
      <c r="AF3632" t="s">
        <v>13</v>
      </c>
      <c r="AH3632" t="str">
        <f>HYPERLINK("http://www.degruyter.com/isbn/9781474428989")</f>
        <v>http://www.degruyter.com/isbn/9781474428989</v>
      </c>
      <c r="AI3632" t="s">
        <v>46</v>
      </c>
      <c r="AM3632">
        <v>1</v>
      </c>
      <c r="AN3632" s="2">
        <v>9781474428965</v>
      </c>
    </row>
    <row r="3633" spans="1:40" x14ac:dyDescent="0.3">
      <c r="A3633" t="s">
        <v>17134</v>
      </c>
      <c r="B3633" t="s">
        <v>1</v>
      </c>
      <c r="C3633" t="s">
        <v>17135</v>
      </c>
      <c r="E3633" t="s">
        <v>17136</v>
      </c>
      <c r="F3633" t="s">
        <v>5</v>
      </c>
      <c r="G3633" t="s">
        <v>6</v>
      </c>
      <c r="H3633" t="s">
        <v>16123</v>
      </c>
      <c r="L3633" t="s">
        <v>7</v>
      </c>
      <c r="M3633">
        <v>2014</v>
      </c>
      <c r="N3633" s="1">
        <v>41716</v>
      </c>
      <c r="O3633" t="s">
        <v>17137</v>
      </c>
      <c r="P3633">
        <v>1</v>
      </c>
      <c r="S3633">
        <v>217.95</v>
      </c>
      <c r="T3633">
        <v>250</v>
      </c>
      <c r="U3633">
        <v>190</v>
      </c>
      <c r="V3633" t="s">
        <v>268</v>
      </c>
      <c r="W3633" t="s">
        <v>269</v>
      </c>
      <c r="X3633" t="s">
        <v>269</v>
      </c>
      <c r="Y3633" t="s">
        <v>411</v>
      </c>
      <c r="AF3633" t="s">
        <v>13</v>
      </c>
      <c r="AH3633" t="str">
        <f>HYPERLINK("http://www.degruyter.com/isbn/9780748698530")</f>
        <v>http://www.degruyter.com/isbn/9780748698530</v>
      </c>
      <c r="AI3633" t="s">
        <v>34</v>
      </c>
      <c r="AM3633">
        <v>1</v>
      </c>
      <c r="AN3633" s="2">
        <v>9781845860677</v>
      </c>
    </row>
    <row r="3634" spans="1:40" x14ac:dyDescent="0.3">
      <c r="A3634" t="s">
        <v>17138</v>
      </c>
      <c r="B3634" t="s">
        <v>1</v>
      </c>
      <c r="C3634" t="s">
        <v>17139</v>
      </c>
      <c r="E3634" t="s">
        <v>17140</v>
      </c>
      <c r="F3634" t="s">
        <v>5</v>
      </c>
      <c r="G3634" t="s">
        <v>6</v>
      </c>
      <c r="H3634" t="s">
        <v>16123</v>
      </c>
      <c r="L3634" t="s">
        <v>7</v>
      </c>
      <c r="M3634">
        <v>2018</v>
      </c>
      <c r="N3634" s="1">
        <v>43116</v>
      </c>
      <c r="O3634" t="s">
        <v>3271</v>
      </c>
      <c r="P3634">
        <v>1</v>
      </c>
      <c r="Q3634" t="s">
        <v>10773</v>
      </c>
      <c r="S3634">
        <v>209.95</v>
      </c>
      <c r="T3634">
        <v>240</v>
      </c>
      <c r="U3634">
        <v>180</v>
      </c>
      <c r="V3634" t="s">
        <v>268</v>
      </c>
      <c r="W3634" t="s">
        <v>963</v>
      </c>
      <c r="X3634" t="s">
        <v>964</v>
      </c>
      <c r="Y3634" t="s">
        <v>965</v>
      </c>
      <c r="AF3634" t="s">
        <v>13</v>
      </c>
      <c r="AH3634" t="str">
        <f>HYPERLINK("http://www.degruyter.com/isbn/9781474420327")</f>
        <v>http://www.degruyter.com/isbn/9781474420327</v>
      </c>
      <c r="AI3634" t="s">
        <v>46</v>
      </c>
      <c r="AM3634">
        <v>1</v>
      </c>
      <c r="AN3634" s="2">
        <v>9781474433563</v>
      </c>
    </row>
    <row r="3635" spans="1:40" x14ac:dyDescent="0.3">
      <c r="A3635" t="s">
        <v>17141</v>
      </c>
      <c r="B3635" t="s">
        <v>1</v>
      </c>
      <c r="C3635" t="s">
        <v>17142</v>
      </c>
      <c r="D3635" t="s">
        <v>17143</v>
      </c>
      <c r="E3635" t="s">
        <v>17144</v>
      </c>
      <c r="F3635" t="s">
        <v>5</v>
      </c>
      <c r="G3635" t="s">
        <v>6</v>
      </c>
      <c r="L3635" t="s">
        <v>7</v>
      </c>
      <c r="M3635">
        <v>2023</v>
      </c>
      <c r="N3635" s="1">
        <v>45111</v>
      </c>
      <c r="O3635" t="s">
        <v>17145</v>
      </c>
      <c r="P3635">
        <v>1</v>
      </c>
      <c r="Q3635" t="s">
        <v>7728</v>
      </c>
      <c r="S3635">
        <v>227.95</v>
      </c>
      <c r="T3635">
        <v>260</v>
      </c>
      <c r="U3635">
        <v>200</v>
      </c>
      <c r="V3635" t="s">
        <v>42</v>
      </c>
      <c r="W3635" t="s">
        <v>107</v>
      </c>
      <c r="X3635" t="s">
        <v>108</v>
      </c>
      <c r="Y3635" t="s">
        <v>109</v>
      </c>
      <c r="AF3635" t="s">
        <v>13</v>
      </c>
      <c r="AH3635" t="str">
        <f>HYPERLINK("http://www.degruyter.com/isbn/9781474499064")</f>
        <v>http://www.degruyter.com/isbn/9781474499064</v>
      </c>
      <c r="AI3635" t="s">
        <v>15732</v>
      </c>
      <c r="AL3635" t="s">
        <v>638</v>
      </c>
      <c r="AM3635">
        <v>1</v>
      </c>
      <c r="AN3635" s="2">
        <v>9781474499040</v>
      </c>
    </row>
    <row r="3636" spans="1:40" x14ac:dyDescent="0.3">
      <c r="A3636" t="s">
        <v>17146</v>
      </c>
      <c r="B3636" t="s">
        <v>1</v>
      </c>
      <c r="C3636" t="s">
        <v>17147</v>
      </c>
      <c r="E3636" t="s">
        <v>17148</v>
      </c>
      <c r="F3636" t="s">
        <v>5</v>
      </c>
      <c r="G3636" t="s">
        <v>6</v>
      </c>
      <c r="H3636" t="s">
        <v>16123</v>
      </c>
      <c r="L3636" t="s">
        <v>7</v>
      </c>
      <c r="M3636">
        <v>2014</v>
      </c>
      <c r="N3636" s="1">
        <v>41715</v>
      </c>
      <c r="O3636" t="s">
        <v>17149</v>
      </c>
      <c r="P3636">
        <v>1</v>
      </c>
      <c r="Q3636" t="s">
        <v>10773</v>
      </c>
      <c r="S3636">
        <v>209.95</v>
      </c>
      <c r="T3636">
        <v>240</v>
      </c>
      <c r="U3636">
        <v>180</v>
      </c>
      <c r="V3636" t="s">
        <v>268</v>
      </c>
      <c r="W3636" t="s">
        <v>1408</v>
      </c>
      <c r="X3636" t="s">
        <v>1409</v>
      </c>
      <c r="Y3636" t="s">
        <v>1410</v>
      </c>
      <c r="AF3636" t="s">
        <v>13</v>
      </c>
      <c r="AH3636" t="str">
        <f>HYPERLINK("http://www.degruyter.com/isbn/9780748698431")</f>
        <v>http://www.degruyter.com/isbn/9780748698431</v>
      </c>
      <c r="AI3636" t="s">
        <v>34</v>
      </c>
      <c r="AM3636">
        <v>1</v>
      </c>
      <c r="AN3636" s="2">
        <v>9781845860790</v>
      </c>
    </row>
    <row r="3637" spans="1:40" x14ac:dyDescent="0.3">
      <c r="A3637" t="s">
        <v>17150</v>
      </c>
      <c r="B3637" t="s">
        <v>1</v>
      </c>
      <c r="C3637" t="s">
        <v>17151</v>
      </c>
      <c r="D3637" t="s">
        <v>17152</v>
      </c>
      <c r="E3637" t="s">
        <v>17153</v>
      </c>
      <c r="F3637" t="s">
        <v>5</v>
      </c>
      <c r="G3637" t="s">
        <v>6</v>
      </c>
      <c r="L3637" t="s">
        <v>7</v>
      </c>
      <c r="M3637">
        <v>2024</v>
      </c>
      <c r="N3637" s="1">
        <v>45264</v>
      </c>
      <c r="O3637" t="s">
        <v>17154</v>
      </c>
      <c r="P3637">
        <v>1</v>
      </c>
      <c r="Q3637" t="s">
        <v>12630</v>
      </c>
      <c r="S3637">
        <v>227.95</v>
      </c>
      <c r="T3637">
        <v>260</v>
      </c>
      <c r="U3637">
        <v>200</v>
      </c>
      <c r="V3637" t="s">
        <v>329</v>
      </c>
      <c r="W3637" t="s">
        <v>330</v>
      </c>
      <c r="X3637" t="s">
        <v>331</v>
      </c>
      <c r="Y3637" t="s">
        <v>1035</v>
      </c>
      <c r="AF3637" t="s">
        <v>13</v>
      </c>
      <c r="AH3637" t="str">
        <f>HYPERLINK("http://www.degruyter.com/isbn/9781399515757")</f>
        <v>http://www.degruyter.com/isbn/9781399515757</v>
      </c>
      <c r="AI3637" t="s">
        <v>17084</v>
      </c>
      <c r="AL3637" t="s">
        <v>638</v>
      </c>
      <c r="AM3637">
        <v>1</v>
      </c>
      <c r="AN3637" s="2">
        <v>9781399515733</v>
      </c>
    </row>
    <row r="3638" spans="1:40" x14ac:dyDescent="0.3">
      <c r="A3638" t="s">
        <v>17155</v>
      </c>
      <c r="B3638" t="s">
        <v>1</v>
      </c>
      <c r="C3638" t="s">
        <v>17156</v>
      </c>
      <c r="D3638" t="s">
        <v>17157</v>
      </c>
      <c r="E3638" t="s">
        <v>17158</v>
      </c>
      <c r="F3638" t="s">
        <v>5</v>
      </c>
      <c r="G3638" t="s">
        <v>6</v>
      </c>
      <c r="L3638" t="s">
        <v>7</v>
      </c>
      <c r="M3638">
        <v>2023</v>
      </c>
      <c r="N3638" s="1">
        <v>45111</v>
      </c>
      <c r="O3638" t="s">
        <v>17159</v>
      </c>
      <c r="P3638">
        <v>1</v>
      </c>
      <c r="Q3638" t="s">
        <v>14976</v>
      </c>
      <c r="S3638">
        <v>227.95</v>
      </c>
      <c r="T3638">
        <v>260</v>
      </c>
      <c r="U3638">
        <v>200</v>
      </c>
      <c r="V3638" t="s">
        <v>305</v>
      </c>
      <c r="W3638" t="s">
        <v>650</v>
      </c>
      <c r="X3638" t="s">
        <v>650</v>
      </c>
      <c r="Y3638" t="s">
        <v>17160</v>
      </c>
      <c r="AF3638" t="s">
        <v>13</v>
      </c>
      <c r="AH3638" t="str">
        <f>HYPERLINK("http://www.degruyter.com/isbn/9781474478533")</f>
        <v>http://www.degruyter.com/isbn/9781474478533</v>
      </c>
      <c r="AI3638" t="s">
        <v>15325</v>
      </c>
      <c r="AL3638" t="s">
        <v>638</v>
      </c>
      <c r="AM3638">
        <v>1</v>
      </c>
      <c r="AN3638" s="2">
        <v>9781474478519</v>
      </c>
    </row>
    <row r="3639" spans="1:40" x14ac:dyDescent="0.3">
      <c r="A3639" t="s">
        <v>17161</v>
      </c>
      <c r="B3639" t="s">
        <v>1</v>
      </c>
      <c r="C3639" t="s">
        <v>17162</v>
      </c>
      <c r="D3639" t="s">
        <v>17163</v>
      </c>
      <c r="E3639" t="s">
        <v>17164</v>
      </c>
      <c r="F3639" t="s">
        <v>5</v>
      </c>
      <c r="G3639" t="s">
        <v>6</v>
      </c>
      <c r="L3639" t="s">
        <v>7</v>
      </c>
      <c r="M3639">
        <v>2023</v>
      </c>
      <c r="N3639" s="1">
        <v>45128</v>
      </c>
      <c r="O3639" t="s">
        <v>17165</v>
      </c>
      <c r="P3639">
        <v>1</v>
      </c>
      <c r="S3639">
        <v>209.95</v>
      </c>
      <c r="T3639">
        <v>240</v>
      </c>
      <c r="U3639">
        <v>180</v>
      </c>
      <c r="V3639" t="s">
        <v>42</v>
      </c>
      <c r="W3639" t="s">
        <v>116</v>
      </c>
      <c r="X3639" t="s">
        <v>116</v>
      </c>
      <c r="Y3639" t="s">
        <v>117</v>
      </c>
      <c r="AF3639" t="s">
        <v>13</v>
      </c>
      <c r="AH3639" t="str">
        <f>HYPERLINK("http://www.degruyter.com/isbn/9781399513982")</f>
        <v>http://www.degruyter.com/isbn/9781399513982</v>
      </c>
      <c r="AI3639" t="s">
        <v>15732</v>
      </c>
      <c r="AL3639" t="s">
        <v>638</v>
      </c>
      <c r="AM3639">
        <v>1</v>
      </c>
      <c r="AN3639" s="2">
        <v>9781399513968</v>
      </c>
    </row>
    <row r="3640" spans="1:40" x14ac:dyDescent="0.3">
      <c r="A3640" t="s">
        <v>17166</v>
      </c>
      <c r="B3640" t="s">
        <v>1</v>
      </c>
      <c r="C3640" t="s">
        <v>17167</v>
      </c>
      <c r="E3640" t="s">
        <v>17168</v>
      </c>
      <c r="F3640" t="s">
        <v>5</v>
      </c>
      <c r="G3640" t="s">
        <v>6</v>
      </c>
      <c r="L3640" t="s">
        <v>7</v>
      </c>
      <c r="M3640">
        <v>2023</v>
      </c>
      <c r="N3640" s="1">
        <v>45111</v>
      </c>
      <c r="O3640" t="s">
        <v>17169</v>
      </c>
      <c r="P3640">
        <v>1</v>
      </c>
      <c r="Q3640" t="s">
        <v>8750</v>
      </c>
      <c r="S3640">
        <v>209.95</v>
      </c>
      <c r="T3640">
        <v>240</v>
      </c>
      <c r="U3640">
        <v>180</v>
      </c>
      <c r="V3640" t="s">
        <v>42</v>
      </c>
      <c r="W3640" t="s">
        <v>107</v>
      </c>
      <c r="X3640" t="s">
        <v>108</v>
      </c>
      <c r="Y3640" t="s">
        <v>952</v>
      </c>
      <c r="AF3640" t="s">
        <v>13</v>
      </c>
      <c r="AH3640" t="str">
        <f>HYPERLINK("http://www.degruyter.com/isbn/9781399527439")</f>
        <v>http://www.degruyter.com/isbn/9781399527439</v>
      </c>
      <c r="AI3640" t="s">
        <v>15732</v>
      </c>
      <c r="AL3640" t="s">
        <v>638</v>
      </c>
      <c r="AM3640">
        <v>1</v>
      </c>
      <c r="AN3640" s="2">
        <v>9781399527415</v>
      </c>
    </row>
    <row r="3641" spans="1:40" x14ac:dyDescent="0.3">
      <c r="A3641" t="s">
        <v>17170</v>
      </c>
      <c r="B3641" t="s">
        <v>1</v>
      </c>
      <c r="C3641" t="s">
        <v>17171</v>
      </c>
      <c r="D3641" t="s">
        <v>17172</v>
      </c>
      <c r="E3641" t="s">
        <v>17173</v>
      </c>
      <c r="F3641" t="s">
        <v>5</v>
      </c>
      <c r="G3641" t="s">
        <v>6</v>
      </c>
      <c r="L3641" t="s">
        <v>7</v>
      </c>
      <c r="M3641">
        <v>2023</v>
      </c>
      <c r="N3641" s="1">
        <v>45075</v>
      </c>
      <c r="O3641" t="s">
        <v>17174</v>
      </c>
      <c r="P3641">
        <v>1</v>
      </c>
      <c r="Q3641" t="s">
        <v>13749</v>
      </c>
      <c r="S3641">
        <v>209.95</v>
      </c>
      <c r="T3641">
        <v>240</v>
      </c>
      <c r="U3641">
        <v>180</v>
      </c>
      <c r="V3641" t="s">
        <v>42</v>
      </c>
      <c r="W3641" t="s">
        <v>116</v>
      </c>
      <c r="X3641" t="s">
        <v>116</v>
      </c>
      <c r="Y3641" t="s">
        <v>117</v>
      </c>
      <c r="AF3641" t="s">
        <v>13</v>
      </c>
      <c r="AH3641" t="str">
        <f>HYPERLINK("http://www.degruyter.com/isbn/9780748683550")</f>
        <v>http://www.degruyter.com/isbn/9780748683550</v>
      </c>
      <c r="AI3641" t="s">
        <v>15732</v>
      </c>
      <c r="AJ3641" t="s">
        <v>2012</v>
      </c>
      <c r="AL3641" t="s">
        <v>638</v>
      </c>
      <c r="AM3641">
        <v>1</v>
      </c>
      <c r="AN3641" s="2">
        <v>9780748683543</v>
      </c>
    </row>
    <row r="3642" spans="1:40" x14ac:dyDescent="0.3">
      <c r="A3642" t="s">
        <v>17175</v>
      </c>
      <c r="B3642" t="s">
        <v>1</v>
      </c>
      <c r="C3642" t="s">
        <v>17176</v>
      </c>
      <c r="D3642" t="s">
        <v>17177</v>
      </c>
      <c r="E3642" t="s">
        <v>17178</v>
      </c>
      <c r="F3642" t="s">
        <v>5</v>
      </c>
      <c r="G3642" t="s">
        <v>6</v>
      </c>
      <c r="L3642" t="s">
        <v>7</v>
      </c>
      <c r="M3642">
        <v>2023</v>
      </c>
      <c r="N3642" s="1">
        <v>45173</v>
      </c>
      <c r="O3642" t="s">
        <v>17179</v>
      </c>
      <c r="P3642">
        <v>1</v>
      </c>
      <c r="Q3642" t="s">
        <v>7810</v>
      </c>
      <c r="S3642">
        <v>209.95</v>
      </c>
      <c r="T3642">
        <v>240</v>
      </c>
      <c r="U3642">
        <v>180</v>
      </c>
      <c r="V3642" t="s">
        <v>79</v>
      </c>
      <c r="W3642" t="s">
        <v>783</v>
      </c>
      <c r="X3642" t="s">
        <v>783</v>
      </c>
      <c r="Y3642" t="s">
        <v>784</v>
      </c>
      <c r="AF3642" t="s">
        <v>13</v>
      </c>
      <c r="AH3642" t="str">
        <f>HYPERLINK("http://www.degruyter.com/isbn/9781474480246")</f>
        <v>http://www.degruyter.com/isbn/9781474480246</v>
      </c>
      <c r="AI3642" t="s">
        <v>16146</v>
      </c>
      <c r="AL3642" t="s">
        <v>638</v>
      </c>
      <c r="AM3642">
        <v>1</v>
      </c>
      <c r="AN3642" s="2">
        <v>9781474480215</v>
      </c>
    </row>
    <row r="3643" spans="1:40" x14ac:dyDescent="0.3">
      <c r="A3643" t="s">
        <v>17180</v>
      </c>
      <c r="B3643" t="s">
        <v>1</v>
      </c>
      <c r="C3643" t="s">
        <v>17181</v>
      </c>
      <c r="D3643" t="s">
        <v>1146</v>
      </c>
      <c r="E3643" t="s">
        <v>17182</v>
      </c>
      <c r="F3643" t="s">
        <v>5</v>
      </c>
      <c r="G3643" t="s">
        <v>6</v>
      </c>
      <c r="H3643" t="s">
        <v>16123</v>
      </c>
      <c r="L3643" t="s">
        <v>7</v>
      </c>
      <c r="M3643">
        <v>2009</v>
      </c>
      <c r="N3643" s="1">
        <v>40042</v>
      </c>
      <c r="O3643" t="s">
        <v>17183</v>
      </c>
      <c r="P3643">
        <v>1</v>
      </c>
      <c r="S3643">
        <v>295.95</v>
      </c>
      <c r="T3643">
        <v>340</v>
      </c>
      <c r="U3643">
        <v>260</v>
      </c>
      <c r="V3643" t="s">
        <v>58</v>
      </c>
      <c r="W3643" t="s">
        <v>129</v>
      </c>
      <c r="X3643" t="s">
        <v>1290</v>
      </c>
      <c r="Y3643" t="s">
        <v>1291</v>
      </c>
      <c r="AF3643" t="s">
        <v>13</v>
      </c>
      <c r="AH3643" t="str">
        <f>HYPERLINK("http://www.degruyter.com/isbn/9781474473231")</f>
        <v>http://www.degruyter.com/isbn/9781474473231</v>
      </c>
      <c r="AI3643" t="s">
        <v>68</v>
      </c>
      <c r="AM3643">
        <v>1</v>
      </c>
      <c r="AN3643" s="2">
        <v>9780748637836</v>
      </c>
    </row>
    <row r="3644" spans="1:40" x14ac:dyDescent="0.3">
      <c r="A3644" t="s">
        <v>17184</v>
      </c>
      <c r="B3644" t="s">
        <v>1</v>
      </c>
      <c r="C3644" t="s">
        <v>17185</v>
      </c>
      <c r="D3644" t="s">
        <v>17186</v>
      </c>
      <c r="E3644" t="s">
        <v>17187</v>
      </c>
      <c r="F3644" t="s">
        <v>5</v>
      </c>
      <c r="G3644" t="s">
        <v>6</v>
      </c>
      <c r="L3644" t="s">
        <v>7</v>
      </c>
      <c r="M3644">
        <v>2023</v>
      </c>
      <c r="N3644" s="1">
        <v>45110</v>
      </c>
      <c r="O3644" t="s">
        <v>17188</v>
      </c>
      <c r="P3644">
        <v>1</v>
      </c>
      <c r="S3644">
        <v>209.95</v>
      </c>
      <c r="T3644">
        <v>240</v>
      </c>
      <c r="U3644">
        <v>180</v>
      </c>
      <c r="V3644" t="s">
        <v>20</v>
      </c>
      <c r="W3644" t="s">
        <v>556</v>
      </c>
      <c r="X3644" t="s">
        <v>902</v>
      </c>
      <c r="Y3644" t="s">
        <v>903</v>
      </c>
      <c r="AF3644" t="s">
        <v>13</v>
      </c>
      <c r="AH3644" t="str">
        <f>HYPERLINK("http://www.degruyter.com/isbn/9781399512039")</f>
        <v>http://www.degruyter.com/isbn/9781399512039</v>
      </c>
      <c r="AI3644" t="s">
        <v>15812</v>
      </c>
      <c r="AL3644" t="s">
        <v>638</v>
      </c>
      <c r="AM3644">
        <v>1</v>
      </c>
      <c r="AN3644" s="2">
        <v>9781399512015</v>
      </c>
    </row>
    <row r="3645" spans="1:40" x14ac:dyDescent="0.3">
      <c r="A3645" t="s">
        <v>17189</v>
      </c>
      <c r="B3645" t="s">
        <v>1</v>
      </c>
      <c r="C3645" t="s">
        <v>17190</v>
      </c>
      <c r="D3645" t="s">
        <v>17191</v>
      </c>
      <c r="E3645" t="s">
        <v>17192</v>
      </c>
      <c r="F3645" t="s">
        <v>5</v>
      </c>
      <c r="G3645" t="s">
        <v>6</v>
      </c>
      <c r="L3645" t="s">
        <v>7</v>
      </c>
      <c r="M3645">
        <v>2023</v>
      </c>
      <c r="N3645" s="1">
        <v>45264</v>
      </c>
      <c r="O3645" t="s">
        <v>17193</v>
      </c>
      <c r="P3645">
        <v>1</v>
      </c>
      <c r="Q3645" t="s">
        <v>6858</v>
      </c>
      <c r="S3645">
        <v>209.95</v>
      </c>
      <c r="T3645">
        <v>240</v>
      </c>
      <c r="U3645">
        <v>180</v>
      </c>
      <c r="V3645" t="s">
        <v>58</v>
      </c>
      <c r="W3645" t="s">
        <v>11431</v>
      </c>
      <c r="X3645" t="s">
        <v>13070</v>
      </c>
      <c r="Y3645" t="s">
        <v>17194</v>
      </c>
      <c r="AF3645" t="s">
        <v>13</v>
      </c>
      <c r="AH3645" t="str">
        <f>HYPERLINK("http://www.degruyter.com/isbn/9781474443944")</f>
        <v>http://www.degruyter.com/isbn/9781474443944</v>
      </c>
      <c r="AI3645" t="s">
        <v>15819</v>
      </c>
      <c r="AL3645" t="s">
        <v>638</v>
      </c>
      <c r="AM3645">
        <v>1</v>
      </c>
      <c r="AN3645" s="2">
        <v>9781474443920</v>
      </c>
    </row>
    <row r="3646" spans="1:40" x14ac:dyDescent="0.3">
      <c r="A3646" t="s">
        <v>17195</v>
      </c>
      <c r="B3646" t="s">
        <v>1</v>
      </c>
      <c r="C3646" t="s">
        <v>17196</v>
      </c>
      <c r="E3646" t="s">
        <v>17197</v>
      </c>
      <c r="F3646" t="s">
        <v>5</v>
      </c>
      <c r="G3646" t="s">
        <v>6</v>
      </c>
      <c r="L3646" t="s">
        <v>7</v>
      </c>
      <c r="M3646">
        <v>2023</v>
      </c>
      <c r="N3646" s="1">
        <v>45139</v>
      </c>
      <c r="O3646" t="s">
        <v>17198</v>
      </c>
      <c r="P3646">
        <v>1</v>
      </c>
      <c r="S3646">
        <v>217.95</v>
      </c>
      <c r="T3646">
        <v>250</v>
      </c>
      <c r="U3646">
        <v>190</v>
      </c>
      <c r="V3646" t="s">
        <v>20</v>
      </c>
      <c r="W3646" t="s">
        <v>21</v>
      </c>
      <c r="X3646" t="s">
        <v>22</v>
      </c>
      <c r="Y3646" t="s">
        <v>23</v>
      </c>
      <c r="AF3646" t="s">
        <v>13</v>
      </c>
      <c r="AH3646" t="str">
        <f>HYPERLINK("http://www.degruyter.com/isbn/9781399525602")</f>
        <v>http://www.degruyter.com/isbn/9781399525602</v>
      </c>
      <c r="AI3646" t="s">
        <v>15812</v>
      </c>
      <c r="AL3646" t="s">
        <v>638</v>
      </c>
      <c r="AM3646">
        <v>1</v>
      </c>
      <c r="AN3646" s="2">
        <v>9781399525589</v>
      </c>
    </row>
    <row r="3647" spans="1:40" x14ac:dyDescent="0.3">
      <c r="A3647" t="s">
        <v>17199</v>
      </c>
      <c r="B3647" t="s">
        <v>1</v>
      </c>
      <c r="C3647" t="s">
        <v>17200</v>
      </c>
      <c r="E3647" t="s">
        <v>17201</v>
      </c>
      <c r="F3647" t="s">
        <v>5</v>
      </c>
      <c r="G3647" t="s">
        <v>6</v>
      </c>
      <c r="L3647" t="s">
        <v>7</v>
      </c>
      <c r="M3647">
        <v>2023</v>
      </c>
      <c r="N3647" s="1">
        <v>45065</v>
      </c>
      <c r="O3647" t="s">
        <v>17202</v>
      </c>
      <c r="P3647">
        <v>1</v>
      </c>
      <c r="Q3647" t="s">
        <v>7019</v>
      </c>
      <c r="S3647">
        <v>209.95</v>
      </c>
      <c r="T3647">
        <v>240</v>
      </c>
      <c r="U3647">
        <v>180</v>
      </c>
      <c r="V3647" t="s">
        <v>42</v>
      </c>
      <c r="W3647" t="s">
        <v>43</v>
      </c>
      <c r="X3647" t="s">
        <v>178</v>
      </c>
      <c r="Y3647" t="s">
        <v>3750</v>
      </c>
      <c r="AF3647" t="s">
        <v>13</v>
      </c>
      <c r="AH3647" t="str">
        <f>HYPERLINK("http://www.degruyter.com/isbn/9781399511278")</f>
        <v>http://www.degruyter.com/isbn/9781399511278</v>
      </c>
      <c r="AI3647" t="s">
        <v>15732</v>
      </c>
      <c r="AL3647" t="s">
        <v>638</v>
      </c>
      <c r="AM3647">
        <v>1</v>
      </c>
      <c r="AN3647" s="2">
        <v>9781399511254</v>
      </c>
    </row>
    <row r="3648" spans="1:40" x14ac:dyDescent="0.3">
      <c r="A3648" t="s">
        <v>17203</v>
      </c>
      <c r="B3648" t="s">
        <v>1</v>
      </c>
      <c r="C3648" t="s">
        <v>17204</v>
      </c>
      <c r="D3648" t="s">
        <v>17205</v>
      </c>
      <c r="E3648" t="s">
        <v>17206</v>
      </c>
      <c r="F3648" t="s">
        <v>5</v>
      </c>
      <c r="G3648" t="s">
        <v>6</v>
      </c>
      <c r="H3648" t="s">
        <v>16123</v>
      </c>
      <c r="L3648" t="s">
        <v>7</v>
      </c>
      <c r="M3648">
        <v>2019</v>
      </c>
      <c r="N3648" s="1">
        <v>45168</v>
      </c>
      <c r="O3648" t="s">
        <v>13662</v>
      </c>
      <c r="P3648">
        <v>1</v>
      </c>
      <c r="S3648">
        <v>253.95</v>
      </c>
      <c r="T3648">
        <v>290</v>
      </c>
      <c r="U3648">
        <v>220</v>
      </c>
      <c r="V3648" t="s">
        <v>98</v>
      </c>
      <c r="W3648" t="s">
        <v>256</v>
      </c>
      <c r="X3648" t="s">
        <v>16478</v>
      </c>
      <c r="Y3648" t="s">
        <v>387</v>
      </c>
      <c r="AF3648" t="s">
        <v>13</v>
      </c>
      <c r="AH3648" t="str">
        <f>HYPERLINK("http://www.degruyter.com/isbn/9781474405232")</f>
        <v>http://www.degruyter.com/isbn/9781474405232</v>
      </c>
      <c r="AI3648" t="s">
        <v>280</v>
      </c>
      <c r="AM3648">
        <v>1</v>
      </c>
      <c r="AN3648" s="2">
        <v>9781474405218</v>
      </c>
    </row>
    <row r="3649" spans="1:40" x14ac:dyDescent="0.3">
      <c r="A3649" t="s">
        <v>17207</v>
      </c>
      <c r="B3649" t="s">
        <v>1</v>
      </c>
      <c r="C3649" t="s">
        <v>17208</v>
      </c>
      <c r="E3649" t="s">
        <v>17209</v>
      </c>
      <c r="F3649" t="s">
        <v>5</v>
      </c>
      <c r="G3649" t="s">
        <v>6</v>
      </c>
      <c r="H3649" t="s">
        <v>16123</v>
      </c>
      <c r="L3649" t="s">
        <v>7</v>
      </c>
      <c r="M3649">
        <v>2014</v>
      </c>
      <c r="N3649" s="1">
        <v>41801</v>
      </c>
      <c r="O3649" t="s">
        <v>17210</v>
      </c>
      <c r="P3649">
        <v>1</v>
      </c>
      <c r="S3649">
        <v>217.95</v>
      </c>
      <c r="T3649">
        <v>250</v>
      </c>
      <c r="U3649">
        <v>190</v>
      </c>
      <c r="V3649" t="s">
        <v>58</v>
      </c>
      <c r="W3649" t="s">
        <v>11431</v>
      </c>
      <c r="X3649" t="s">
        <v>13070</v>
      </c>
      <c r="Y3649" t="s">
        <v>17211</v>
      </c>
      <c r="AF3649" t="s">
        <v>13</v>
      </c>
      <c r="AH3649" t="str">
        <f>HYPERLINK("http://www.degruyter.com/isbn/9780748691142")</f>
        <v>http://www.degruyter.com/isbn/9780748691142</v>
      </c>
      <c r="AI3649" t="s">
        <v>34</v>
      </c>
      <c r="AM3649">
        <v>1</v>
      </c>
      <c r="AN3649" s="2">
        <v>9780748691135</v>
      </c>
    </row>
    <row r="3650" spans="1:40" x14ac:dyDescent="0.3">
      <c r="A3650" t="s">
        <v>17212</v>
      </c>
      <c r="B3650" t="s">
        <v>1</v>
      </c>
      <c r="C3650" t="s">
        <v>17213</v>
      </c>
      <c r="D3650" t="s">
        <v>17214</v>
      </c>
      <c r="E3650" t="s">
        <v>17215</v>
      </c>
      <c r="F3650" t="s">
        <v>5</v>
      </c>
      <c r="G3650" t="s">
        <v>6</v>
      </c>
      <c r="H3650" t="s">
        <v>16123</v>
      </c>
      <c r="L3650" t="s">
        <v>7</v>
      </c>
      <c r="M3650">
        <v>2015</v>
      </c>
      <c r="N3650" s="1">
        <v>42324</v>
      </c>
      <c r="O3650" t="s">
        <v>17216</v>
      </c>
      <c r="P3650">
        <v>1</v>
      </c>
      <c r="S3650">
        <v>209.95</v>
      </c>
      <c r="T3650">
        <v>240</v>
      </c>
      <c r="U3650">
        <v>180</v>
      </c>
      <c r="V3650" t="s">
        <v>98</v>
      </c>
      <c r="W3650" t="s">
        <v>6450</v>
      </c>
      <c r="X3650" t="s">
        <v>17107</v>
      </c>
      <c r="Y3650" t="s">
        <v>937</v>
      </c>
      <c r="AF3650" t="s">
        <v>13</v>
      </c>
      <c r="AH3650" t="str">
        <f>HYPERLINK("http://www.degruyter.com/isbn/9780748692699")</f>
        <v>http://www.degruyter.com/isbn/9780748692699</v>
      </c>
      <c r="AI3650" t="s">
        <v>34</v>
      </c>
      <c r="AM3650">
        <v>1</v>
      </c>
      <c r="AN3650" s="2">
        <v>9780748692675</v>
      </c>
    </row>
    <row r="3651" spans="1:40" x14ac:dyDescent="0.3">
      <c r="A3651" t="s">
        <v>17217</v>
      </c>
      <c r="B3651" t="s">
        <v>1</v>
      </c>
      <c r="C3651" t="s">
        <v>17218</v>
      </c>
      <c r="E3651" t="s">
        <v>17219</v>
      </c>
      <c r="F3651" t="s">
        <v>5</v>
      </c>
      <c r="G3651" t="s">
        <v>6</v>
      </c>
      <c r="H3651" t="s">
        <v>16123</v>
      </c>
      <c r="L3651" t="s">
        <v>7</v>
      </c>
      <c r="M3651">
        <v>2019</v>
      </c>
      <c r="N3651" s="1">
        <v>43684</v>
      </c>
      <c r="O3651" t="s">
        <v>17220</v>
      </c>
      <c r="P3651">
        <v>1</v>
      </c>
      <c r="Q3651" t="s">
        <v>10773</v>
      </c>
      <c r="S3651">
        <v>217.95</v>
      </c>
      <c r="T3651">
        <v>250</v>
      </c>
      <c r="U3651">
        <v>190</v>
      </c>
      <c r="V3651" t="s">
        <v>268</v>
      </c>
      <c r="W3651" t="s">
        <v>269</v>
      </c>
      <c r="X3651" t="s">
        <v>269</v>
      </c>
      <c r="Y3651" t="s">
        <v>360</v>
      </c>
      <c r="AF3651" t="s">
        <v>13</v>
      </c>
      <c r="AH3651" t="str">
        <f>HYPERLINK("http://www.degruyter.com/isbn/9781474472807")</f>
        <v>http://www.degruyter.com/isbn/9781474472807</v>
      </c>
      <c r="AI3651" t="s">
        <v>280</v>
      </c>
      <c r="AM3651">
        <v>1</v>
      </c>
      <c r="AN3651" s="2">
        <v>9781845861094</v>
      </c>
    </row>
    <row r="3652" spans="1:40" x14ac:dyDescent="0.3">
      <c r="A3652" t="s">
        <v>17221</v>
      </c>
      <c r="B3652" t="s">
        <v>1</v>
      </c>
      <c r="C3652" t="s">
        <v>17222</v>
      </c>
      <c r="D3652" t="s">
        <v>17223</v>
      </c>
      <c r="E3652" t="s">
        <v>17224</v>
      </c>
      <c r="F3652" t="s">
        <v>5</v>
      </c>
      <c r="G3652" t="s">
        <v>6</v>
      </c>
      <c r="H3652" t="s">
        <v>16123</v>
      </c>
      <c r="L3652" t="s">
        <v>7</v>
      </c>
      <c r="M3652">
        <v>2022</v>
      </c>
      <c r="N3652" s="1">
        <v>44712</v>
      </c>
      <c r="O3652" t="s">
        <v>17225</v>
      </c>
      <c r="P3652">
        <v>1</v>
      </c>
      <c r="S3652">
        <v>227.95</v>
      </c>
      <c r="T3652">
        <v>260</v>
      </c>
      <c r="U3652">
        <v>200</v>
      </c>
      <c r="V3652" t="s">
        <v>98</v>
      </c>
      <c r="W3652" t="s">
        <v>2283</v>
      </c>
      <c r="X3652" t="s">
        <v>14497</v>
      </c>
      <c r="Y3652" t="s">
        <v>17226</v>
      </c>
      <c r="AF3652" t="s">
        <v>13</v>
      </c>
      <c r="AH3652" t="str">
        <f>HYPERLINK("http://www.degruyter.com/isbn/9781474477185")</f>
        <v>http://www.degruyter.com/isbn/9781474477185</v>
      </c>
      <c r="AI3652" t="s">
        <v>15374</v>
      </c>
      <c r="AM3652">
        <v>1</v>
      </c>
      <c r="AN3652" s="2">
        <v>9781474477161</v>
      </c>
    </row>
    <row r="3653" spans="1:40" x14ac:dyDescent="0.3">
      <c r="A3653" t="s">
        <v>17227</v>
      </c>
      <c r="B3653" t="s">
        <v>1</v>
      </c>
      <c r="C3653" t="s">
        <v>17228</v>
      </c>
      <c r="D3653" t="s">
        <v>17229</v>
      </c>
      <c r="E3653" t="s">
        <v>17230</v>
      </c>
      <c r="F3653" t="s">
        <v>5</v>
      </c>
      <c r="G3653" t="s">
        <v>6</v>
      </c>
      <c r="H3653" t="s">
        <v>16123</v>
      </c>
      <c r="L3653" t="s">
        <v>7</v>
      </c>
      <c r="M3653">
        <v>2018</v>
      </c>
      <c r="N3653" s="1">
        <v>43136</v>
      </c>
      <c r="O3653" t="s">
        <v>17231</v>
      </c>
      <c r="P3653">
        <v>1</v>
      </c>
      <c r="S3653">
        <v>286.95</v>
      </c>
      <c r="T3653">
        <v>324</v>
      </c>
      <c r="U3653">
        <v>244</v>
      </c>
      <c r="V3653" t="s">
        <v>30</v>
      </c>
      <c r="W3653" t="s">
        <v>1629</v>
      </c>
      <c r="X3653" t="s">
        <v>17232</v>
      </c>
      <c r="Y3653" t="s">
        <v>17233</v>
      </c>
      <c r="AF3653" t="s">
        <v>13</v>
      </c>
      <c r="AH3653" t="str">
        <f>HYPERLINK("http://www.degruyter.com/isbn/9781474420198")</f>
        <v>http://www.degruyter.com/isbn/9781474420198</v>
      </c>
      <c r="AI3653" t="s">
        <v>46</v>
      </c>
      <c r="AM3653">
        <v>1</v>
      </c>
      <c r="AN3653" s="2">
        <v>9781474420181</v>
      </c>
    </row>
    <row r="3654" spans="1:40" x14ac:dyDescent="0.3">
      <c r="A3654" t="s">
        <v>17234</v>
      </c>
      <c r="B3654" t="s">
        <v>1</v>
      </c>
      <c r="C3654" t="s">
        <v>17235</v>
      </c>
      <c r="D3654" t="s">
        <v>17236</v>
      </c>
      <c r="E3654" t="s">
        <v>17237</v>
      </c>
      <c r="F3654" t="s">
        <v>5</v>
      </c>
      <c r="G3654" t="s">
        <v>6</v>
      </c>
      <c r="L3654" t="s">
        <v>7</v>
      </c>
      <c r="M3654">
        <v>2023</v>
      </c>
      <c r="N3654" s="1">
        <v>44998</v>
      </c>
      <c r="O3654" t="s">
        <v>17238</v>
      </c>
      <c r="P3654">
        <v>1</v>
      </c>
      <c r="Q3654" t="s">
        <v>16816</v>
      </c>
      <c r="S3654">
        <v>121.95</v>
      </c>
      <c r="T3654">
        <v>140</v>
      </c>
      <c r="U3654">
        <v>110</v>
      </c>
      <c r="V3654" t="s">
        <v>20</v>
      </c>
      <c r="W3654" t="s">
        <v>21</v>
      </c>
      <c r="X3654" t="s">
        <v>458</v>
      </c>
      <c r="Y3654" t="s">
        <v>459</v>
      </c>
      <c r="AF3654" t="s">
        <v>13</v>
      </c>
      <c r="AH3654" t="str">
        <f>HYPERLINK("http://www.degruyter.com/isbn/9781399516273")</f>
        <v>http://www.degruyter.com/isbn/9781399516273</v>
      </c>
      <c r="AI3654" t="s">
        <v>15750</v>
      </c>
      <c r="AL3654" t="s">
        <v>638</v>
      </c>
      <c r="AM3654">
        <v>1</v>
      </c>
      <c r="AN3654" s="2">
        <v>9781399516259</v>
      </c>
    </row>
    <row r="3655" spans="1:40" x14ac:dyDescent="0.3">
      <c r="A3655" t="s">
        <v>17239</v>
      </c>
      <c r="B3655" t="s">
        <v>1</v>
      </c>
      <c r="C3655" t="s">
        <v>17240</v>
      </c>
      <c r="E3655" t="s">
        <v>17241</v>
      </c>
      <c r="F3655" t="s">
        <v>5</v>
      </c>
      <c r="G3655" t="s">
        <v>6</v>
      </c>
      <c r="H3655" t="s">
        <v>16123</v>
      </c>
      <c r="L3655" t="s">
        <v>7</v>
      </c>
      <c r="M3655">
        <v>2022</v>
      </c>
      <c r="N3655" s="1">
        <v>44681</v>
      </c>
      <c r="O3655" t="s">
        <v>17242</v>
      </c>
      <c r="P3655">
        <v>1</v>
      </c>
      <c r="S3655">
        <v>243.95</v>
      </c>
      <c r="T3655">
        <v>280</v>
      </c>
      <c r="U3655">
        <v>210</v>
      </c>
      <c r="V3655" t="s">
        <v>98</v>
      </c>
      <c r="W3655" t="s">
        <v>2283</v>
      </c>
      <c r="X3655" t="s">
        <v>17243</v>
      </c>
      <c r="Y3655" t="s">
        <v>3097</v>
      </c>
      <c r="AF3655" t="s">
        <v>13</v>
      </c>
      <c r="AH3655" t="str">
        <f>HYPERLINK("http://www.degruyter.com/isbn/9780748635658")</f>
        <v>http://www.degruyter.com/isbn/9780748635658</v>
      </c>
      <c r="AI3655" t="s">
        <v>15374</v>
      </c>
      <c r="AM3655">
        <v>1</v>
      </c>
      <c r="AN3655" s="2">
        <v>9780748635634</v>
      </c>
    </row>
    <row r="3656" spans="1:40" x14ac:dyDescent="0.3">
      <c r="A3656" t="s">
        <v>17244</v>
      </c>
      <c r="B3656" t="s">
        <v>1</v>
      </c>
      <c r="C3656" t="s">
        <v>17245</v>
      </c>
      <c r="E3656" t="s">
        <v>17246</v>
      </c>
      <c r="F3656" t="s">
        <v>5</v>
      </c>
      <c r="G3656" t="s">
        <v>6</v>
      </c>
      <c r="H3656" t="s">
        <v>16123</v>
      </c>
      <c r="L3656" t="s">
        <v>7</v>
      </c>
      <c r="M3656">
        <v>2014</v>
      </c>
      <c r="N3656" s="1">
        <v>41715</v>
      </c>
      <c r="O3656" t="s">
        <v>17220</v>
      </c>
      <c r="P3656">
        <v>1</v>
      </c>
      <c r="Q3656" t="s">
        <v>10773</v>
      </c>
      <c r="S3656">
        <v>209.95</v>
      </c>
      <c r="T3656">
        <v>240</v>
      </c>
      <c r="U3656">
        <v>180</v>
      </c>
      <c r="V3656" t="s">
        <v>268</v>
      </c>
      <c r="W3656" t="s">
        <v>705</v>
      </c>
      <c r="X3656" t="s">
        <v>17247</v>
      </c>
      <c r="Y3656" t="s">
        <v>3826</v>
      </c>
      <c r="AF3656" t="s">
        <v>13</v>
      </c>
      <c r="AH3656" t="str">
        <f>HYPERLINK("http://www.degruyter.com/isbn/9780748698455")</f>
        <v>http://www.degruyter.com/isbn/9780748698455</v>
      </c>
      <c r="AI3656" t="s">
        <v>34</v>
      </c>
      <c r="AM3656">
        <v>1</v>
      </c>
      <c r="AN3656" s="2">
        <v>9781845860561</v>
      </c>
    </row>
    <row r="3657" spans="1:40" x14ac:dyDescent="0.3">
      <c r="A3657" t="s">
        <v>17248</v>
      </c>
      <c r="B3657" t="s">
        <v>1</v>
      </c>
      <c r="C3657" t="s">
        <v>17249</v>
      </c>
      <c r="E3657" t="s">
        <v>17250</v>
      </c>
      <c r="F3657" t="s">
        <v>5</v>
      </c>
      <c r="G3657" t="s">
        <v>6</v>
      </c>
      <c r="H3657" t="s">
        <v>16123</v>
      </c>
      <c r="L3657" t="s">
        <v>7</v>
      </c>
      <c r="M3657">
        <v>2020</v>
      </c>
      <c r="N3657" s="1">
        <v>43914</v>
      </c>
      <c r="O3657" t="s">
        <v>17251</v>
      </c>
      <c r="P3657">
        <v>1</v>
      </c>
      <c r="Q3657" t="s">
        <v>6923</v>
      </c>
      <c r="S3657">
        <v>253.95</v>
      </c>
      <c r="T3657">
        <v>290</v>
      </c>
      <c r="U3657">
        <v>220</v>
      </c>
      <c r="V3657" t="s">
        <v>20</v>
      </c>
      <c r="W3657" t="s">
        <v>21</v>
      </c>
      <c r="X3657" t="s">
        <v>458</v>
      </c>
      <c r="Y3657" t="s">
        <v>459</v>
      </c>
      <c r="AF3657" t="s">
        <v>13</v>
      </c>
      <c r="AH3657" t="str">
        <f>HYPERLINK("http://www.degruyter.com/isbn/9781474466813")</f>
        <v>http://www.degruyter.com/isbn/9781474466813</v>
      </c>
      <c r="AI3657" t="s">
        <v>14</v>
      </c>
      <c r="AM3657">
        <v>1</v>
      </c>
      <c r="AN3657" s="2">
        <v>9781474466790</v>
      </c>
    </row>
    <row r="3658" spans="1:40" x14ac:dyDescent="0.3">
      <c r="A3658" t="s">
        <v>17252</v>
      </c>
      <c r="B3658" t="s">
        <v>1</v>
      </c>
      <c r="C3658" t="s">
        <v>17253</v>
      </c>
      <c r="E3658" t="s">
        <v>17254</v>
      </c>
      <c r="F3658" t="s">
        <v>5</v>
      </c>
      <c r="G3658" t="s">
        <v>6</v>
      </c>
      <c r="H3658" t="s">
        <v>16123</v>
      </c>
      <c r="L3658" t="s">
        <v>7</v>
      </c>
      <c r="M3658">
        <v>2014</v>
      </c>
      <c r="N3658" s="1">
        <v>41747</v>
      </c>
      <c r="O3658" t="s">
        <v>17255</v>
      </c>
      <c r="P3658">
        <v>1</v>
      </c>
      <c r="S3658">
        <v>217.95</v>
      </c>
      <c r="T3658">
        <v>250</v>
      </c>
      <c r="U3658">
        <v>190</v>
      </c>
      <c r="V3658" t="s">
        <v>268</v>
      </c>
      <c r="W3658" t="s">
        <v>705</v>
      </c>
      <c r="X3658" t="s">
        <v>17247</v>
      </c>
      <c r="Y3658" t="s">
        <v>3826</v>
      </c>
      <c r="AF3658" t="s">
        <v>13</v>
      </c>
      <c r="AH3658" t="str">
        <f>HYPERLINK("http://www.degruyter.com/isbn/9780748699384")</f>
        <v>http://www.degruyter.com/isbn/9780748699384</v>
      </c>
      <c r="AI3658" t="s">
        <v>34</v>
      </c>
      <c r="AM3658">
        <v>1</v>
      </c>
      <c r="AN3658" s="2">
        <v>9781845861117</v>
      </c>
    </row>
    <row r="3659" spans="1:40" x14ac:dyDescent="0.3">
      <c r="A3659" t="s">
        <v>17256</v>
      </c>
      <c r="B3659" t="s">
        <v>1</v>
      </c>
      <c r="C3659" t="s">
        <v>17257</v>
      </c>
      <c r="E3659" t="s">
        <v>17258</v>
      </c>
      <c r="F3659" t="s">
        <v>5</v>
      </c>
      <c r="G3659" t="s">
        <v>6</v>
      </c>
      <c r="H3659" t="s">
        <v>16123</v>
      </c>
      <c r="L3659" t="s">
        <v>7</v>
      </c>
      <c r="M3659">
        <v>2018</v>
      </c>
      <c r="N3659" s="1">
        <v>43335</v>
      </c>
      <c r="O3659" t="s">
        <v>17259</v>
      </c>
      <c r="P3659">
        <v>1</v>
      </c>
      <c r="Q3659" t="s">
        <v>14060</v>
      </c>
      <c r="S3659">
        <v>253.95</v>
      </c>
      <c r="T3659">
        <v>290</v>
      </c>
      <c r="U3659">
        <v>220</v>
      </c>
      <c r="V3659" t="s">
        <v>98</v>
      </c>
      <c r="W3659" t="s">
        <v>256</v>
      </c>
      <c r="X3659" t="s">
        <v>16478</v>
      </c>
      <c r="Y3659" t="s">
        <v>387</v>
      </c>
      <c r="AF3659" t="s">
        <v>13</v>
      </c>
      <c r="AH3659" t="str">
        <f>HYPERLINK("http://www.degruyter.com/isbn/9781474421713")</f>
        <v>http://www.degruyter.com/isbn/9781474421713</v>
      </c>
      <c r="AI3659" t="s">
        <v>46</v>
      </c>
      <c r="AM3659">
        <v>1</v>
      </c>
      <c r="AN3659" s="2">
        <v>9781474421706</v>
      </c>
    </row>
    <row r="3660" spans="1:40" x14ac:dyDescent="0.3">
      <c r="A3660" t="s">
        <v>17260</v>
      </c>
      <c r="B3660" t="s">
        <v>1</v>
      </c>
      <c r="C3660" t="s">
        <v>17228</v>
      </c>
      <c r="D3660" t="s">
        <v>17261</v>
      </c>
      <c r="E3660" t="s">
        <v>17230</v>
      </c>
      <c r="F3660" t="s">
        <v>5</v>
      </c>
      <c r="G3660" t="s">
        <v>6</v>
      </c>
      <c r="H3660" t="s">
        <v>16123</v>
      </c>
      <c r="L3660" t="s">
        <v>7</v>
      </c>
      <c r="M3660">
        <v>2018</v>
      </c>
      <c r="N3660" s="1">
        <v>43136</v>
      </c>
      <c r="O3660" t="s">
        <v>17262</v>
      </c>
      <c r="P3660">
        <v>1</v>
      </c>
      <c r="S3660">
        <v>286.95</v>
      </c>
      <c r="T3660">
        <v>324</v>
      </c>
      <c r="U3660">
        <v>244</v>
      </c>
      <c r="V3660" t="s">
        <v>30</v>
      </c>
      <c r="W3660" t="s">
        <v>1629</v>
      </c>
      <c r="X3660" t="s">
        <v>17232</v>
      </c>
      <c r="Y3660" t="s">
        <v>17233</v>
      </c>
      <c r="AF3660" t="s">
        <v>13</v>
      </c>
      <c r="AH3660" t="str">
        <f>HYPERLINK("http://www.degruyter.com/isbn/9781474421751")</f>
        <v>http://www.degruyter.com/isbn/9781474421751</v>
      </c>
      <c r="AI3660" t="s">
        <v>46</v>
      </c>
      <c r="AM3660">
        <v>1</v>
      </c>
      <c r="AN3660" s="2">
        <v>9781474421744</v>
      </c>
    </row>
    <row r="3661" spans="1:40" x14ac:dyDescent="0.3">
      <c r="A3661" t="s">
        <v>17263</v>
      </c>
      <c r="B3661" t="s">
        <v>1</v>
      </c>
      <c r="C3661" t="s">
        <v>17264</v>
      </c>
      <c r="E3661" t="s">
        <v>17265</v>
      </c>
      <c r="F3661" t="s">
        <v>5</v>
      </c>
      <c r="G3661" t="s">
        <v>6</v>
      </c>
      <c r="H3661" t="s">
        <v>16123</v>
      </c>
      <c r="L3661" t="s">
        <v>7</v>
      </c>
      <c r="M3661">
        <v>2014</v>
      </c>
      <c r="N3661" s="1">
        <v>41715</v>
      </c>
      <c r="O3661" t="s">
        <v>17266</v>
      </c>
      <c r="P3661">
        <v>1</v>
      </c>
      <c r="Q3661" t="s">
        <v>10773</v>
      </c>
      <c r="S3661">
        <v>209.95</v>
      </c>
      <c r="T3661">
        <v>240</v>
      </c>
      <c r="U3661">
        <v>180</v>
      </c>
      <c r="V3661" t="s">
        <v>268</v>
      </c>
      <c r="W3661" t="s">
        <v>1408</v>
      </c>
      <c r="X3661" t="s">
        <v>1409</v>
      </c>
      <c r="Y3661" t="s">
        <v>374</v>
      </c>
      <c r="AF3661" t="s">
        <v>13</v>
      </c>
      <c r="AH3661" t="str">
        <f>HYPERLINK("http://www.degruyter.com/isbn/9780748698479")</f>
        <v>http://www.degruyter.com/isbn/9780748698479</v>
      </c>
      <c r="AI3661" t="s">
        <v>34</v>
      </c>
      <c r="AM3661">
        <v>1</v>
      </c>
      <c r="AN3661" s="2">
        <v>9781845860134</v>
      </c>
    </row>
    <row r="3662" spans="1:40" x14ac:dyDescent="0.3">
      <c r="A3662" t="s">
        <v>17267</v>
      </c>
      <c r="B3662" t="s">
        <v>1</v>
      </c>
      <c r="C3662" t="s">
        <v>17268</v>
      </c>
      <c r="E3662" t="s">
        <v>17269</v>
      </c>
      <c r="F3662" t="s">
        <v>5</v>
      </c>
      <c r="G3662" t="s">
        <v>6</v>
      </c>
      <c r="H3662" t="s">
        <v>16123</v>
      </c>
      <c r="L3662" t="s">
        <v>7</v>
      </c>
      <c r="M3662">
        <v>2020</v>
      </c>
      <c r="N3662" s="1">
        <v>43889</v>
      </c>
      <c r="O3662" t="s">
        <v>2527</v>
      </c>
      <c r="P3662">
        <v>1</v>
      </c>
      <c r="Q3662" t="s">
        <v>10773</v>
      </c>
      <c r="S3662">
        <v>209.95</v>
      </c>
      <c r="T3662">
        <v>240</v>
      </c>
      <c r="U3662">
        <v>180</v>
      </c>
      <c r="V3662" t="s">
        <v>268</v>
      </c>
      <c r="W3662" t="s">
        <v>269</v>
      </c>
      <c r="X3662" t="s">
        <v>269</v>
      </c>
      <c r="Y3662" t="s">
        <v>2528</v>
      </c>
      <c r="AF3662" t="s">
        <v>13</v>
      </c>
      <c r="AH3662" t="str">
        <f>HYPERLINK("http://www.degruyter.com/isbn/9781474419741")</f>
        <v>http://www.degruyter.com/isbn/9781474419741</v>
      </c>
      <c r="AI3662" t="s">
        <v>14</v>
      </c>
      <c r="AM3662">
        <v>1</v>
      </c>
      <c r="AN3662" s="2">
        <v>9781474419727</v>
      </c>
    </row>
    <row r="3663" spans="1:40" x14ac:dyDescent="0.3">
      <c r="A3663" t="s">
        <v>17270</v>
      </c>
      <c r="B3663" t="s">
        <v>1</v>
      </c>
      <c r="C3663" t="s">
        <v>17271</v>
      </c>
      <c r="E3663" t="s">
        <v>17272</v>
      </c>
      <c r="F3663" t="s">
        <v>5</v>
      </c>
      <c r="G3663" t="s">
        <v>6</v>
      </c>
      <c r="H3663" t="s">
        <v>16123</v>
      </c>
      <c r="L3663" t="s">
        <v>7</v>
      </c>
      <c r="M3663">
        <v>2020</v>
      </c>
      <c r="N3663" s="1">
        <v>43921</v>
      </c>
      <c r="O3663" t="s">
        <v>17273</v>
      </c>
      <c r="P3663">
        <v>1</v>
      </c>
      <c r="Q3663" t="s">
        <v>10773</v>
      </c>
      <c r="S3663">
        <v>209.95</v>
      </c>
      <c r="T3663">
        <v>240</v>
      </c>
      <c r="U3663">
        <v>180</v>
      </c>
      <c r="V3663" t="s">
        <v>268</v>
      </c>
      <c r="W3663" t="s">
        <v>16321</v>
      </c>
      <c r="X3663" t="s">
        <v>16322</v>
      </c>
      <c r="Y3663" t="s">
        <v>2882</v>
      </c>
      <c r="AF3663" t="s">
        <v>13</v>
      </c>
      <c r="AH3663" t="str">
        <f>HYPERLINK("http://www.degruyter.com/isbn/9780748698110")</f>
        <v>http://www.degruyter.com/isbn/9780748698110</v>
      </c>
      <c r="AI3663" t="s">
        <v>14</v>
      </c>
      <c r="AM3663">
        <v>1</v>
      </c>
      <c r="AN3663" s="2">
        <v>9781845860806</v>
      </c>
    </row>
    <row r="3664" spans="1:40" x14ac:dyDescent="0.3">
      <c r="A3664" t="s">
        <v>17274</v>
      </c>
      <c r="B3664" t="s">
        <v>1</v>
      </c>
      <c r="C3664" t="s">
        <v>17275</v>
      </c>
      <c r="E3664" t="s">
        <v>17276</v>
      </c>
      <c r="F3664" t="s">
        <v>5</v>
      </c>
      <c r="G3664" t="s">
        <v>6</v>
      </c>
      <c r="H3664" t="s">
        <v>16123</v>
      </c>
      <c r="L3664" t="s">
        <v>7</v>
      </c>
      <c r="M3664">
        <v>2016</v>
      </c>
      <c r="N3664" s="1">
        <v>42460</v>
      </c>
      <c r="O3664" t="s">
        <v>17266</v>
      </c>
      <c r="P3664">
        <v>1</v>
      </c>
      <c r="Q3664" t="s">
        <v>10773</v>
      </c>
      <c r="S3664">
        <v>209.95</v>
      </c>
      <c r="T3664">
        <v>240</v>
      </c>
      <c r="U3664">
        <v>180</v>
      </c>
      <c r="V3664" t="s">
        <v>268</v>
      </c>
      <c r="W3664" t="s">
        <v>17277</v>
      </c>
      <c r="X3664" t="s">
        <v>17278</v>
      </c>
      <c r="Y3664" t="s">
        <v>17279</v>
      </c>
      <c r="AF3664" t="s">
        <v>13</v>
      </c>
      <c r="AH3664" t="str">
        <f>HYPERLINK("http://www.degruyter.com/isbn/9780748698318")</f>
        <v>http://www.degruyter.com/isbn/9780748698318</v>
      </c>
      <c r="AI3664" t="s">
        <v>180</v>
      </c>
      <c r="AM3664">
        <v>1</v>
      </c>
      <c r="AN3664" s="2">
        <v>9781474410922</v>
      </c>
    </row>
    <row r="3665" spans="1:40" x14ac:dyDescent="0.3">
      <c r="A3665" t="s">
        <v>17280</v>
      </c>
      <c r="B3665" t="s">
        <v>1</v>
      </c>
      <c r="C3665" t="s">
        <v>17281</v>
      </c>
      <c r="E3665" t="s">
        <v>17282</v>
      </c>
      <c r="F3665" t="s">
        <v>5</v>
      </c>
      <c r="G3665" t="s">
        <v>6</v>
      </c>
      <c r="H3665" t="s">
        <v>16123</v>
      </c>
      <c r="L3665" t="s">
        <v>7</v>
      </c>
      <c r="M3665">
        <v>2021</v>
      </c>
      <c r="N3665" s="1">
        <v>44484</v>
      </c>
      <c r="O3665" t="s">
        <v>17283</v>
      </c>
      <c r="P3665">
        <v>1</v>
      </c>
      <c r="S3665">
        <v>217.95</v>
      </c>
      <c r="T3665">
        <v>250</v>
      </c>
      <c r="U3665">
        <v>190</v>
      </c>
      <c r="V3665" t="s">
        <v>79</v>
      </c>
      <c r="W3665" t="s">
        <v>762</v>
      </c>
      <c r="X3665" t="s">
        <v>762</v>
      </c>
      <c r="Y3665" t="s">
        <v>763</v>
      </c>
      <c r="AF3665" t="s">
        <v>13</v>
      </c>
      <c r="AH3665" t="str">
        <f>HYPERLINK("http://www.degruyter.com/isbn/9781474486804")</f>
        <v>http://www.degruyter.com/isbn/9781474486804</v>
      </c>
      <c r="AI3665" t="s">
        <v>4245</v>
      </c>
      <c r="AM3665">
        <v>1</v>
      </c>
      <c r="AN3665" s="2">
        <v>9781474486774</v>
      </c>
    </row>
    <row r="3666" spans="1:40" x14ac:dyDescent="0.3">
      <c r="A3666" t="s">
        <v>17284</v>
      </c>
      <c r="B3666" t="s">
        <v>1</v>
      </c>
      <c r="C3666" t="s">
        <v>17285</v>
      </c>
      <c r="E3666" t="s">
        <v>17286</v>
      </c>
      <c r="F3666" t="s">
        <v>5</v>
      </c>
      <c r="G3666" t="s">
        <v>6</v>
      </c>
      <c r="H3666" t="s">
        <v>16123</v>
      </c>
      <c r="L3666" t="s">
        <v>7</v>
      </c>
      <c r="M3666">
        <v>2014</v>
      </c>
      <c r="N3666" s="1">
        <v>41973</v>
      </c>
      <c r="O3666" t="s">
        <v>17287</v>
      </c>
      <c r="P3666">
        <v>1</v>
      </c>
      <c r="Q3666" t="s">
        <v>10773</v>
      </c>
      <c r="S3666">
        <v>209.95</v>
      </c>
      <c r="T3666">
        <v>240</v>
      </c>
      <c r="U3666">
        <v>180</v>
      </c>
      <c r="V3666" t="s">
        <v>268</v>
      </c>
      <c r="W3666" t="s">
        <v>4786</v>
      </c>
      <c r="X3666" t="s">
        <v>17285</v>
      </c>
      <c r="Y3666" t="s">
        <v>443</v>
      </c>
      <c r="AF3666" t="s">
        <v>13</v>
      </c>
      <c r="AH3666" t="str">
        <f>HYPERLINK("http://www.degruyter.com/isbn/9780748698257")</f>
        <v>http://www.degruyter.com/isbn/9780748698257</v>
      </c>
      <c r="AI3666" t="s">
        <v>34</v>
      </c>
      <c r="AM3666">
        <v>1</v>
      </c>
      <c r="AN3666" s="2">
        <v>9781845862343</v>
      </c>
    </row>
    <row r="3667" spans="1:40" x14ac:dyDescent="0.3">
      <c r="A3667" t="s">
        <v>17288</v>
      </c>
      <c r="B3667" t="s">
        <v>1</v>
      </c>
      <c r="C3667" t="s">
        <v>17289</v>
      </c>
      <c r="E3667" t="s">
        <v>17290</v>
      </c>
      <c r="F3667" t="s">
        <v>5</v>
      </c>
      <c r="G3667" t="s">
        <v>6</v>
      </c>
      <c r="H3667" t="s">
        <v>16123</v>
      </c>
      <c r="L3667" t="s">
        <v>7</v>
      </c>
      <c r="M3667">
        <v>2021</v>
      </c>
      <c r="N3667" s="1">
        <v>44428</v>
      </c>
      <c r="O3667" t="s">
        <v>17291</v>
      </c>
      <c r="P3667">
        <v>1</v>
      </c>
      <c r="Q3667" t="s">
        <v>17292</v>
      </c>
      <c r="S3667">
        <v>69.95</v>
      </c>
      <c r="T3667">
        <v>79.95</v>
      </c>
      <c r="U3667">
        <v>59.98</v>
      </c>
      <c r="V3667" t="s">
        <v>268</v>
      </c>
      <c r="W3667" t="s">
        <v>705</v>
      </c>
      <c r="X3667" t="s">
        <v>706</v>
      </c>
      <c r="Y3667" t="s">
        <v>707</v>
      </c>
      <c r="AF3667" t="s">
        <v>13</v>
      </c>
      <c r="AH3667" t="str">
        <f>HYPERLINK("http://www.degruyter.com/isbn/9781474498593")</f>
        <v>http://www.degruyter.com/isbn/9781474498593</v>
      </c>
      <c r="AI3667" t="s">
        <v>4245</v>
      </c>
      <c r="AM3667">
        <v>1</v>
      </c>
      <c r="AN3667" s="2">
        <v>9781474482882</v>
      </c>
    </row>
    <row r="3668" spans="1:40" x14ac:dyDescent="0.3">
      <c r="A3668" t="s">
        <v>17293</v>
      </c>
      <c r="B3668" t="s">
        <v>1</v>
      </c>
      <c r="C3668" t="s">
        <v>17294</v>
      </c>
      <c r="E3668" t="s">
        <v>17295</v>
      </c>
      <c r="F3668" t="s">
        <v>5</v>
      </c>
      <c r="G3668" t="s">
        <v>6</v>
      </c>
      <c r="H3668" t="s">
        <v>16123</v>
      </c>
      <c r="L3668" t="s">
        <v>7</v>
      </c>
      <c r="M3668">
        <v>2014</v>
      </c>
      <c r="N3668" s="1">
        <v>41715</v>
      </c>
      <c r="O3668" t="s">
        <v>17296</v>
      </c>
      <c r="P3668">
        <v>1</v>
      </c>
      <c r="Q3668" t="s">
        <v>10773</v>
      </c>
      <c r="S3668">
        <v>209.95</v>
      </c>
      <c r="T3668">
        <v>240</v>
      </c>
      <c r="U3668">
        <v>180</v>
      </c>
      <c r="V3668" t="s">
        <v>268</v>
      </c>
      <c r="W3668" t="s">
        <v>4786</v>
      </c>
      <c r="X3668" t="s">
        <v>4787</v>
      </c>
      <c r="Y3668" t="s">
        <v>4788</v>
      </c>
      <c r="AF3668" t="s">
        <v>13</v>
      </c>
      <c r="AH3668" t="str">
        <f>HYPERLINK("http://www.degruyter.com/isbn/9780748698400")</f>
        <v>http://www.degruyter.com/isbn/9780748698400</v>
      </c>
      <c r="AI3668" t="s">
        <v>34</v>
      </c>
      <c r="AM3668">
        <v>1</v>
      </c>
      <c r="AN3668" s="2">
        <v>9781845861148</v>
      </c>
    </row>
    <row r="3669" spans="1:40" x14ac:dyDescent="0.3">
      <c r="A3669" t="s">
        <v>17297</v>
      </c>
      <c r="B3669" t="s">
        <v>1</v>
      </c>
      <c r="C3669" t="s">
        <v>17298</v>
      </c>
      <c r="E3669" t="s">
        <v>17299</v>
      </c>
      <c r="F3669" t="s">
        <v>5</v>
      </c>
      <c r="G3669" t="s">
        <v>6</v>
      </c>
      <c r="H3669" t="s">
        <v>16123</v>
      </c>
      <c r="L3669" t="s">
        <v>7</v>
      </c>
      <c r="M3669">
        <v>2019</v>
      </c>
      <c r="N3669" s="1">
        <v>43698</v>
      </c>
      <c r="O3669" t="s">
        <v>17300</v>
      </c>
      <c r="P3669">
        <v>1</v>
      </c>
      <c r="Q3669" t="s">
        <v>14060</v>
      </c>
      <c r="S3669">
        <v>253.95</v>
      </c>
      <c r="T3669">
        <v>290</v>
      </c>
      <c r="U3669">
        <v>220</v>
      </c>
      <c r="V3669" t="s">
        <v>98</v>
      </c>
      <c r="W3669" t="s">
        <v>256</v>
      </c>
      <c r="X3669" t="s">
        <v>16478</v>
      </c>
      <c r="Y3669" t="s">
        <v>387</v>
      </c>
      <c r="AF3669" t="s">
        <v>13</v>
      </c>
      <c r="AH3669" t="str">
        <f>HYPERLINK("http://www.degruyter.com/isbn/9781474433624")</f>
        <v>http://www.degruyter.com/isbn/9781474433624</v>
      </c>
      <c r="AI3669" t="s">
        <v>280</v>
      </c>
      <c r="AM3669">
        <v>1</v>
      </c>
      <c r="AN3669" s="2">
        <v>9781474433600</v>
      </c>
    </row>
    <row r="3670" spans="1:40" x14ac:dyDescent="0.3">
      <c r="A3670" t="s">
        <v>17301</v>
      </c>
      <c r="B3670" t="s">
        <v>1</v>
      </c>
      <c r="C3670" t="s">
        <v>17302</v>
      </c>
      <c r="E3670" t="s">
        <v>17303</v>
      </c>
      <c r="F3670" t="s">
        <v>5</v>
      </c>
      <c r="G3670" t="s">
        <v>6</v>
      </c>
      <c r="H3670" t="s">
        <v>16123</v>
      </c>
      <c r="L3670" t="s">
        <v>7</v>
      </c>
      <c r="M3670">
        <v>2015</v>
      </c>
      <c r="N3670" s="1">
        <v>42205</v>
      </c>
      <c r="O3670" t="s">
        <v>17304</v>
      </c>
      <c r="P3670">
        <v>1</v>
      </c>
      <c r="Q3670" t="s">
        <v>10773</v>
      </c>
      <c r="S3670">
        <v>209.95</v>
      </c>
      <c r="T3670">
        <v>240</v>
      </c>
      <c r="U3670">
        <v>180</v>
      </c>
      <c r="V3670" t="s">
        <v>268</v>
      </c>
      <c r="W3670" t="s">
        <v>16321</v>
      </c>
      <c r="X3670" t="s">
        <v>16322</v>
      </c>
      <c r="Y3670" t="s">
        <v>9655</v>
      </c>
      <c r="AF3670" t="s">
        <v>13</v>
      </c>
      <c r="AH3670" t="str">
        <f>HYPERLINK("http://www.degruyter.com/isbn/9781474405928")</f>
        <v>http://www.degruyter.com/isbn/9781474405928</v>
      </c>
      <c r="AI3670" t="s">
        <v>34</v>
      </c>
      <c r="AM3670">
        <v>1</v>
      </c>
      <c r="AN3670" s="2">
        <v>9781474405935</v>
      </c>
    </row>
    <row r="3671" spans="1:40" x14ac:dyDescent="0.3">
      <c r="A3671" t="s">
        <v>17305</v>
      </c>
      <c r="B3671" t="s">
        <v>1</v>
      </c>
      <c r="C3671" t="s">
        <v>17306</v>
      </c>
      <c r="E3671" t="s">
        <v>17307</v>
      </c>
      <c r="F3671" t="s">
        <v>5</v>
      </c>
      <c r="G3671" t="s">
        <v>6</v>
      </c>
      <c r="H3671" t="s">
        <v>16123</v>
      </c>
      <c r="L3671" t="s">
        <v>7</v>
      </c>
      <c r="M3671">
        <v>2014</v>
      </c>
      <c r="N3671" s="1">
        <v>41715</v>
      </c>
      <c r="O3671" t="s">
        <v>1094</v>
      </c>
      <c r="P3671">
        <v>1</v>
      </c>
      <c r="Q3671" t="s">
        <v>10773</v>
      </c>
      <c r="S3671">
        <v>209.95</v>
      </c>
      <c r="T3671">
        <v>240</v>
      </c>
      <c r="U3671">
        <v>180</v>
      </c>
      <c r="V3671" t="s">
        <v>268</v>
      </c>
      <c r="W3671" t="s">
        <v>269</v>
      </c>
      <c r="X3671" t="s">
        <v>269</v>
      </c>
      <c r="Y3671" t="s">
        <v>15545</v>
      </c>
      <c r="AF3671" t="s">
        <v>13</v>
      </c>
      <c r="AH3671" t="str">
        <f>HYPERLINK("http://www.degruyter.com/isbn/9780748698509")</f>
        <v>http://www.degruyter.com/isbn/9780748698509</v>
      </c>
      <c r="AI3671" t="s">
        <v>34</v>
      </c>
      <c r="AM3671">
        <v>1</v>
      </c>
      <c r="AN3671" s="2">
        <v>9781845861292</v>
      </c>
    </row>
    <row r="3672" spans="1:40" x14ac:dyDescent="0.3">
      <c r="A3672" t="s">
        <v>17308</v>
      </c>
      <c r="B3672" t="s">
        <v>1</v>
      </c>
      <c r="C3672" t="s">
        <v>17309</v>
      </c>
      <c r="E3672" t="s">
        <v>17310</v>
      </c>
      <c r="F3672" t="s">
        <v>5</v>
      </c>
      <c r="G3672" t="s">
        <v>6</v>
      </c>
      <c r="H3672" t="s">
        <v>16123</v>
      </c>
      <c r="L3672" t="s">
        <v>7</v>
      </c>
      <c r="M3672">
        <v>2014</v>
      </c>
      <c r="N3672" s="1">
        <v>41715</v>
      </c>
      <c r="O3672" t="s">
        <v>17311</v>
      </c>
      <c r="P3672">
        <v>1</v>
      </c>
      <c r="Q3672" t="s">
        <v>10773</v>
      </c>
      <c r="S3672">
        <v>209.95</v>
      </c>
      <c r="T3672">
        <v>240</v>
      </c>
      <c r="U3672">
        <v>180</v>
      </c>
      <c r="V3672" t="s">
        <v>268</v>
      </c>
      <c r="W3672" t="s">
        <v>269</v>
      </c>
      <c r="X3672" t="s">
        <v>269</v>
      </c>
      <c r="Y3672" t="s">
        <v>15545</v>
      </c>
      <c r="AF3672" t="s">
        <v>13</v>
      </c>
      <c r="AH3672" t="str">
        <f>HYPERLINK("http://www.degruyter.com/isbn/9780748698493")</f>
        <v>http://www.degruyter.com/isbn/9780748698493</v>
      </c>
      <c r="AI3672" t="s">
        <v>34</v>
      </c>
      <c r="AM3672">
        <v>1</v>
      </c>
      <c r="AN3672" s="2">
        <v>9781845861285</v>
      </c>
    </row>
    <row r="3673" spans="1:40" x14ac:dyDescent="0.3">
      <c r="A3673" t="s">
        <v>17312</v>
      </c>
      <c r="B3673" t="s">
        <v>1</v>
      </c>
      <c r="C3673" t="s">
        <v>17313</v>
      </c>
      <c r="E3673" t="s">
        <v>17314</v>
      </c>
      <c r="F3673" t="s">
        <v>5</v>
      </c>
      <c r="G3673" t="s">
        <v>6</v>
      </c>
      <c r="H3673" t="s">
        <v>16123</v>
      </c>
      <c r="L3673" t="s">
        <v>7</v>
      </c>
      <c r="M3673">
        <v>2015</v>
      </c>
      <c r="N3673" s="1">
        <v>42172</v>
      </c>
      <c r="O3673" t="s">
        <v>3595</v>
      </c>
      <c r="P3673">
        <v>1</v>
      </c>
      <c r="Q3673" t="s">
        <v>10773</v>
      </c>
      <c r="S3673">
        <v>209.95</v>
      </c>
      <c r="T3673">
        <v>240</v>
      </c>
      <c r="U3673">
        <v>180</v>
      </c>
      <c r="V3673" t="s">
        <v>268</v>
      </c>
      <c r="W3673" t="s">
        <v>705</v>
      </c>
      <c r="X3673" t="s">
        <v>8754</v>
      </c>
      <c r="Y3673" t="s">
        <v>17315</v>
      </c>
      <c r="AF3673" t="s">
        <v>13</v>
      </c>
      <c r="AH3673" t="str">
        <f>HYPERLINK("http://www.degruyter.com/isbn/9781474401982")</f>
        <v>http://www.degruyter.com/isbn/9781474401982</v>
      </c>
      <c r="AI3673" t="s">
        <v>34</v>
      </c>
      <c r="AM3673">
        <v>1</v>
      </c>
      <c r="AN3673" s="2">
        <v>9781474403399</v>
      </c>
    </row>
    <row r="3674" spans="1:40" x14ac:dyDescent="0.3">
      <c r="A3674" t="s">
        <v>17316</v>
      </c>
      <c r="B3674" t="s">
        <v>1</v>
      </c>
      <c r="C3674" t="s">
        <v>17317</v>
      </c>
      <c r="E3674" t="s">
        <v>17318</v>
      </c>
      <c r="F3674" t="s">
        <v>5</v>
      </c>
      <c r="G3674" t="s">
        <v>6</v>
      </c>
      <c r="H3674" t="s">
        <v>16123</v>
      </c>
      <c r="L3674" t="s">
        <v>7</v>
      </c>
      <c r="M3674">
        <v>2014</v>
      </c>
      <c r="N3674" s="1">
        <v>41715</v>
      </c>
      <c r="O3674" t="s">
        <v>17319</v>
      </c>
      <c r="P3674">
        <v>1</v>
      </c>
      <c r="Q3674" t="s">
        <v>10773</v>
      </c>
      <c r="S3674">
        <v>209.95</v>
      </c>
      <c r="T3674">
        <v>240</v>
      </c>
      <c r="U3674">
        <v>180</v>
      </c>
      <c r="V3674" t="s">
        <v>268</v>
      </c>
      <c r="W3674" t="s">
        <v>1408</v>
      </c>
      <c r="X3674" t="s">
        <v>17320</v>
      </c>
      <c r="Y3674" t="s">
        <v>17321</v>
      </c>
      <c r="AF3674" t="s">
        <v>13</v>
      </c>
      <c r="AH3674" t="str">
        <f>HYPERLINK("http://www.degruyter.com/isbn/9780748698448")</f>
        <v>http://www.degruyter.com/isbn/9780748698448</v>
      </c>
      <c r="AI3674" t="s">
        <v>34</v>
      </c>
      <c r="AM3674">
        <v>1</v>
      </c>
      <c r="AN3674" s="2">
        <v>9781845860356</v>
      </c>
    </row>
    <row r="3675" spans="1:40" x14ac:dyDescent="0.3">
      <c r="A3675" t="s">
        <v>17322</v>
      </c>
      <c r="B3675" t="s">
        <v>1</v>
      </c>
      <c r="C3675" t="s">
        <v>17323</v>
      </c>
      <c r="E3675" t="s">
        <v>17324</v>
      </c>
      <c r="F3675" t="s">
        <v>5</v>
      </c>
      <c r="G3675" t="s">
        <v>6</v>
      </c>
      <c r="H3675" t="s">
        <v>16123</v>
      </c>
      <c r="L3675" t="s">
        <v>7</v>
      </c>
      <c r="M3675">
        <v>2014</v>
      </c>
      <c r="N3675" s="1">
        <v>41715</v>
      </c>
      <c r="O3675" t="s">
        <v>17325</v>
      </c>
      <c r="P3675">
        <v>1</v>
      </c>
      <c r="Q3675" t="s">
        <v>10773</v>
      </c>
      <c r="S3675">
        <v>209.95</v>
      </c>
      <c r="T3675">
        <v>240</v>
      </c>
      <c r="U3675">
        <v>180</v>
      </c>
      <c r="V3675" t="s">
        <v>268</v>
      </c>
      <c r="W3675" t="s">
        <v>269</v>
      </c>
      <c r="X3675" t="s">
        <v>269</v>
      </c>
      <c r="Y3675" t="s">
        <v>17326</v>
      </c>
      <c r="AF3675" t="s">
        <v>13</v>
      </c>
      <c r="AH3675" t="str">
        <f>HYPERLINK("http://www.degruyter.com/isbn/9780748698516")</f>
        <v>http://www.degruyter.com/isbn/9780748698516</v>
      </c>
      <c r="AI3675" t="s">
        <v>34</v>
      </c>
      <c r="AM3675">
        <v>1</v>
      </c>
      <c r="AN3675" s="2">
        <v>9781845861100</v>
      </c>
    </row>
    <row r="3676" spans="1:40" x14ac:dyDescent="0.3">
      <c r="A3676" t="s">
        <v>17327</v>
      </c>
      <c r="B3676" t="s">
        <v>1</v>
      </c>
      <c r="C3676" t="s">
        <v>17328</v>
      </c>
      <c r="D3676" t="s">
        <v>17329</v>
      </c>
      <c r="E3676" t="s">
        <v>17330</v>
      </c>
      <c r="F3676" t="s">
        <v>5</v>
      </c>
      <c r="G3676" t="s">
        <v>6</v>
      </c>
      <c r="H3676" t="s">
        <v>16123</v>
      </c>
      <c r="L3676" t="s">
        <v>7</v>
      </c>
      <c r="M3676">
        <v>2022</v>
      </c>
      <c r="N3676" s="1">
        <v>44537</v>
      </c>
      <c r="O3676" t="s">
        <v>17331</v>
      </c>
      <c r="P3676">
        <v>1</v>
      </c>
      <c r="S3676">
        <v>147.94999999999999</v>
      </c>
      <c r="T3676">
        <v>170</v>
      </c>
      <c r="U3676">
        <v>130</v>
      </c>
      <c r="V3676" t="s">
        <v>98</v>
      </c>
      <c r="W3676" t="s">
        <v>17332</v>
      </c>
      <c r="X3676" t="s">
        <v>17333</v>
      </c>
      <c r="Y3676" t="s">
        <v>368</v>
      </c>
      <c r="AF3676" t="s">
        <v>13</v>
      </c>
      <c r="AH3676" t="str">
        <f>HYPERLINK("http://www.degruyter.com/isbn/9781474462211")</f>
        <v>http://www.degruyter.com/isbn/9781474462211</v>
      </c>
      <c r="AI3676" t="s">
        <v>15374</v>
      </c>
      <c r="AM3676">
        <v>1</v>
      </c>
      <c r="AN3676" s="2">
        <v>9781474462198</v>
      </c>
    </row>
    <row r="3677" spans="1:40" x14ac:dyDescent="0.3">
      <c r="A3677" t="s">
        <v>17334</v>
      </c>
      <c r="B3677" t="s">
        <v>1</v>
      </c>
      <c r="C3677" t="s">
        <v>17335</v>
      </c>
      <c r="E3677" t="s">
        <v>17336</v>
      </c>
      <c r="F3677" t="s">
        <v>5</v>
      </c>
      <c r="G3677" t="s">
        <v>6</v>
      </c>
      <c r="H3677" t="s">
        <v>16123</v>
      </c>
      <c r="L3677" t="s">
        <v>7</v>
      </c>
      <c r="M3677">
        <v>2021</v>
      </c>
      <c r="N3677" s="1">
        <v>44408</v>
      </c>
      <c r="O3677" t="s">
        <v>17337</v>
      </c>
      <c r="P3677">
        <v>1</v>
      </c>
      <c r="S3677">
        <v>739.95</v>
      </c>
      <c r="T3677">
        <v>850</v>
      </c>
      <c r="U3677">
        <v>650</v>
      </c>
      <c r="V3677" t="s">
        <v>268</v>
      </c>
      <c r="W3677" t="s">
        <v>269</v>
      </c>
      <c r="X3677" t="s">
        <v>269</v>
      </c>
      <c r="Y3677" t="s">
        <v>17338</v>
      </c>
      <c r="AF3677" t="s">
        <v>13</v>
      </c>
      <c r="AH3677" t="str">
        <f>HYPERLINK("http://www.degruyter.com/isbn/9781474490368")</f>
        <v>http://www.degruyter.com/isbn/9781474490368</v>
      </c>
      <c r="AI3677" t="s">
        <v>4245</v>
      </c>
      <c r="AM3677">
        <v>1</v>
      </c>
      <c r="AN3677" s="2">
        <v>9781474483643</v>
      </c>
    </row>
    <row r="3678" spans="1:40" x14ac:dyDescent="0.3">
      <c r="A3678" t="s">
        <v>17339</v>
      </c>
      <c r="B3678" t="s">
        <v>1</v>
      </c>
      <c r="C3678" t="s">
        <v>17340</v>
      </c>
      <c r="D3678" t="s">
        <v>3351</v>
      </c>
      <c r="E3678" t="s">
        <v>17341</v>
      </c>
      <c r="F3678" t="s">
        <v>5</v>
      </c>
      <c r="G3678" t="s">
        <v>6</v>
      </c>
      <c r="H3678" t="s">
        <v>16123</v>
      </c>
      <c r="L3678" t="s">
        <v>7</v>
      </c>
      <c r="M3678">
        <v>2022</v>
      </c>
      <c r="N3678" s="1">
        <v>44566</v>
      </c>
      <c r="O3678" t="s">
        <v>17342</v>
      </c>
      <c r="P3678">
        <v>1</v>
      </c>
      <c r="S3678">
        <v>227.95</v>
      </c>
      <c r="T3678">
        <v>260</v>
      </c>
      <c r="U3678">
        <v>200</v>
      </c>
      <c r="V3678" t="s">
        <v>98</v>
      </c>
      <c r="W3678" t="s">
        <v>17332</v>
      </c>
      <c r="X3678" t="s">
        <v>17333</v>
      </c>
      <c r="Y3678" t="s">
        <v>368</v>
      </c>
      <c r="AF3678" t="s">
        <v>13</v>
      </c>
      <c r="AH3678" t="str">
        <f>HYPERLINK("http://www.degruyter.com/isbn/9781474488716")</f>
        <v>http://www.degruyter.com/isbn/9781474488716</v>
      </c>
      <c r="AI3678" t="s">
        <v>15374</v>
      </c>
      <c r="AM3678">
        <v>1</v>
      </c>
      <c r="AN3678" s="2">
        <v>9781474488686</v>
      </c>
    </row>
    <row r="3679" spans="1:40" x14ac:dyDescent="0.3">
      <c r="A3679" t="s">
        <v>17343</v>
      </c>
      <c r="B3679" t="s">
        <v>1</v>
      </c>
      <c r="C3679" t="s">
        <v>17344</v>
      </c>
      <c r="D3679" t="s">
        <v>4112</v>
      </c>
      <c r="E3679" t="s">
        <v>17345</v>
      </c>
      <c r="F3679" t="s">
        <v>5</v>
      </c>
      <c r="G3679" t="s">
        <v>6</v>
      </c>
      <c r="H3679" t="s">
        <v>16123</v>
      </c>
      <c r="L3679" t="s">
        <v>7</v>
      </c>
      <c r="M3679">
        <v>2019</v>
      </c>
      <c r="N3679" s="1">
        <v>43675</v>
      </c>
      <c r="O3679" t="s">
        <v>2874</v>
      </c>
      <c r="P3679">
        <v>1</v>
      </c>
      <c r="S3679">
        <v>217.95</v>
      </c>
      <c r="T3679">
        <v>250</v>
      </c>
      <c r="U3679">
        <v>190</v>
      </c>
      <c r="V3679" t="s">
        <v>58</v>
      </c>
      <c r="W3679" t="s">
        <v>59</v>
      </c>
      <c r="X3679" t="s">
        <v>3771</v>
      </c>
      <c r="Y3679" t="s">
        <v>6529</v>
      </c>
      <c r="AF3679" t="s">
        <v>13</v>
      </c>
      <c r="AH3679" t="str">
        <f>HYPERLINK("http://www.degruyter.com/isbn/9781474468176")</f>
        <v>http://www.degruyter.com/isbn/9781474468176</v>
      </c>
      <c r="AI3679" t="s">
        <v>280</v>
      </c>
      <c r="AM3679">
        <v>1</v>
      </c>
      <c r="AN3679" s="2">
        <v>9780748613564</v>
      </c>
    </row>
    <row r="3680" spans="1:40" x14ac:dyDescent="0.3">
      <c r="A3680" t="s">
        <v>17346</v>
      </c>
      <c r="B3680" t="s">
        <v>1</v>
      </c>
      <c r="C3680" t="s">
        <v>17347</v>
      </c>
      <c r="E3680" t="s">
        <v>17348</v>
      </c>
      <c r="F3680" t="s">
        <v>5</v>
      </c>
      <c r="G3680" t="s">
        <v>6</v>
      </c>
      <c r="H3680" t="s">
        <v>16123</v>
      </c>
      <c r="L3680" t="s">
        <v>7</v>
      </c>
      <c r="M3680">
        <v>2021</v>
      </c>
      <c r="N3680" s="1">
        <v>44255</v>
      </c>
      <c r="O3680" t="s">
        <v>17349</v>
      </c>
      <c r="P3680">
        <v>1</v>
      </c>
      <c r="Q3680" t="s">
        <v>10773</v>
      </c>
      <c r="S3680">
        <v>209.95</v>
      </c>
      <c r="T3680">
        <v>240</v>
      </c>
      <c r="U3680">
        <v>180</v>
      </c>
      <c r="V3680" t="s">
        <v>268</v>
      </c>
      <c r="W3680" t="s">
        <v>705</v>
      </c>
      <c r="X3680" t="s">
        <v>706</v>
      </c>
      <c r="Y3680" t="s">
        <v>707</v>
      </c>
      <c r="AF3680" t="s">
        <v>13</v>
      </c>
      <c r="AH3680" t="str">
        <f>HYPERLINK("http://www.degruyter.com/isbn/9781474466486")</f>
        <v>http://www.degruyter.com/isbn/9781474466486</v>
      </c>
      <c r="AI3680" t="s">
        <v>4245</v>
      </c>
      <c r="AM3680">
        <v>1</v>
      </c>
      <c r="AN3680" s="2">
        <v>9781474466462</v>
      </c>
    </row>
    <row r="3681" spans="1:40" x14ac:dyDescent="0.3">
      <c r="A3681" t="s">
        <v>17350</v>
      </c>
      <c r="B3681" t="s">
        <v>1</v>
      </c>
      <c r="C3681" t="s">
        <v>17351</v>
      </c>
      <c r="D3681" t="s">
        <v>17352</v>
      </c>
      <c r="E3681" t="s">
        <v>17353</v>
      </c>
      <c r="F3681" t="s">
        <v>5</v>
      </c>
      <c r="G3681" t="s">
        <v>6</v>
      </c>
      <c r="H3681" t="s">
        <v>16123</v>
      </c>
      <c r="L3681" t="s">
        <v>7</v>
      </c>
      <c r="M3681">
        <v>2021</v>
      </c>
      <c r="N3681" s="1">
        <v>44371</v>
      </c>
      <c r="O3681" t="s">
        <v>17354</v>
      </c>
      <c r="P3681">
        <v>1</v>
      </c>
      <c r="S3681">
        <v>380.95</v>
      </c>
      <c r="T3681">
        <v>430</v>
      </c>
      <c r="U3681">
        <v>330</v>
      </c>
      <c r="V3681" t="s">
        <v>268</v>
      </c>
      <c r="W3681" t="s">
        <v>269</v>
      </c>
      <c r="X3681" t="s">
        <v>269</v>
      </c>
      <c r="Y3681" t="s">
        <v>17355</v>
      </c>
      <c r="AF3681" t="s">
        <v>13</v>
      </c>
      <c r="AH3681" t="str">
        <f>HYPERLINK("http://www.degruyter.com/isbn/9781474462457")</f>
        <v>http://www.degruyter.com/isbn/9781474462457</v>
      </c>
      <c r="AI3681" t="s">
        <v>4245</v>
      </c>
      <c r="AM3681">
        <v>1</v>
      </c>
      <c r="AN3681" s="2">
        <v>9781474462433</v>
      </c>
    </row>
    <row r="3682" spans="1:40" x14ac:dyDescent="0.3">
      <c r="A3682" t="s">
        <v>17356</v>
      </c>
      <c r="B3682" t="s">
        <v>1</v>
      </c>
      <c r="C3682" t="s">
        <v>17357</v>
      </c>
      <c r="E3682" t="s">
        <v>17358</v>
      </c>
      <c r="F3682" t="s">
        <v>5</v>
      </c>
      <c r="G3682" t="s">
        <v>6</v>
      </c>
      <c r="H3682" t="s">
        <v>16123</v>
      </c>
      <c r="L3682" t="s">
        <v>7</v>
      </c>
      <c r="M3682">
        <v>2009</v>
      </c>
      <c r="N3682" s="1">
        <v>40112</v>
      </c>
      <c r="O3682" t="s">
        <v>17220</v>
      </c>
      <c r="P3682">
        <v>1</v>
      </c>
      <c r="Q3682" t="s">
        <v>10773</v>
      </c>
      <c r="S3682">
        <v>49.9</v>
      </c>
      <c r="T3682">
        <v>55.9</v>
      </c>
      <c r="U3682">
        <v>41.98</v>
      </c>
      <c r="V3682" t="s">
        <v>268</v>
      </c>
      <c r="W3682" t="s">
        <v>17359</v>
      </c>
      <c r="X3682" t="s">
        <v>17360</v>
      </c>
      <c r="Y3682" t="s">
        <v>17361</v>
      </c>
      <c r="AF3682" t="s">
        <v>13</v>
      </c>
      <c r="AH3682" t="str">
        <f>HYPERLINK("http://www.degruyter.com/isbn/9780748698394")</f>
        <v>http://www.degruyter.com/isbn/9780748698394</v>
      </c>
      <c r="AI3682" t="s">
        <v>68</v>
      </c>
      <c r="AM3682">
        <v>1</v>
      </c>
      <c r="AN3682" s="2">
        <v>9781845860622</v>
      </c>
    </row>
    <row r="3683" spans="1:40" x14ac:dyDescent="0.3">
      <c r="A3683" t="s">
        <v>17362</v>
      </c>
      <c r="B3683" t="s">
        <v>1</v>
      </c>
      <c r="C3683" t="s">
        <v>17363</v>
      </c>
      <c r="D3683" t="s">
        <v>16314</v>
      </c>
      <c r="E3683" t="s">
        <v>17364</v>
      </c>
      <c r="F3683" t="s">
        <v>5</v>
      </c>
      <c r="G3683" t="s">
        <v>6</v>
      </c>
      <c r="H3683" t="s">
        <v>16123</v>
      </c>
      <c r="L3683" t="s">
        <v>7</v>
      </c>
      <c r="M3683">
        <v>2021</v>
      </c>
      <c r="N3683" s="1">
        <v>44244</v>
      </c>
      <c r="O3683" t="s">
        <v>17365</v>
      </c>
      <c r="P3683">
        <v>1</v>
      </c>
      <c r="S3683">
        <v>253.95</v>
      </c>
      <c r="T3683">
        <v>290</v>
      </c>
      <c r="U3683">
        <v>220</v>
      </c>
      <c r="V3683" t="s">
        <v>268</v>
      </c>
      <c r="W3683" t="s">
        <v>269</v>
      </c>
      <c r="X3683" t="s">
        <v>269</v>
      </c>
      <c r="Y3683" t="s">
        <v>14952</v>
      </c>
      <c r="AF3683" t="s">
        <v>13</v>
      </c>
      <c r="AH3683" t="str">
        <f>HYPERLINK("http://www.degruyter.com/isbn/9781474482776")</f>
        <v>http://www.degruyter.com/isbn/9781474482776</v>
      </c>
      <c r="AI3683" t="s">
        <v>4245</v>
      </c>
      <c r="AM3683">
        <v>1</v>
      </c>
      <c r="AN3683" s="2">
        <v>9781474478939</v>
      </c>
    </row>
    <row r="3684" spans="1:40" x14ac:dyDescent="0.3">
      <c r="A3684" t="s">
        <v>17366</v>
      </c>
      <c r="B3684" t="s">
        <v>1</v>
      </c>
      <c r="C3684" t="s">
        <v>17367</v>
      </c>
      <c r="D3684" t="s">
        <v>17368</v>
      </c>
      <c r="E3684" t="s">
        <v>17369</v>
      </c>
      <c r="F3684" t="s">
        <v>5</v>
      </c>
      <c r="G3684" t="s">
        <v>6</v>
      </c>
      <c r="H3684" t="s">
        <v>16123</v>
      </c>
      <c r="L3684" t="s">
        <v>7</v>
      </c>
      <c r="M3684">
        <v>2023</v>
      </c>
      <c r="N3684" s="1">
        <v>45016</v>
      </c>
      <c r="O3684" t="s">
        <v>17370</v>
      </c>
      <c r="P3684">
        <v>1</v>
      </c>
      <c r="S3684">
        <v>227.95</v>
      </c>
      <c r="T3684">
        <v>260</v>
      </c>
      <c r="U3684">
        <v>200</v>
      </c>
      <c r="V3684" t="s">
        <v>98</v>
      </c>
      <c r="W3684" t="s">
        <v>17332</v>
      </c>
      <c r="X3684" t="s">
        <v>17333</v>
      </c>
      <c r="Y3684" t="s">
        <v>368</v>
      </c>
      <c r="AF3684" t="s">
        <v>13</v>
      </c>
      <c r="AH3684" t="str">
        <f>HYPERLINK("http://www.degruyter.com/isbn/9781474486637")</f>
        <v>http://www.degruyter.com/isbn/9781474486637</v>
      </c>
      <c r="AI3684" t="s">
        <v>15806</v>
      </c>
      <c r="AL3684" t="s">
        <v>16129</v>
      </c>
      <c r="AM3684">
        <v>1</v>
      </c>
      <c r="AN3684" s="2">
        <v>9781474486613</v>
      </c>
    </row>
    <row r="3685" spans="1:40" x14ac:dyDescent="0.3">
      <c r="A3685" t="s">
        <v>17371</v>
      </c>
      <c r="B3685" t="s">
        <v>1</v>
      </c>
      <c r="C3685" t="s">
        <v>17372</v>
      </c>
      <c r="E3685" t="s">
        <v>17373</v>
      </c>
      <c r="F3685" t="s">
        <v>5</v>
      </c>
      <c r="G3685" t="s">
        <v>6</v>
      </c>
      <c r="H3685" t="s">
        <v>16123</v>
      </c>
      <c r="L3685" t="s">
        <v>7</v>
      </c>
      <c r="M3685">
        <v>2009</v>
      </c>
      <c r="N3685" s="1">
        <v>39962</v>
      </c>
      <c r="O3685" t="s">
        <v>17374</v>
      </c>
      <c r="P3685">
        <v>1</v>
      </c>
      <c r="S3685">
        <v>253.95</v>
      </c>
      <c r="T3685">
        <v>290</v>
      </c>
      <c r="U3685">
        <v>220</v>
      </c>
      <c r="V3685" t="s">
        <v>98</v>
      </c>
      <c r="W3685" t="s">
        <v>256</v>
      </c>
      <c r="X3685" t="s">
        <v>16478</v>
      </c>
      <c r="Y3685" t="s">
        <v>387</v>
      </c>
      <c r="AF3685" t="s">
        <v>13</v>
      </c>
      <c r="AH3685" t="str">
        <f>HYPERLINK("http://www.degruyter.com/isbn/9780748632497")</f>
        <v>http://www.degruyter.com/isbn/9780748632497</v>
      </c>
      <c r="AI3685" t="s">
        <v>68</v>
      </c>
      <c r="AM3685">
        <v>1</v>
      </c>
      <c r="AN3685" s="2">
        <v>9780748638437</v>
      </c>
    </row>
    <row r="3686" spans="1:40" x14ac:dyDescent="0.3">
      <c r="A3686" t="s">
        <v>17375</v>
      </c>
      <c r="B3686" t="s">
        <v>1</v>
      </c>
      <c r="C3686" t="s">
        <v>17376</v>
      </c>
      <c r="E3686" t="s">
        <v>17377</v>
      </c>
      <c r="F3686" t="s">
        <v>5</v>
      </c>
      <c r="G3686" t="s">
        <v>6</v>
      </c>
      <c r="H3686" t="s">
        <v>16123</v>
      </c>
      <c r="L3686" t="s">
        <v>7</v>
      </c>
      <c r="M3686">
        <v>2018</v>
      </c>
      <c r="N3686" s="1">
        <v>43272</v>
      </c>
      <c r="O3686" t="s">
        <v>17378</v>
      </c>
      <c r="P3686">
        <v>1</v>
      </c>
      <c r="S3686">
        <v>217.95</v>
      </c>
      <c r="T3686">
        <v>250</v>
      </c>
      <c r="U3686">
        <v>190</v>
      </c>
      <c r="V3686" t="s">
        <v>58</v>
      </c>
      <c r="W3686" t="s">
        <v>1135</v>
      </c>
      <c r="X3686" t="s">
        <v>16062</v>
      </c>
      <c r="Y3686" t="s">
        <v>1137</v>
      </c>
      <c r="AF3686" t="s">
        <v>13</v>
      </c>
      <c r="AH3686" t="str">
        <f>HYPERLINK("http://www.degruyter.com/isbn/9781474437851")</f>
        <v>http://www.degruyter.com/isbn/9781474437851</v>
      </c>
      <c r="AI3686" t="s">
        <v>46</v>
      </c>
      <c r="AM3686">
        <v>1</v>
      </c>
      <c r="AN3686" s="2">
        <v>9781474437844</v>
      </c>
    </row>
    <row r="3687" spans="1:40" x14ac:dyDescent="0.3">
      <c r="A3687" t="s">
        <v>17379</v>
      </c>
      <c r="B3687" t="s">
        <v>1</v>
      </c>
      <c r="C3687" t="s">
        <v>17380</v>
      </c>
      <c r="E3687" t="s">
        <v>17381</v>
      </c>
      <c r="F3687" t="s">
        <v>5</v>
      </c>
      <c r="G3687" t="s">
        <v>6</v>
      </c>
      <c r="H3687" t="s">
        <v>16123</v>
      </c>
      <c r="L3687" t="s">
        <v>7</v>
      </c>
      <c r="M3687">
        <v>2019</v>
      </c>
      <c r="N3687" s="1">
        <v>43682</v>
      </c>
      <c r="O3687" t="s">
        <v>17304</v>
      </c>
      <c r="P3687">
        <v>1</v>
      </c>
      <c r="Q3687" t="s">
        <v>10773</v>
      </c>
      <c r="S3687">
        <v>217.95</v>
      </c>
      <c r="T3687">
        <v>250</v>
      </c>
      <c r="U3687">
        <v>190</v>
      </c>
      <c r="V3687" t="s">
        <v>268</v>
      </c>
      <c r="W3687" t="s">
        <v>269</v>
      </c>
      <c r="X3687" t="s">
        <v>269</v>
      </c>
      <c r="Y3687" t="s">
        <v>1045</v>
      </c>
      <c r="AF3687" t="s">
        <v>13</v>
      </c>
      <c r="AH3687" t="str">
        <f>HYPERLINK("http://www.degruyter.com/isbn/9781474470285")</f>
        <v>http://www.degruyter.com/isbn/9781474470285</v>
      </c>
      <c r="AI3687" t="s">
        <v>280</v>
      </c>
      <c r="AM3687">
        <v>1</v>
      </c>
      <c r="AN3687" s="2">
        <v>9781845861261</v>
      </c>
    </row>
    <row r="3688" spans="1:40" x14ac:dyDescent="0.3">
      <c r="A3688" t="s">
        <v>17382</v>
      </c>
      <c r="B3688" t="s">
        <v>1</v>
      </c>
      <c r="C3688" t="s">
        <v>17383</v>
      </c>
      <c r="D3688" t="s">
        <v>4112</v>
      </c>
      <c r="E3688" t="s">
        <v>17384</v>
      </c>
      <c r="F3688" t="s">
        <v>5</v>
      </c>
      <c r="G3688" t="s">
        <v>6</v>
      </c>
      <c r="H3688" t="s">
        <v>16123</v>
      </c>
      <c r="L3688" t="s">
        <v>7</v>
      </c>
      <c r="M3688">
        <v>2017</v>
      </c>
      <c r="N3688" s="1">
        <v>42921</v>
      </c>
      <c r="O3688" t="s">
        <v>17385</v>
      </c>
      <c r="P3688">
        <v>1</v>
      </c>
      <c r="S3688">
        <v>253.95</v>
      </c>
      <c r="T3688">
        <v>290</v>
      </c>
      <c r="U3688">
        <v>220</v>
      </c>
      <c r="V3688" t="s">
        <v>98</v>
      </c>
      <c r="W3688" t="s">
        <v>256</v>
      </c>
      <c r="X3688" t="s">
        <v>16478</v>
      </c>
      <c r="Y3688" t="s">
        <v>387</v>
      </c>
      <c r="AF3688" t="s">
        <v>13</v>
      </c>
      <c r="AH3688" t="str">
        <f>HYPERLINK("http://www.degruyter.com/isbn/9781474412926")</f>
        <v>http://www.degruyter.com/isbn/9781474412926</v>
      </c>
      <c r="AI3688" t="s">
        <v>222</v>
      </c>
      <c r="AM3688">
        <v>1</v>
      </c>
      <c r="AN3688" s="2">
        <v>9781474412902</v>
      </c>
    </row>
    <row r="3689" spans="1:40" x14ac:dyDescent="0.3">
      <c r="A3689" t="s">
        <v>17386</v>
      </c>
      <c r="B3689" t="s">
        <v>1</v>
      </c>
      <c r="C3689" t="s">
        <v>17387</v>
      </c>
      <c r="E3689" t="s">
        <v>17388</v>
      </c>
      <c r="F3689" t="s">
        <v>5</v>
      </c>
      <c r="G3689" t="s">
        <v>6</v>
      </c>
      <c r="H3689" t="s">
        <v>16123</v>
      </c>
      <c r="L3689" t="s">
        <v>7</v>
      </c>
      <c r="M3689">
        <v>2021</v>
      </c>
      <c r="N3689" s="1">
        <v>44255</v>
      </c>
      <c r="O3689" t="s">
        <v>3021</v>
      </c>
      <c r="P3689">
        <v>1</v>
      </c>
      <c r="S3689">
        <v>253.95</v>
      </c>
      <c r="T3689">
        <v>290</v>
      </c>
      <c r="U3689">
        <v>220</v>
      </c>
      <c r="V3689" t="s">
        <v>98</v>
      </c>
      <c r="W3689" t="s">
        <v>256</v>
      </c>
      <c r="X3689" t="s">
        <v>16478</v>
      </c>
      <c r="Y3689" t="s">
        <v>387</v>
      </c>
      <c r="AF3689" t="s">
        <v>13</v>
      </c>
      <c r="AH3689" t="str">
        <f>HYPERLINK("http://www.degruyter.com/isbn/9781474474108")</f>
        <v>http://www.degruyter.com/isbn/9781474474108</v>
      </c>
      <c r="AI3689" t="s">
        <v>4245</v>
      </c>
      <c r="AM3689">
        <v>1</v>
      </c>
      <c r="AN3689" s="2">
        <v>9781474474085</v>
      </c>
    </row>
    <row r="3690" spans="1:40" x14ac:dyDescent="0.3">
      <c r="A3690" t="s">
        <v>17389</v>
      </c>
      <c r="B3690" t="s">
        <v>1</v>
      </c>
      <c r="C3690" t="s">
        <v>6253</v>
      </c>
      <c r="D3690" t="s">
        <v>1146</v>
      </c>
      <c r="E3690" t="s">
        <v>6255</v>
      </c>
      <c r="F3690" t="s">
        <v>5</v>
      </c>
      <c r="G3690" t="s">
        <v>6</v>
      </c>
      <c r="H3690" t="s">
        <v>16123</v>
      </c>
      <c r="L3690" t="s">
        <v>7</v>
      </c>
      <c r="M3690">
        <v>2016</v>
      </c>
      <c r="N3690" s="1">
        <v>42428</v>
      </c>
      <c r="O3690" t="s">
        <v>17390</v>
      </c>
      <c r="P3690">
        <v>1</v>
      </c>
      <c r="S3690">
        <v>279.95</v>
      </c>
      <c r="T3690">
        <v>320</v>
      </c>
      <c r="U3690">
        <v>240</v>
      </c>
      <c r="V3690" t="s">
        <v>58</v>
      </c>
      <c r="W3690" t="s">
        <v>59</v>
      </c>
      <c r="X3690" t="s">
        <v>60</v>
      </c>
      <c r="Y3690" t="s">
        <v>145</v>
      </c>
      <c r="AF3690" t="s">
        <v>13</v>
      </c>
      <c r="AH3690" t="str">
        <f>HYPERLINK("http://www.degruyter.com/isbn/9780748696130")</f>
        <v>http://www.degruyter.com/isbn/9780748696130</v>
      </c>
      <c r="AI3690" t="s">
        <v>180</v>
      </c>
      <c r="AM3690">
        <v>1</v>
      </c>
      <c r="AN3690" s="2">
        <v>9780748696147</v>
      </c>
    </row>
    <row r="3691" spans="1:40" x14ac:dyDescent="0.3">
      <c r="A3691" t="s">
        <v>17391</v>
      </c>
      <c r="B3691" t="s">
        <v>1</v>
      </c>
      <c r="C3691" t="s">
        <v>17392</v>
      </c>
      <c r="E3691" t="s">
        <v>17393</v>
      </c>
      <c r="F3691" t="s">
        <v>5</v>
      </c>
      <c r="G3691" t="s">
        <v>6</v>
      </c>
      <c r="H3691" t="s">
        <v>16123</v>
      </c>
      <c r="L3691" t="s">
        <v>7</v>
      </c>
      <c r="M3691">
        <v>2014</v>
      </c>
      <c r="N3691" s="1">
        <v>41716</v>
      </c>
      <c r="O3691" t="s">
        <v>17394</v>
      </c>
      <c r="P3691">
        <v>1</v>
      </c>
      <c r="S3691">
        <v>217.95</v>
      </c>
      <c r="T3691">
        <v>250</v>
      </c>
      <c r="U3691">
        <v>190</v>
      </c>
      <c r="V3691" t="s">
        <v>268</v>
      </c>
      <c r="W3691" t="s">
        <v>269</v>
      </c>
      <c r="X3691" t="s">
        <v>269</v>
      </c>
      <c r="Y3691" t="s">
        <v>17395</v>
      </c>
      <c r="AF3691" t="s">
        <v>13</v>
      </c>
      <c r="AH3691" t="str">
        <f>HYPERLINK("http://www.degruyter.com/isbn/9780748698547")</f>
        <v>http://www.degruyter.com/isbn/9780748698547</v>
      </c>
      <c r="AI3691" t="s">
        <v>34</v>
      </c>
      <c r="AM3691">
        <v>1</v>
      </c>
      <c r="AN3691" s="2">
        <v>9781845861131</v>
      </c>
    </row>
    <row r="3692" spans="1:40" x14ac:dyDescent="0.3">
      <c r="A3692" t="s">
        <v>17396</v>
      </c>
      <c r="B3692" t="s">
        <v>1</v>
      </c>
      <c r="C3692" t="s">
        <v>17397</v>
      </c>
      <c r="D3692" t="s">
        <v>27</v>
      </c>
      <c r="E3692" t="s">
        <v>17398</v>
      </c>
      <c r="F3692" t="s">
        <v>5</v>
      </c>
      <c r="G3692" t="s">
        <v>6</v>
      </c>
      <c r="H3692" t="s">
        <v>16123</v>
      </c>
      <c r="L3692" t="s">
        <v>7</v>
      </c>
      <c r="M3692">
        <v>2020</v>
      </c>
      <c r="N3692" s="1">
        <v>44148</v>
      </c>
      <c r="O3692" t="s">
        <v>14737</v>
      </c>
      <c r="P3692">
        <v>1</v>
      </c>
      <c r="S3692">
        <v>253.95</v>
      </c>
      <c r="T3692">
        <v>290</v>
      </c>
      <c r="U3692">
        <v>220</v>
      </c>
      <c r="V3692" t="s">
        <v>98</v>
      </c>
      <c r="W3692" t="s">
        <v>256</v>
      </c>
      <c r="X3692" t="s">
        <v>16478</v>
      </c>
      <c r="Y3692" t="s">
        <v>387</v>
      </c>
      <c r="AF3692" t="s">
        <v>13</v>
      </c>
      <c r="AH3692" t="str">
        <f>HYPERLINK("http://www.degruyter.com/isbn/9781474463133")</f>
        <v>http://www.degruyter.com/isbn/9781474463133</v>
      </c>
      <c r="AI3692" t="s">
        <v>14</v>
      </c>
      <c r="AM3692">
        <v>1</v>
      </c>
      <c r="AN3692" s="2">
        <v>9781474463119</v>
      </c>
    </row>
    <row r="3693" spans="1:40" x14ac:dyDescent="0.3">
      <c r="A3693" t="s">
        <v>17399</v>
      </c>
      <c r="B3693" t="s">
        <v>1</v>
      </c>
      <c r="C3693" t="s">
        <v>17400</v>
      </c>
      <c r="E3693" t="s">
        <v>17401</v>
      </c>
      <c r="F3693" t="s">
        <v>5</v>
      </c>
      <c r="G3693" t="s">
        <v>6</v>
      </c>
      <c r="H3693" t="s">
        <v>16123</v>
      </c>
      <c r="L3693" t="s">
        <v>7</v>
      </c>
      <c r="M3693">
        <v>2022</v>
      </c>
      <c r="N3693" s="1">
        <v>44566</v>
      </c>
      <c r="O3693" t="s">
        <v>17402</v>
      </c>
      <c r="P3693">
        <v>1</v>
      </c>
      <c r="S3693">
        <v>295.95</v>
      </c>
      <c r="T3693">
        <v>340</v>
      </c>
      <c r="U3693">
        <v>260</v>
      </c>
      <c r="V3693" t="s">
        <v>268</v>
      </c>
      <c r="W3693" t="s">
        <v>963</v>
      </c>
      <c r="X3693" t="s">
        <v>964</v>
      </c>
      <c r="Y3693" t="s">
        <v>965</v>
      </c>
      <c r="AF3693" t="s">
        <v>13</v>
      </c>
      <c r="AH3693" t="str">
        <f>HYPERLINK("http://www.degruyter.com/isbn/9781474494670")</f>
        <v>http://www.degruyter.com/isbn/9781474494670</v>
      </c>
      <c r="AI3693" t="s">
        <v>15374</v>
      </c>
      <c r="AM3693">
        <v>1</v>
      </c>
      <c r="AN3693" s="2">
        <v>9781474494656</v>
      </c>
    </row>
    <row r="3694" spans="1:40" x14ac:dyDescent="0.3">
      <c r="A3694" t="s">
        <v>17403</v>
      </c>
      <c r="B3694" t="s">
        <v>1</v>
      </c>
      <c r="C3694" t="s">
        <v>17404</v>
      </c>
      <c r="E3694" t="s">
        <v>17405</v>
      </c>
      <c r="F3694" t="s">
        <v>5</v>
      </c>
      <c r="G3694" t="s">
        <v>6</v>
      </c>
      <c r="H3694" t="s">
        <v>16123</v>
      </c>
      <c r="L3694" t="s">
        <v>7</v>
      </c>
      <c r="M3694">
        <v>2022</v>
      </c>
      <c r="N3694" s="1">
        <v>44681</v>
      </c>
      <c r="O3694" t="s">
        <v>17406</v>
      </c>
      <c r="P3694">
        <v>1</v>
      </c>
      <c r="S3694">
        <v>295.95</v>
      </c>
      <c r="T3694">
        <v>340</v>
      </c>
      <c r="U3694">
        <v>260</v>
      </c>
      <c r="V3694" t="s">
        <v>268</v>
      </c>
      <c r="W3694" t="s">
        <v>16321</v>
      </c>
      <c r="X3694" t="s">
        <v>16322</v>
      </c>
      <c r="Y3694" t="s">
        <v>2882</v>
      </c>
      <c r="AF3694" t="s">
        <v>13</v>
      </c>
      <c r="AH3694" t="str">
        <f>HYPERLINK("http://www.degruyter.com/isbn/9781474494205")</f>
        <v>http://www.degruyter.com/isbn/9781474494205</v>
      </c>
      <c r="AI3694" t="s">
        <v>15374</v>
      </c>
      <c r="AM3694">
        <v>1</v>
      </c>
      <c r="AN3694" s="2">
        <v>9781474494182</v>
      </c>
    </row>
    <row r="3695" spans="1:40" x14ac:dyDescent="0.3">
      <c r="A3695" t="s">
        <v>17407</v>
      </c>
      <c r="B3695" t="s">
        <v>1</v>
      </c>
      <c r="C3695" t="s">
        <v>17408</v>
      </c>
      <c r="E3695" t="s">
        <v>17409</v>
      </c>
      <c r="F3695" t="s">
        <v>5</v>
      </c>
      <c r="G3695" t="s">
        <v>6</v>
      </c>
      <c r="H3695" t="s">
        <v>16123</v>
      </c>
      <c r="L3695" t="s">
        <v>7</v>
      </c>
      <c r="M3695">
        <v>2019</v>
      </c>
      <c r="N3695" s="1">
        <v>43683</v>
      </c>
      <c r="O3695" t="s">
        <v>17410</v>
      </c>
      <c r="P3695">
        <v>1</v>
      </c>
      <c r="Q3695" t="s">
        <v>7950</v>
      </c>
      <c r="S3695">
        <v>217.95</v>
      </c>
      <c r="T3695">
        <v>250</v>
      </c>
      <c r="U3695">
        <v>190</v>
      </c>
      <c r="V3695" t="s">
        <v>98</v>
      </c>
      <c r="W3695" t="s">
        <v>256</v>
      </c>
      <c r="X3695" t="s">
        <v>16478</v>
      </c>
      <c r="Y3695" t="s">
        <v>387</v>
      </c>
      <c r="AF3695" t="s">
        <v>13</v>
      </c>
      <c r="AH3695" t="str">
        <f>HYPERLINK("http://www.degruyter.com/isbn/9781474471459")</f>
        <v>http://www.degruyter.com/isbn/9781474471459</v>
      </c>
      <c r="AI3695" t="s">
        <v>280</v>
      </c>
      <c r="AM3695">
        <v>1</v>
      </c>
      <c r="AN3695" s="2">
        <v>9780748608157</v>
      </c>
    </row>
    <row r="3696" spans="1:40" x14ac:dyDescent="0.3">
      <c r="A3696" t="s">
        <v>17411</v>
      </c>
      <c r="B3696" t="s">
        <v>1</v>
      </c>
      <c r="C3696" t="s">
        <v>17412</v>
      </c>
      <c r="E3696" t="s">
        <v>17413</v>
      </c>
      <c r="F3696" t="s">
        <v>5</v>
      </c>
      <c r="G3696" t="s">
        <v>6</v>
      </c>
      <c r="H3696" t="s">
        <v>16123</v>
      </c>
      <c r="L3696" t="s">
        <v>7</v>
      </c>
      <c r="M3696">
        <v>2012</v>
      </c>
      <c r="N3696" s="1">
        <v>41242</v>
      </c>
      <c r="O3696" t="s">
        <v>17097</v>
      </c>
      <c r="P3696">
        <v>1</v>
      </c>
      <c r="S3696">
        <v>217.95</v>
      </c>
      <c r="T3696">
        <v>250</v>
      </c>
      <c r="U3696">
        <v>190</v>
      </c>
      <c r="V3696" t="s">
        <v>268</v>
      </c>
      <c r="W3696" t="s">
        <v>269</v>
      </c>
      <c r="X3696" t="s">
        <v>269</v>
      </c>
      <c r="Y3696" t="s">
        <v>411</v>
      </c>
      <c r="AF3696" t="s">
        <v>189</v>
      </c>
      <c r="AI3696" t="s">
        <v>68</v>
      </c>
      <c r="AM3696">
        <v>1</v>
      </c>
      <c r="AN3696" s="2">
        <v>9781845860684</v>
      </c>
    </row>
    <row r="3697" spans="1:40" x14ac:dyDescent="0.3">
      <c r="A3697" t="s">
        <v>17414</v>
      </c>
      <c r="B3697" t="s">
        <v>1</v>
      </c>
      <c r="C3697" t="s">
        <v>17415</v>
      </c>
      <c r="E3697" t="s">
        <v>17416</v>
      </c>
      <c r="F3697" t="s">
        <v>5</v>
      </c>
      <c r="G3697" t="s">
        <v>6</v>
      </c>
      <c r="H3697" t="s">
        <v>16123</v>
      </c>
      <c r="L3697" t="s">
        <v>7</v>
      </c>
      <c r="M3697">
        <v>2014</v>
      </c>
      <c r="N3697" s="1">
        <v>41711</v>
      </c>
      <c r="O3697" t="s">
        <v>17417</v>
      </c>
      <c r="P3697">
        <v>1</v>
      </c>
      <c r="Q3697" t="s">
        <v>10773</v>
      </c>
      <c r="S3697">
        <v>209.95</v>
      </c>
      <c r="T3697">
        <v>240</v>
      </c>
      <c r="U3697">
        <v>180</v>
      </c>
      <c r="V3697" t="s">
        <v>268</v>
      </c>
      <c r="W3697" t="s">
        <v>16321</v>
      </c>
      <c r="X3697" t="s">
        <v>16322</v>
      </c>
      <c r="Y3697" t="s">
        <v>2882</v>
      </c>
      <c r="AF3697" t="s">
        <v>13</v>
      </c>
      <c r="AH3697" t="str">
        <f>HYPERLINK("http://www.degruyter.com/isbn/9780748698158")</f>
        <v>http://www.degruyter.com/isbn/9780748698158</v>
      </c>
      <c r="AI3697" t="s">
        <v>34</v>
      </c>
      <c r="AM3697">
        <v>1</v>
      </c>
      <c r="AN3697" s="2">
        <v>9781845860585</v>
      </c>
    </row>
    <row r="3698" spans="1:40" x14ac:dyDescent="0.3">
      <c r="A3698" t="s">
        <v>17418</v>
      </c>
      <c r="B3698" t="s">
        <v>1</v>
      </c>
      <c r="C3698" t="s">
        <v>17419</v>
      </c>
      <c r="E3698" t="s">
        <v>17420</v>
      </c>
      <c r="F3698" t="s">
        <v>5</v>
      </c>
      <c r="G3698" t="s">
        <v>6</v>
      </c>
      <c r="H3698" t="s">
        <v>16123</v>
      </c>
      <c r="L3698" t="s">
        <v>7</v>
      </c>
      <c r="M3698">
        <v>2014</v>
      </c>
      <c r="N3698" s="1">
        <v>41704</v>
      </c>
      <c r="O3698" t="s">
        <v>17421</v>
      </c>
      <c r="P3698">
        <v>1</v>
      </c>
      <c r="Q3698" t="s">
        <v>10773</v>
      </c>
      <c r="S3698">
        <v>209.95</v>
      </c>
      <c r="T3698">
        <v>240</v>
      </c>
      <c r="U3698">
        <v>180</v>
      </c>
      <c r="V3698" t="s">
        <v>268</v>
      </c>
      <c r="W3698" t="s">
        <v>16321</v>
      </c>
      <c r="X3698" t="s">
        <v>16322</v>
      </c>
      <c r="Y3698" t="s">
        <v>2882</v>
      </c>
      <c r="AF3698" t="s">
        <v>13</v>
      </c>
      <c r="AH3698" t="str">
        <f>HYPERLINK("http://www.degruyter.com/isbn/9780748697847")</f>
        <v>http://www.degruyter.com/isbn/9780748697847</v>
      </c>
      <c r="AI3698" t="s">
        <v>34</v>
      </c>
      <c r="AM3698">
        <v>1</v>
      </c>
      <c r="AN3698" s="2">
        <v>9781845861520</v>
      </c>
    </row>
    <row r="3699" spans="1:40" x14ac:dyDescent="0.3">
      <c r="A3699" t="s">
        <v>17422</v>
      </c>
      <c r="B3699" t="s">
        <v>1</v>
      </c>
      <c r="C3699" t="s">
        <v>17423</v>
      </c>
      <c r="E3699" t="s">
        <v>17424</v>
      </c>
      <c r="F3699" t="s">
        <v>5</v>
      </c>
      <c r="G3699" t="s">
        <v>6</v>
      </c>
      <c r="H3699" t="s">
        <v>16123</v>
      </c>
      <c r="L3699" t="s">
        <v>7</v>
      </c>
      <c r="M3699">
        <v>2013</v>
      </c>
      <c r="N3699" s="1">
        <v>41623</v>
      </c>
      <c r="O3699" t="s">
        <v>17425</v>
      </c>
      <c r="P3699">
        <v>1</v>
      </c>
      <c r="Q3699" t="s">
        <v>10773</v>
      </c>
      <c r="S3699">
        <v>209.95</v>
      </c>
      <c r="T3699">
        <v>240</v>
      </c>
      <c r="U3699">
        <v>180</v>
      </c>
      <c r="V3699" t="s">
        <v>268</v>
      </c>
      <c r="W3699" t="s">
        <v>16321</v>
      </c>
      <c r="X3699" t="s">
        <v>16322</v>
      </c>
      <c r="Y3699" t="s">
        <v>2882</v>
      </c>
      <c r="AF3699" t="s">
        <v>13</v>
      </c>
      <c r="AH3699" t="str">
        <f>HYPERLINK("http://www.degruyter.com/isbn/9780748698103")</f>
        <v>http://www.degruyter.com/isbn/9780748698103</v>
      </c>
      <c r="AI3699" t="s">
        <v>68</v>
      </c>
      <c r="AM3699">
        <v>1</v>
      </c>
      <c r="AN3699" s="2">
        <v>9781845861506</v>
      </c>
    </row>
    <row r="3700" spans="1:40" x14ac:dyDescent="0.3">
      <c r="A3700" t="s">
        <v>17426</v>
      </c>
      <c r="B3700" t="s">
        <v>1</v>
      </c>
      <c r="C3700" t="s">
        <v>17427</v>
      </c>
      <c r="E3700" t="s">
        <v>17428</v>
      </c>
      <c r="F3700" t="s">
        <v>5</v>
      </c>
      <c r="G3700" t="s">
        <v>6</v>
      </c>
      <c r="H3700" t="s">
        <v>16123</v>
      </c>
      <c r="L3700" t="s">
        <v>7</v>
      </c>
      <c r="M3700">
        <v>2017</v>
      </c>
      <c r="N3700" s="1">
        <v>42802</v>
      </c>
      <c r="O3700" t="s">
        <v>17429</v>
      </c>
      <c r="P3700">
        <v>1</v>
      </c>
      <c r="S3700">
        <v>217.95</v>
      </c>
      <c r="T3700">
        <v>250</v>
      </c>
      <c r="U3700">
        <v>190</v>
      </c>
      <c r="V3700" t="s">
        <v>268</v>
      </c>
      <c r="W3700" t="s">
        <v>269</v>
      </c>
      <c r="X3700" t="s">
        <v>269</v>
      </c>
      <c r="Y3700" t="s">
        <v>14952</v>
      </c>
      <c r="AF3700" t="s">
        <v>13</v>
      </c>
      <c r="AH3700" t="str">
        <f>HYPERLINK("http://www.degruyter.com/isbn/9781474420266")</f>
        <v>http://www.degruyter.com/isbn/9781474420266</v>
      </c>
      <c r="AI3700" t="s">
        <v>222</v>
      </c>
      <c r="AM3700">
        <v>1</v>
      </c>
      <c r="AN3700" s="2">
        <v>9781474420259</v>
      </c>
    </row>
    <row r="3701" spans="1:40" x14ac:dyDescent="0.3">
      <c r="A3701" t="s">
        <v>17430</v>
      </c>
      <c r="B3701" t="s">
        <v>1</v>
      </c>
      <c r="C3701" t="s">
        <v>17431</v>
      </c>
      <c r="E3701" t="s">
        <v>17432</v>
      </c>
      <c r="F3701" t="s">
        <v>5</v>
      </c>
      <c r="G3701" t="s">
        <v>6</v>
      </c>
      <c r="H3701" t="s">
        <v>16123</v>
      </c>
      <c r="L3701" t="s">
        <v>7</v>
      </c>
      <c r="M3701">
        <v>2014</v>
      </c>
      <c r="N3701" s="1">
        <v>41715</v>
      </c>
      <c r="O3701" t="s">
        <v>17433</v>
      </c>
      <c r="P3701">
        <v>1</v>
      </c>
      <c r="Q3701" t="s">
        <v>10773</v>
      </c>
      <c r="S3701">
        <v>209.95</v>
      </c>
      <c r="T3701">
        <v>240</v>
      </c>
      <c r="U3701">
        <v>180</v>
      </c>
      <c r="V3701" t="s">
        <v>268</v>
      </c>
      <c r="W3701" t="s">
        <v>269</v>
      </c>
      <c r="X3701" t="s">
        <v>269</v>
      </c>
      <c r="Y3701" t="s">
        <v>411</v>
      </c>
      <c r="AF3701" t="s">
        <v>13</v>
      </c>
      <c r="AH3701" t="str">
        <f>HYPERLINK("http://www.degruyter.com/isbn/9780748698387")</f>
        <v>http://www.degruyter.com/isbn/9780748698387</v>
      </c>
      <c r="AI3701" t="s">
        <v>34</v>
      </c>
      <c r="AM3701">
        <v>1</v>
      </c>
      <c r="AN3701" s="2">
        <v>9781845860578</v>
      </c>
    </row>
    <row r="3702" spans="1:40" x14ac:dyDescent="0.3">
      <c r="A3702" t="s">
        <v>17434</v>
      </c>
      <c r="B3702" t="s">
        <v>1</v>
      </c>
      <c r="C3702" t="s">
        <v>17435</v>
      </c>
      <c r="D3702" t="s">
        <v>17436</v>
      </c>
      <c r="E3702" t="s">
        <v>17437</v>
      </c>
      <c r="F3702" t="s">
        <v>5</v>
      </c>
      <c r="G3702" t="s">
        <v>6</v>
      </c>
      <c r="L3702" t="s">
        <v>7</v>
      </c>
      <c r="M3702">
        <v>2023</v>
      </c>
      <c r="N3702" s="1">
        <v>44934</v>
      </c>
      <c r="O3702" t="s">
        <v>17438</v>
      </c>
      <c r="P3702">
        <v>1</v>
      </c>
      <c r="S3702">
        <v>287.95</v>
      </c>
      <c r="T3702">
        <v>330</v>
      </c>
      <c r="U3702">
        <v>250</v>
      </c>
      <c r="V3702" t="s">
        <v>98</v>
      </c>
      <c r="W3702" t="s">
        <v>17332</v>
      </c>
      <c r="X3702" t="s">
        <v>17333</v>
      </c>
      <c r="Y3702" t="s">
        <v>368</v>
      </c>
      <c r="AF3702" t="s">
        <v>13</v>
      </c>
      <c r="AH3702" t="str">
        <f>HYPERLINK("http://www.degruyter.com/isbn/9781399514347")</f>
        <v>http://www.degruyter.com/isbn/9781399514347</v>
      </c>
      <c r="AI3702" t="s">
        <v>15923</v>
      </c>
      <c r="AL3702" t="s">
        <v>638</v>
      </c>
      <c r="AM3702">
        <v>1</v>
      </c>
      <c r="AN3702" s="2">
        <v>9781399514323</v>
      </c>
    </row>
    <row r="3703" spans="1:40" x14ac:dyDescent="0.3">
      <c r="A3703" t="s">
        <v>17439</v>
      </c>
      <c r="B3703" t="s">
        <v>1</v>
      </c>
      <c r="C3703" t="s">
        <v>17440</v>
      </c>
      <c r="E3703" t="s">
        <v>17441</v>
      </c>
      <c r="F3703" t="s">
        <v>5</v>
      </c>
      <c r="G3703" t="s">
        <v>6</v>
      </c>
      <c r="K3703" t="s">
        <v>17442</v>
      </c>
      <c r="L3703" t="s">
        <v>7</v>
      </c>
      <c r="M3703">
        <v>2024</v>
      </c>
      <c r="N3703" s="1">
        <v>45328</v>
      </c>
      <c r="O3703" t="s">
        <v>17443</v>
      </c>
      <c r="P3703">
        <v>1</v>
      </c>
      <c r="V3703" t="s">
        <v>79</v>
      </c>
      <c r="W3703" t="s">
        <v>227</v>
      </c>
      <c r="X3703" t="s">
        <v>3926</v>
      </c>
      <c r="Y3703" t="s">
        <v>699</v>
      </c>
      <c r="AF3703" t="s">
        <v>13</v>
      </c>
      <c r="AH3703" t="str">
        <f>HYPERLINK("http://www.degruyter.com/isbn/9781399505208")</f>
        <v>http://www.degruyter.com/isbn/9781399505208</v>
      </c>
      <c r="AI3703" t="s">
        <v>17444</v>
      </c>
      <c r="AL3703" t="s">
        <v>638</v>
      </c>
      <c r="AM3703">
        <v>1</v>
      </c>
      <c r="AN3703" s="2"/>
    </row>
    <row r="3704" spans="1:40" x14ac:dyDescent="0.3">
      <c r="A3704" t="s">
        <v>17445</v>
      </c>
      <c r="B3704" t="s">
        <v>1</v>
      </c>
      <c r="C3704" t="s">
        <v>17446</v>
      </c>
      <c r="D3704" t="s">
        <v>17447</v>
      </c>
      <c r="E3704" t="s">
        <v>17448</v>
      </c>
      <c r="F3704" t="s">
        <v>5</v>
      </c>
      <c r="G3704" t="s">
        <v>6</v>
      </c>
      <c r="L3704" t="s">
        <v>7</v>
      </c>
      <c r="M3704">
        <v>2024</v>
      </c>
      <c r="N3704" s="1">
        <v>45328</v>
      </c>
      <c r="O3704" t="s">
        <v>17449</v>
      </c>
      <c r="P3704">
        <v>1</v>
      </c>
      <c r="S3704">
        <v>287.95</v>
      </c>
      <c r="T3704">
        <v>330</v>
      </c>
      <c r="U3704">
        <v>250</v>
      </c>
      <c r="V3704" t="s">
        <v>42</v>
      </c>
      <c r="W3704" t="s">
        <v>740</v>
      </c>
      <c r="X3704" t="s">
        <v>6670</v>
      </c>
      <c r="Y3704" t="s">
        <v>6671</v>
      </c>
      <c r="AF3704" t="s">
        <v>13</v>
      </c>
      <c r="AH3704" t="str">
        <f>HYPERLINK("http://www.degruyter.com/isbn/9781399523479")</f>
        <v>http://www.degruyter.com/isbn/9781399523479</v>
      </c>
      <c r="AI3704" t="s">
        <v>17450</v>
      </c>
      <c r="AL3704" t="s">
        <v>638</v>
      </c>
      <c r="AM3704">
        <v>1</v>
      </c>
      <c r="AN3704" s="2">
        <v>9781399523462</v>
      </c>
    </row>
    <row r="3705" spans="1:40" x14ac:dyDescent="0.3">
      <c r="A3705" t="s">
        <v>17451</v>
      </c>
      <c r="B3705" t="s">
        <v>1</v>
      </c>
      <c r="C3705" t="s">
        <v>17452</v>
      </c>
      <c r="D3705" t="s">
        <v>17453</v>
      </c>
      <c r="E3705" t="s">
        <v>17454</v>
      </c>
      <c r="F3705" t="s">
        <v>5</v>
      </c>
      <c r="G3705" t="s">
        <v>6</v>
      </c>
      <c r="L3705" t="s">
        <v>7</v>
      </c>
      <c r="M3705">
        <v>2023</v>
      </c>
      <c r="N3705" s="1">
        <v>44934</v>
      </c>
      <c r="O3705" t="s">
        <v>17455</v>
      </c>
      <c r="P3705">
        <v>1</v>
      </c>
      <c r="S3705">
        <v>209.95</v>
      </c>
      <c r="T3705">
        <v>240</v>
      </c>
      <c r="U3705">
        <v>180</v>
      </c>
      <c r="V3705" t="s">
        <v>9</v>
      </c>
      <c r="W3705" t="s">
        <v>10</v>
      </c>
      <c r="X3705" t="s">
        <v>11</v>
      </c>
      <c r="Y3705" t="s">
        <v>52</v>
      </c>
      <c r="AF3705" t="s">
        <v>13</v>
      </c>
      <c r="AH3705" t="str">
        <f>HYPERLINK("http://www.degruyter.com/isbn/9781399520393")</f>
        <v>http://www.degruyter.com/isbn/9781399520393</v>
      </c>
      <c r="AI3705" t="s">
        <v>15325</v>
      </c>
      <c r="AL3705" t="s">
        <v>638</v>
      </c>
      <c r="AM3705">
        <v>1</v>
      </c>
      <c r="AN3705" s="2">
        <v>9781399520379</v>
      </c>
    </row>
    <row r="3706" spans="1:40" x14ac:dyDescent="0.3">
      <c r="A3706" t="s">
        <v>17456</v>
      </c>
      <c r="B3706" t="s">
        <v>1</v>
      </c>
      <c r="C3706" t="s">
        <v>17457</v>
      </c>
      <c r="D3706" t="s">
        <v>17458</v>
      </c>
      <c r="E3706" t="s">
        <v>17459</v>
      </c>
      <c r="F3706" t="s">
        <v>5</v>
      </c>
      <c r="G3706" t="s">
        <v>6</v>
      </c>
      <c r="L3706" t="s">
        <v>7</v>
      </c>
      <c r="M3706">
        <v>2024</v>
      </c>
      <c r="N3706" s="1">
        <v>45328</v>
      </c>
      <c r="O3706" t="s">
        <v>17460</v>
      </c>
      <c r="P3706">
        <v>1</v>
      </c>
      <c r="Q3706" t="s">
        <v>7728</v>
      </c>
      <c r="S3706">
        <v>191.95</v>
      </c>
      <c r="T3706">
        <v>220</v>
      </c>
      <c r="U3706">
        <v>170</v>
      </c>
      <c r="V3706" t="s">
        <v>42</v>
      </c>
      <c r="W3706" t="s">
        <v>1379</v>
      </c>
      <c r="X3706" t="s">
        <v>17461</v>
      </c>
      <c r="Y3706" t="s">
        <v>1381</v>
      </c>
      <c r="AF3706" t="s">
        <v>13</v>
      </c>
      <c r="AH3706" t="str">
        <f>HYPERLINK("http://www.degruyter.com/isbn/9781399522632")</f>
        <v>http://www.degruyter.com/isbn/9781399522632</v>
      </c>
      <c r="AI3706" t="s">
        <v>17450</v>
      </c>
      <c r="AL3706" t="s">
        <v>638</v>
      </c>
      <c r="AM3706">
        <v>1</v>
      </c>
      <c r="AN3706" s="2">
        <v>9781399522618</v>
      </c>
    </row>
    <row r="3707" spans="1:40" x14ac:dyDescent="0.3">
      <c r="A3707" t="s">
        <v>17462</v>
      </c>
      <c r="B3707" t="s">
        <v>1</v>
      </c>
      <c r="C3707" t="s">
        <v>17463</v>
      </c>
      <c r="D3707" t="s">
        <v>17464</v>
      </c>
      <c r="E3707" t="s">
        <v>17465</v>
      </c>
      <c r="F3707" t="s">
        <v>5</v>
      </c>
      <c r="G3707" t="s">
        <v>6</v>
      </c>
      <c r="L3707" t="s">
        <v>7</v>
      </c>
      <c r="M3707">
        <v>2024</v>
      </c>
      <c r="N3707" s="1">
        <v>45356</v>
      </c>
      <c r="O3707" t="s">
        <v>17466</v>
      </c>
      <c r="P3707">
        <v>1</v>
      </c>
      <c r="S3707">
        <v>209.95</v>
      </c>
      <c r="T3707">
        <v>240</v>
      </c>
      <c r="U3707">
        <v>180</v>
      </c>
      <c r="V3707" t="s">
        <v>42</v>
      </c>
      <c r="W3707" t="s">
        <v>116</v>
      </c>
      <c r="X3707" t="s">
        <v>116</v>
      </c>
      <c r="Y3707" t="s">
        <v>11160</v>
      </c>
      <c r="AF3707" t="s">
        <v>13</v>
      </c>
      <c r="AH3707" t="str">
        <f>HYPERLINK("http://www.degruyter.com/isbn/9781399527002")</f>
        <v>http://www.degruyter.com/isbn/9781399527002</v>
      </c>
      <c r="AI3707" t="s">
        <v>17450</v>
      </c>
      <c r="AL3707" t="s">
        <v>638</v>
      </c>
      <c r="AM3707">
        <v>1</v>
      </c>
      <c r="AN3707" s="2">
        <v>9781399526982</v>
      </c>
    </row>
    <row r="3708" spans="1:40" x14ac:dyDescent="0.3">
      <c r="A3708" t="s">
        <v>17467</v>
      </c>
      <c r="B3708" t="s">
        <v>1</v>
      </c>
      <c r="C3708" t="s">
        <v>17468</v>
      </c>
      <c r="D3708" t="s">
        <v>1482</v>
      </c>
      <c r="E3708" t="s">
        <v>17469</v>
      </c>
      <c r="F3708" t="s">
        <v>5</v>
      </c>
      <c r="G3708" t="s">
        <v>6</v>
      </c>
      <c r="L3708" t="s">
        <v>7</v>
      </c>
      <c r="M3708">
        <v>2023</v>
      </c>
      <c r="N3708" s="1">
        <v>44934</v>
      </c>
      <c r="O3708" t="s">
        <v>17470</v>
      </c>
      <c r="P3708">
        <v>1</v>
      </c>
      <c r="S3708">
        <v>295.95</v>
      </c>
      <c r="T3708">
        <v>340</v>
      </c>
      <c r="U3708">
        <v>260</v>
      </c>
      <c r="V3708" t="s">
        <v>20</v>
      </c>
      <c r="W3708" t="s">
        <v>21</v>
      </c>
      <c r="X3708" t="s">
        <v>22</v>
      </c>
      <c r="Y3708" t="s">
        <v>23</v>
      </c>
      <c r="AF3708" t="s">
        <v>13</v>
      </c>
      <c r="AH3708" t="str">
        <f>HYPERLINK("http://www.degruyter.com/isbn/9781399512886")</f>
        <v>http://www.degruyter.com/isbn/9781399512886</v>
      </c>
      <c r="AI3708" t="s">
        <v>15812</v>
      </c>
      <c r="AL3708" t="s">
        <v>638</v>
      </c>
      <c r="AM3708">
        <v>1</v>
      </c>
      <c r="AN3708" s="2">
        <v>9781399512862</v>
      </c>
    </row>
    <row r="3709" spans="1:40" x14ac:dyDescent="0.3">
      <c r="A3709" t="s">
        <v>17471</v>
      </c>
      <c r="B3709" t="s">
        <v>1</v>
      </c>
      <c r="C3709" t="s">
        <v>17472</v>
      </c>
      <c r="D3709" t="s">
        <v>17473</v>
      </c>
      <c r="E3709" t="s">
        <v>17474</v>
      </c>
      <c r="F3709" t="s">
        <v>5</v>
      </c>
      <c r="G3709" t="s">
        <v>6</v>
      </c>
      <c r="K3709" t="s">
        <v>4259</v>
      </c>
      <c r="L3709" t="s">
        <v>7</v>
      </c>
      <c r="M3709">
        <v>2023</v>
      </c>
      <c r="N3709" s="1">
        <v>44934</v>
      </c>
      <c r="O3709" t="s">
        <v>17475</v>
      </c>
      <c r="P3709">
        <v>1</v>
      </c>
      <c r="V3709" t="s">
        <v>9</v>
      </c>
      <c r="W3709" t="s">
        <v>10</v>
      </c>
      <c r="X3709" t="s">
        <v>11</v>
      </c>
      <c r="Y3709" t="s">
        <v>12</v>
      </c>
      <c r="AF3709" t="s">
        <v>13</v>
      </c>
      <c r="AH3709" t="str">
        <f>HYPERLINK("http://www.degruyter.com/isbn/9781399517355")</f>
        <v>http://www.degruyter.com/isbn/9781399517355</v>
      </c>
      <c r="AI3709" t="s">
        <v>15325</v>
      </c>
      <c r="AL3709" t="s">
        <v>638</v>
      </c>
      <c r="AM3709">
        <v>1</v>
      </c>
      <c r="AN3709" s="2"/>
    </row>
    <row r="3710" spans="1:40" x14ac:dyDescent="0.3">
      <c r="A3710" t="s">
        <v>17476</v>
      </c>
      <c r="B3710" t="s">
        <v>1</v>
      </c>
      <c r="C3710" t="s">
        <v>17477</v>
      </c>
      <c r="D3710" t="s">
        <v>17478</v>
      </c>
      <c r="E3710" t="s">
        <v>17479</v>
      </c>
      <c r="F3710" t="s">
        <v>5</v>
      </c>
      <c r="G3710" t="s">
        <v>6</v>
      </c>
      <c r="L3710" t="s">
        <v>7</v>
      </c>
      <c r="M3710">
        <v>2023</v>
      </c>
      <c r="N3710" s="1">
        <v>44934</v>
      </c>
      <c r="O3710" t="s">
        <v>17480</v>
      </c>
      <c r="P3710">
        <v>1</v>
      </c>
      <c r="S3710">
        <v>227.95</v>
      </c>
      <c r="T3710">
        <v>260</v>
      </c>
      <c r="U3710">
        <v>200</v>
      </c>
      <c r="V3710" t="s">
        <v>20</v>
      </c>
      <c r="W3710" t="s">
        <v>21</v>
      </c>
      <c r="X3710" t="s">
        <v>458</v>
      </c>
      <c r="Y3710" t="s">
        <v>459</v>
      </c>
      <c r="AF3710" t="s">
        <v>13</v>
      </c>
      <c r="AH3710" t="str">
        <f>HYPERLINK("http://www.degruyter.com/isbn/9781399524896")</f>
        <v>http://www.degruyter.com/isbn/9781399524896</v>
      </c>
      <c r="AI3710" t="s">
        <v>15750</v>
      </c>
      <c r="AL3710" t="s">
        <v>638</v>
      </c>
      <c r="AM3710">
        <v>1</v>
      </c>
      <c r="AN3710" s="2">
        <v>9781399524872</v>
      </c>
    </row>
    <row r="3711" spans="1:40" x14ac:dyDescent="0.3">
      <c r="A3711" t="s">
        <v>17481</v>
      </c>
      <c r="B3711" t="s">
        <v>1</v>
      </c>
      <c r="C3711" t="s">
        <v>17482</v>
      </c>
      <c r="E3711" t="s">
        <v>17483</v>
      </c>
      <c r="F3711" t="s">
        <v>5</v>
      </c>
      <c r="G3711" t="s">
        <v>6</v>
      </c>
      <c r="L3711" t="s">
        <v>7</v>
      </c>
      <c r="M3711">
        <v>2023</v>
      </c>
      <c r="N3711" s="1">
        <v>44934</v>
      </c>
      <c r="O3711" t="s">
        <v>5089</v>
      </c>
      <c r="P3711">
        <v>1</v>
      </c>
      <c r="Q3711" t="s">
        <v>8558</v>
      </c>
      <c r="S3711">
        <v>243.95</v>
      </c>
      <c r="T3711">
        <v>280</v>
      </c>
      <c r="U3711">
        <v>210</v>
      </c>
      <c r="V3711" t="s">
        <v>20</v>
      </c>
      <c r="W3711" t="s">
        <v>21</v>
      </c>
      <c r="X3711" t="s">
        <v>3919</v>
      </c>
      <c r="Y3711" t="s">
        <v>9109</v>
      </c>
      <c r="AF3711" t="s">
        <v>13</v>
      </c>
      <c r="AH3711" t="str">
        <f>HYPERLINK("http://www.degruyter.com/isbn/9781399527392")</f>
        <v>http://www.degruyter.com/isbn/9781399527392</v>
      </c>
      <c r="AI3711" t="s">
        <v>15812</v>
      </c>
      <c r="AL3711" t="s">
        <v>638</v>
      </c>
      <c r="AM3711">
        <v>1</v>
      </c>
      <c r="AN3711" s="2">
        <v>9780748643011</v>
      </c>
    </row>
    <row r="3712" spans="1:40" x14ac:dyDescent="0.3">
      <c r="A3712" t="s">
        <v>17484</v>
      </c>
      <c r="B3712" t="s">
        <v>1</v>
      </c>
      <c r="C3712" t="s">
        <v>17485</v>
      </c>
      <c r="D3712" t="s">
        <v>17486</v>
      </c>
      <c r="E3712" t="s">
        <v>17487</v>
      </c>
      <c r="F3712" t="s">
        <v>5</v>
      </c>
      <c r="G3712" t="s">
        <v>6</v>
      </c>
      <c r="L3712" t="s">
        <v>7</v>
      </c>
      <c r="M3712">
        <v>2024</v>
      </c>
      <c r="N3712" s="1">
        <v>45356</v>
      </c>
      <c r="O3712" t="s">
        <v>17488</v>
      </c>
      <c r="P3712">
        <v>1</v>
      </c>
      <c r="S3712">
        <v>209.95</v>
      </c>
      <c r="T3712">
        <v>240</v>
      </c>
      <c r="U3712">
        <v>180</v>
      </c>
      <c r="V3712" t="s">
        <v>42</v>
      </c>
      <c r="W3712" t="s">
        <v>740</v>
      </c>
      <c r="X3712" t="s">
        <v>17489</v>
      </c>
      <c r="Y3712" t="s">
        <v>258</v>
      </c>
      <c r="AF3712" t="s">
        <v>13</v>
      </c>
      <c r="AH3712" t="str">
        <f>HYPERLINK("http://www.degruyter.com/isbn/9781399523202")</f>
        <v>http://www.degruyter.com/isbn/9781399523202</v>
      </c>
      <c r="AI3712" t="s">
        <v>17450</v>
      </c>
      <c r="AL3712" t="s">
        <v>638</v>
      </c>
      <c r="AM3712">
        <v>1</v>
      </c>
      <c r="AN3712" s="2">
        <v>9781399523189</v>
      </c>
    </row>
    <row r="3713" spans="1:40" x14ac:dyDescent="0.3">
      <c r="A3713" t="s">
        <v>17490</v>
      </c>
      <c r="B3713" t="s">
        <v>1</v>
      </c>
      <c r="C3713" t="s">
        <v>17491</v>
      </c>
      <c r="E3713" t="s">
        <v>17492</v>
      </c>
      <c r="F3713" t="s">
        <v>5</v>
      </c>
      <c r="G3713" t="s">
        <v>6</v>
      </c>
      <c r="L3713" t="s">
        <v>7</v>
      </c>
      <c r="M3713">
        <v>2024</v>
      </c>
      <c r="N3713" s="1">
        <v>45328</v>
      </c>
      <c r="O3713" t="s">
        <v>17493</v>
      </c>
      <c r="P3713">
        <v>1</v>
      </c>
      <c r="Q3713" t="s">
        <v>10252</v>
      </c>
      <c r="S3713">
        <v>217.95</v>
      </c>
      <c r="T3713">
        <v>250</v>
      </c>
      <c r="U3713">
        <v>190</v>
      </c>
      <c r="V3713" t="s">
        <v>79</v>
      </c>
      <c r="W3713" t="s">
        <v>783</v>
      </c>
      <c r="X3713" t="s">
        <v>783</v>
      </c>
      <c r="Y3713" t="s">
        <v>17494</v>
      </c>
      <c r="AF3713" t="s">
        <v>13</v>
      </c>
      <c r="AH3713" t="str">
        <f>HYPERLINK("http://www.degruyter.com/isbn/9781474435475")</f>
        <v>http://www.degruyter.com/isbn/9781474435475</v>
      </c>
      <c r="AI3713" t="s">
        <v>17444</v>
      </c>
      <c r="AL3713" t="s">
        <v>638</v>
      </c>
      <c r="AM3713">
        <v>1</v>
      </c>
      <c r="AN3713" s="2">
        <v>9781474435451</v>
      </c>
    </row>
    <row r="3714" spans="1:40" x14ac:dyDescent="0.3">
      <c r="A3714" t="s">
        <v>17495</v>
      </c>
      <c r="B3714" t="s">
        <v>1</v>
      </c>
      <c r="C3714" t="s">
        <v>17496</v>
      </c>
      <c r="D3714" t="s">
        <v>17497</v>
      </c>
      <c r="E3714" t="s">
        <v>17498</v>
      </c>
      <c r="F3714" t="s">
        <v>5</v>
      </c>
      <c r="G3714" t="s">
        <v>6</v>
      </c>
      <c r="L3714" t="s">
        <v>7</v>
      </c>
      <c r="M3714">
        <v>2024</v>
      </c>
      <c r="N3714" s="1">
        <v>45328</v>
      </c>
      <c r="O3714" t="s">
        <v>17499</v>
      </c>
      <c r="P3714">
        <v>1</v>
      </c>
      <c r="S3714">
        <v>191.95</v>
      </c>
      <c r="T3714">
        <v>220</v>
      </c>
      <c r="U3714">
        <v>170</v>
      </c>
      <c r="V3714" t="s">
        <v>58</v>
      </c>
      <c r="W3714" t="s">
        <v>59</v>
      </c>
      <c r="X3714" t="s">
        <v>60</v>
      </c>
      <c r="Y3714" t="s">
        <v>17500</v>
      </c>
      <c r="AF3714" t="s">
        <v>13</v>
      </c>
      <c r="AH3714" t="str">
        <f>HYPERLINK("http://www.degruyter.com/isbn/9781399518284")</f>
        <v>http://www.degruyter.com/isbn/9781399518284</v>
      </c>
      <c r="AI3714" t="s">
        <v>17501</v>
      </c>
      <c r="AJ3714" t="s">
        <v>35</v>
      </c>
      <c r="AL3714" t="s">
        <v>638</v>
      </c>
      <c r="AM3714">
        <v>1</v>
      </c>
      <c r="AN3714" s="2">
        <v>9781399518260</v>
      </c>
    </row>
    <row r="3715" spans="1:40" x14ac:dyDescent="0.3">
      <c r="A3715" t="s">
        <v>17502</v>
      </c>
      <c r="B3715" t="s">
        <v>1</v>
      </c>
      <c r="C3715" t="s">
        <v>17503</v>
      </c>
      <c r="E3715" t="s">
        <v>17504</v>
      </c>
      <c r="F3715" t="s">
        <v>5</v>
      </c>
      <c r="G3715" t="s">
        <v>6</v>
      </c>
      <c r="L3715" t="s">
        <v>7</v>
      </c>
      <c r="M3715">
        <v>2024</v>
      </c>
      <c r="N3715" s="1">
        <v>45356</v>
      </c>
      <c r="O3715" t="s">
        <v>17505</v>
      </c>
      <c r="P3715">
        <v>1</v>
      </c>
      <c r="Q3715" t="s">
        <v>7655</v>
      </c>
      <c r="S3715">
        <v>209.95</v>
      </c>
      <c r="T3715">
        <v>240</v>
      </c>
      <c r="U3715">
        <v>180</v>
      </c>
      <c r="V3715" t="s">
        <v>9</v>
      </c>
      <c r="W3715" t="s">
        <v>10</v>
      </c>
      <c r="X3715" t="s">
        <v>44</v>
      </c>
      <c r="Y3715" t="s">
        <v>7060</v>
      </c>
      <c r="AF3715" t="s">
        <v>13</v>
      </c>
      <c r="AH3715" t="str">
        <f>HYPERLINK("http://www.degruyter.com/isbn/9781399524094")</f>
        <v>http://www.degruyter.com/isbn/9781399524094</v>
      </c>
      <c r="AI3715" t="s">
        <v>17506</v>
      </c>
      <c r="AL3715" t="s">
        <v>638</v>
      </c>
      <c r="AM3715">
        <v>1</v>
      </c>
      <c r="AN3715" s="2">
        <v>9781399524070</v>
      </c>
    </row>
    <row r="3716" spans="1:40" x14ac:dyDescent="0.3">
      <c r="A3716" t="s">
        <v>17507</v>
      </c>
      <c r="B3716" t="s">
        <v>1</v>
      </c>
      <c r="C3716" t="s">
        <v>17508</v>
      </c>
      <c r="D3716" t="s">
        <v>17509</v>
      </c>
      <c r="E3716" t="s">
        <v>17510</v>
      </c>
      <c r="F3716" t="s">
        <v>5</v>
      </c>
      <c r="G3716" t="s">
        <v>6</v>
      </c>
      <c r="L3716" t="s">
        <v>7</v>
      </c>
      <c r="M3716">
        <v>2024</v>
      </c>
      <c r="N3716" s="1">
        <v>45328</v>
      </c>
      <c r="O3716" t="s">
        <v>13577</v>
      </c>
      <c r="P3716">
        <v>1</v>
      </c>
      <c r="S3716">
        <v>209.95</v>
      </c>
      <c r="T3716">
        <v>240</v>
      </c>
      <c r="U3716">
        <v>180</v>
      </c>
      <c r="V3716" t="s">
        <v>305</v>
      </c>
      <c r="W3716" t="s">
        <v>306</v>
      </c>
      <c r="X3716" t="s">
        <v>306</v>
      </c>
      <c r="Y3716" t="s">
        <v>14022</v>
      </c>
      <c r="AF3716" t="s">
        <v>13</v>
      </c>
      <c r="AH3716" t="str">
        <f>HYPERLINK("http://www.degruyter.com/isbn/9781399517966")</f>
        <v>http://www.degruyter.com/isbn/9781399517966</v>
      </c>
      <c r="AI3716" t="s">
        <v>17511</v>
      </c>
      <c r="AL3716" t="s">
        <v>638</v>
      </c>
      <c r="AM3716">
        <v>1</v>
      </c>
      <c r="AN3716" s="2">
        <v>9781399517942</v>
      </c>
    </row>
    <row r="3717" spans="1:40" x14ac:dyDescent="0.3">
      <c r="A3717" t="s">
        <v>17512</v>
      </c>
      <c r="B3717" t="s">
        <v>1</v>
      </c>
      <c r="C3717" t="s">
        <v>17513</v>
      </c>
      <c r="D3717" t="s">
        <v>17514</v>
      </c>
      <c r="E3717" t="s">
        <v>17515</v>
      </c>
      <c r="F3717" t="s">
        <v>5</v>
      </c>
      <c r="G3717" t="s">
        <v>6</v>
      </c>
      <c r="H3717" t="s">
        <v>16123</v>
      </c>
      <c r="L3717" t="s">
        <v>7</v>
      </c>
      <c r="M3717">
        <v>2023</v>
      </c>
      <c r="N3717" s="1">
        <v>44934</v>
      </c>
      <c r="O3717" t="s">
        <v>2527</v>
      </c>
      <c r="P3717">
        <v>1</v>
      </c>
      <c r="Q3717" t="s">
        <v>10773</v>
      </c>
      <c r="S3717">
        <v>209.95</v>
      </c>
      <c r="T3717">
        <v>240</v>
      </c>
      <c r="U3717">
        <v>180</v>
      </c>
      <c r="V3717" t="s">
        <v>268</v>
      </c>
      <c r="W3717" t="s">
        <v>269</v>
      </c>
      <c r="X3717" t="s">
        <v>269</v>
      </c>
      <c r="Y3717" t="s">
        <v>9075</v>
      </c>
      <c r="AF3717" t="s">
        <v>13</v>
      </c>
      <c r="AH3717" t="str">
        <f>HYPERLINK("http://www.degruyter.com/isbn/9781399515139")</f>
        <v>http://www.degruyter.com/isbn/9781399515139</v>
      </c>
      <c r="AI3717" t="s">
        <v>17516</v>
      </c>
      <c r="AL3717" t="s">
        <v>16129</v>
      </c>
      <c r="AM3717">
        <v>1</v>
      </c>
      <c r="AN3717" s="2">
        <v>9781399515115</v>
      </c>
    </row>
    <row r="3718" spans="1:40" x14ac:dyDescent="0.3">
      <c r="A3718" t="s">
        <v>17517</v>
      </c>
      <c r="B3718" t="s">
        <v>1</v>
      </c>
      <c r="C3718" t="s">
        <v>17518</v>
      </c>
      <c r="E3718" t="s">
        <v>17519</v>
      </c>
      <c r="F3718" t="s">
        <v>5</v>
      </c>
      <c r="G3718" t="s">
        <v>6</v>
      </c>
      <c r="L3718" t="s">
        <v>7</v>
      </c>
      <c r="M3718">
        <v>2023</v>
      </c>
      <c r="N3718" s="1">
        <v>45198</v>
      </c>
      <c r="O3718" t="s">
        <v>17520</v>
      </c>
      <c r="P3718">
        <v>1</v>
      </c>
      <c r="Q3718" t="s">
        <v>13749</v>
      </c>
      <c r="S3718">
        <v>217.95</v>
      </c>
      <c r="T3718">
        <v>250</v>
      </c>
      <c r="U3718">
        <v>190</v>
      </c>
      <c r="V3718" t="s">
        <v>42</v>
      </c>
      <c r="W3718" t="s">
        <v>107</v>
      </c>
      <c r="X3718" t="s">
        <v>108</v>
      </c>
      <c r="Y3718" t="s">
        <v>221</v>
      </c>
      <c r="AF3718" t="s">
        <v>13</v>
      </c>
      <c r="AH3718" t="str">
        <f>HYPERLINK("http://www.degruyter.com/isbn/9781399527163")</f>
        <v>http://www.degruyter.com/isbn/9781399527163</v>
      </c>
      <c r="AI3718" t="s">
        <v>15732</v>
      </c>
      <c r="AL3718" t="s">
        <v>638</v>
      </c>
      <c r="AM3718">
        <v>1</v>
      </c>
      <c r="AN3718" s="2">
        <v>9781399527149</v>
      </c>
    </row>
    <row r="3719" spans="1:40" x14ac:dyDescent="0.3">
      <c r="A3719" t="s">
        <v>17521</v>
      </c>
      <c r="B3719" t="s">
        <v>1</v>
      </c>
      <c r="C3719" t="s">
        <v>17522</v>
      </c>
      <c r="E3719" t="s">
        <v>17523</v>
      </c>
      <c r="F3719" t="s">
        <v>5</v>
      </c>
      <c r="G3719" t="s">
        <v>6</v>
      </c>
      <c r="L3719" t="s">
        <v>7</v>
      </c>
      <c r="M3719">
        <v>2023</v>
      </c>
      <c r="N3719" s="1">
        <v>44934</v>
      </c>
      <c r="O3719" t="s">
        <v>802</v>
      </c>
      <c r="P3719">
        <v>1</v>
      </c>
      <c r="S3719">
        <v>209.95</v>
      </c>
      <c r="T3719">
        <v>240</v>
      </c>
      <c r="U3719">
        <v>180</v>
      </c>
      <c r="V3719" t="s">
        <v>9</v>
      </c>
      <c r="W3719" t="s">
        <v>10</v>
      </c>
      <c r="X3719" t="s">
        <v>11</v>
      </c>
      <c r="Y3719" t="s">
        <v>3896</v>
      </c>
      <c r="AF3719" t="s">
        <v>13</v>
      </c>
      <c r="AH3719" t="str">
        <f>HYPERLINK("http://www.degruyter.com/isbn/9781399525763")</f>
        <v>http://www.degruyter.com/isbn/9781399525763</v>
      </c>
      <c r="AI3719" t="s">
        <v>15325</v>
      </c>
      <c r="AL3719" t="s">
        <v>638</v>
      </c>
      <c r="AM3719">
        <v>1</v>
      </c>
      <c r="AN3719" s="2">
        <v>9781399525749</v>
      </c>
    </row>
    <row r="3720" spans="1:40" x14ac:dyDescent="0.3">
      <c r="A3720" t="s">
        <v>17524</v>
      </c>
      <c r="B3720" t="s">
        <v>1</v>
      </c>
      <c r="C3720" t="s">
        <v>17525</v>
      </c>
      <c r="D3720" t="s">
        <v>17526</v>
      </c>
      <c r="E3720" t="s">
        <v>17527</v>
      </c>
      <c r="F3720" t="s">
        <v>5</v>
      </c>
      <c r="G3720" t="s">
        <v>6</v>
      </c>
      <c r="L3720" t="s">
        <v>7</v>
      </c>
      <c r="M3720">
        <v>2023</v>
      </c>
      <c r="N3720" s="1">
        <v>45160</v>
      </c>
      <c r="O3720" t="s">
        <v>17528</v>
      </c>
      <c r="P3720">
        <v>1</v>
      </c>
      <c r="Q3720" t="s">
        <v>6665</v>
      </c>
      <c r="S3720">
        <v>209.95</v>
      </c>
      <c r="T3720">
        <v>240</v>
      </c>
      <c r="U3720">
        <v>180</v>
      </c>
      <c r="V3720" t="s">
        <v>9</v>
      </c>
      <c r="W3720" t="s">
        <v>10</v>
      </c>
      <c r="X3720" t="s">
        <v>11</v>
      </c>
      <c r="Y3720" t="s">
        <v>52</v>
      </c>
      <c r="AF3720" t="s">
        <v>13</v>
      </c>
      <c r="AH3720" t="str">
        <f>HYPERLINK("http://www.degruyter.com/isbn/9781474484473")</f>
        <v>http://www.degruyter.com/isbn/9781474484473</v>
      </c>
      <c r="AI3720" t="s">
        <v>15325</v>
      </c>
      <c r="AL3720" t="s">
        <v>638</v>
      </c>
      <c r="AM3720">
        <v>1</v>
      </c>
      <c r="AN3720" s="2">
        <v>9781474484459</v>
      </c>
    </row>
    <row r="3721" spans="1:40" x14ac:dyDescent="0.3">
      <c r="A3721" t="s">
        <v>17529</v>
      </c>
      <c r="B3721" t="s">
        <v>1</v>
      </c>
      <c r="C3721" t="s">
        <v>17530</v>
      </c>
      <c r="D3721" t="s">
        <v>17531</v>
      </c>
      <c r="E3721" t="s">
        <v>17532</v>
      </c>
      <c r="F3721" t="s">
        <v>5</v>
      </c>
      <c r="G3721" t="s">
        <v>6</v>
      </c>
      <c r="L3721" t="s">
        <v>7</v>
      </c>
      <c r="M3721">
        <v>2023</v>
      </c>
      <c r="N3721" s="1">
        <v>44934</v>
      </c>
      <c r="O3721" t="s">
        <v>17533</v>
      </c>
      <c r="P3721">
        <v>1</v>
      </c>
      <c r="S3721">
        <v>209.95</v>
      </c>
      <c r="T3721">
        <v>240</v>
      </c>
      <c r="U3721">
        <v>180</v>
      </c>
      <c r="V3721" t="s">
        <v>20</v>
      </c>
      <c r="W3721" t="s">
        <v>470</v>
      </c>
      <c r="X3721" t="s">
        <v>1269</v>
      </c>
      <c r="Y3721" t="s">
        <v>1705</v>
      </c>
      <c r="AF3721" t="s">
        <v>13</v>
      </c>
      <c r="AH3721" t="str">
        <f>HYPERLINK("http://www.degruyter.com/isbn/9781399506007")</f>
        <v>http://www.degruyter.com/isbn/9781399506007</v>
      </c>
      <c r="AI3721" t="s">
        <v>15812</v>
      </c>
      <c r="AL3721" t="s">
        <v>638</v>
      </c>
      <c r="AM3721">
        <v>1</v>
      </c>
      <c r="AN3721" s="2">
        <v>9781399505987</v>
      </c>
    </row>
    <row r="3722" spans="1:40" x14ac:dyDescent="0.3">
      <c r="A3722" t="s">
        <v>17534</v>
      </c>
      <c r="B3722" t="s">
        <v>1</v>
      </c>
      <c r="C3722" t="s">
        <v>17535</v>
      </c>
      <c r="E3722" t="s">
        <v>17536</v>
      </c>
      <c r="F3722" t="s">
        <v>5</v>
      </c>
      <c r="G3722" t="s">
        <v>6</v>
      </c>
      <c r="L3722" t="s">
        <v>7</v>
      </c>
      <c r="M3722">
        <v>2024</v>
      </c>
      <c r="N3722" s="1">
        <v>45356</v>
      </c>
      <c r="O3722" t="s">
        <v>17537</v>
      </c>
      <c r="P3722">
        <v>1</v>
      </c>
      <c r="S3722">
        <v>209.95</v>
      </c>
      <c r="T3722">
        <v>240</v>
      </c>
      <c r="U3722">
        <v>180</v>
      </c>
      <c r="V3722" t="s">
        <v>42</v>
      </c>
      <c r="W3722" t="s">
        <v>116</v>
      </c>
      <c r="X3722" t="s">
        <v>116</v>
      </c>
      <c r="Y3722" t="s">
        <v>15123</v>
      </c>
      <c r="AF3722" t="s">
        <v>13</v>
      </c>
      <c r="AH3722" t="str">
        <f>HYPERLINK("http://www.degruyter.com/isbn/9781399507806")</f>
        <v>http://www.degruyter.com/isbn/9781399507806</v>
      </c>
      <c r="AI3722" t="s">
        <v>17450</v>
      </c>
      <c r="AL3722" t="s">
        <v>638</v>
      </c>
      <c r="AM3722">
        <v>1</v>
      </c>
      <c r="AN3722" s="2">
        <v>9781399507783</v>
      </c>
    </row>
    <row r="3723" spans="1:40" x14ac:dyDescent="0.3">
      <c r="A3723" t="s">
        <v>17538</v>
      </c>
      <c r="B3723" t="s">
        <v>1</v>
      </c>
      <c r="C3723" t="s">
        <v>17539</v>
      </c>
      <c r="E3723" t="s">
        <v>17540</v>
      </c>
      <c r="F3723" t="s">
        <v>5</v>
      </c>
      <c r="G3723" t="s">
        <v>6</v>
      </c>
      <c r="L3723" t="s">
        <v>7</v>
      </c>
      <c r="M3723">
        <v>2024</v>
      </c>
      <c r="N3723" s="1">
        <v>45356</v>
      </c>
      <c r="O3723" t="s">
        <v>17541</v>
      </c>
      <c r="P3723">
        <v>1</v>
      </c>
      <c r="Q3723" t="s">
        <v>8607</v>
      </c>
      <c r="S3723">
        <v>191.95</v>
      </c>
      <c r="T3723">
        <v>220</v>
      </c>
      <c r="U3723">
        <v>170</v>
      </c>
      <c r="V3723" t="s">
        <v>58</v>
      </c>
      <c r="W3723" t="s">
        <v>59</v>
      </c>
      <c r="X3723" t="s">
        <v>60</v>
      </c>
      <c r="Y3723" t="s">
        <v>5149</v>
      </c>
      <c r="AF3723" t="s">
        <v>13</v>
      </c>
      <c r="AH3723" t="str">
        <f>HYPERLINK("http://www.degruyter.com/isbn/9781474492362")</f>
        <v>http://www.degruyter.com/isbn/9781474492362</v>
      </c>
      <c r="AI3723" t="s">
        <v>17501</v>
      </c>
      <c r="AL3723" t="s">
        <v>638</v>
      </c>
      <c r="AM3723">
        <v>1</v>
      </c>
      <c r="AN3723" s="2">
        <v>9781474492348</v>
      </c>
    </row>
    <row r="3724" spans="1:40" x14ac:dyDescent="0.3">
      <c r="A3724" t="s">
        <v>17542</v>
      </c>
      <c r="B3724" t="s">
        <v>1</v>
      </c>
      <c r="C3724" t="s">
        <v>17543</v>
      </c>
      <c r="E3724" t="s">
        <v>17544</v>
      </c>
      <c r="F3724" t="s">
        <v>5</v>
      </c>
      <c r="G3724" t="s">
        <v>6</v>
      </c>
      <c r="L3724" t="s">
        <v>7</v>
      </c>
      <c r="M3724">
        <v>2024</v>
      </c>
      <c r="N3724" s="1">
        <v>45443</v>
      </c>
      <c r="O3724" t="s">
        <v>17545</v>
      </c>
      <c r="P3724">
        <v>1</v>
      </c>
      <c r="Q3724" t="s">
        <v>14976</v>
      </c>
      <c r="S3724">
        <v>217.95</v>
      </c>
      <c r="T3724">
        <v>250</v>
      </c>
      <c r="U3724">
        <v>190</v>
      </c>
      <c r="V3724" t="s">
        <v>305</v>
      </c>
      <c r="W3724" t="s">
        <v>650</v>
      </c>
      <c r="X3724" t="s">
        <v>650</v>
      </c>
      <c r="Y3724" t="s">
        <v>651</v>
      </c>
      <c r="AF3724" t="s">
        <v>13</v>
      </c>
      <c r="AH3724" t="str">
        <f>HYPERLINK("http://www.degruyter.com/isbn/9781399524131")</f>
        <v>http://www.degruyter.com/isbn/9781399524131</v>
      </c>
      <c r="AI3724" t="s">
        <v>17506</v>
      </c>
      <c r="AL3724" t="s">
        <v>638</v>
      </c>
      <c r="AM3724">
        <v>1</v>
      </c>
      <c r="AN3724" s="2">
        <v>9781399524117</v>
      </c>
    </row>
    <row r="3725" spans="1:40" x14ac:dyDescent="0.3">
      <c r="A3725" t="s">
        <v>17546</v>
      </c>
      <c r="B3725" t="s">
        <v>1</v>
      </c>
      <c r="C3725" t="s">
        <v>1657</v>
      </c>
      <c r="E3725" t="s">
        <v>1658</v>
      </c>
      <c r="F3725" t="s">
        <v>5</v>
      </c>
      <c r="G3725" t="s">
        <v>6</v>
      </c>
      <c r="L3725" t="s">
        <v>7</v>
      </c>
      <c r="M3725">
        <v>2024</v>
      </c>
      <c r="N3725" s="1">
        <v>45328</v>
      </c>
      <c r="O3725" t="s">
        <v>17547</v>
      </c>
      <c r="P3725">
        <v>1</v>
      </c>
      <c r="S3725">
        <v>243.95</v>
      </c>
      <c r="T3725">
        <v>280</v>
      </c>
      <c r="U3725">
        <v>210</v>
      </c>
      <c r="V3725" t="s">
        <v>1325</v>
      </c>
      <c r="W3725" t="s">
        <v>2407</v>
      </c>
      <c r="X3725" t="s">
        <v>2407</v>
      </c>
      <c r="Y3725" t="s">
        <v>17548</v>
      </c>
      <c r="AF3725" t="s">
        <v>13</v>
      </c>
      <c r="AH3725" t="str">
        <f>HYPERLINK("http://www.degruyter.com/isbn/9781474477284")</f>
        <v>http://www.degruyter.com/isbn/9781474477284</v>
      </c>
      <c r="AI3725" t="s">
        <v>17549</v>
      </c>
      <c r="AL3725" t="s">
        <v>638</v>
      </c>
      <c r="AM3725">
        <v>1</v>
      </c>
      <c r="AN3725" s="2">
        <v>9781474477260</v>
      </c>
    </row>
    <row r="3726" spans="1:40" x14ac:dyDescent="0.3">
      <c r="A3726" t="s">
        <v>17550</v>
      </c>
      <c r="B3726" t="s">
        <v>1</v>
      </c>
      <c r="C3726" t="s">
        <v>17551</v>
      </c>
      <c r="D3726" t="s">
        <v>17552</v>
      </c>
      <c r="E3726" t="s">
        <v>17553</v>
      </c>
      <c r="F3726" t="s">
        <v>5</v>
      </c>
      <c r="G3726" t="s">
        <v>6</v>
      </c>
      <c r="K3726" t="s">
        <v>17554</v>
      </c>
      <c r="L3726" t="s">
        <v>7</v>
      </c>
      <c r="M3726">
        <v>2024</v>
      </c>
      <c r="N3726" s="1">
        <v>45356</v>
      </c>
      <c r="O3726" t="s">
        <v>17555</v>
      </c>
      <c r="P3726">
        <v>1</v>
      </c>
      <c r="V3726" t="s">
        <v>58</v>
      </c>
      <c r="W3726" t="s">
        <v>59</v>
      </c>
      <c r="X3726" t="s">
        <v>60</v>
      </c>
      <c r="Y3726" t="s">
        <v>169</v>
      </c>
      <c r="AF3726" t="s">
        <v>13</v>
      </c>
      <c r="AH3726" t="str">
        <f>HYPERLINK("http://www.degruyter.com/isbn/9781399522489")</f>
        <v>http://www.degruyter.com/isbn/9781399522489</v>
      </c>
      <c r="AI3726" t="s">
        <v>17556</v>
      </c>
      <c r="AL3726" t="s">
        <v>638</v>
      </c>
      <c r="AM3726">
        <v>1</v>
      </c>
      <c r="AN3726" s="2"/>
    </row>
    <row r="3727" spans="1:40" x14ac:dyDescent="0.3">
      <c r="A3727" t="s">
        <v>17557</v>
      </c>
      <c r="B3727" t="s">
        <v>1</v>
      </c>
      <c r="C3727" t="s">
        <v>17558</v>
      </c>
      <c r="D3727" t="s">
        <v>17559</v>
      </c>
      <c r="E3727" t="s">
        <v>17560</v>
      </c>
      <c r="F3727" t="s">
        <v>5</v>
      </c>
      <c r="G3727" t="s">
        <v>6</v>
      </c>
      <c r="L3727" t="s">
        <v>7</v>
      </c>
      <c r="M3727">
        <v>2024</v>
      </c>
      <c r="N3727" s="1">
        <v>45351</v>
      </c>
      <c r="O3727" t="s">
        <v>17561</v>
      </c>
      <c r="P3727">
        <v>1</v>
      </c>
      <c r="Q3727" t="s">
        <v>7303</v>
      </c>
      <c r="S3727">
        <v>217.95</v>
      </c>
      <c r="T3727">
        <v>250</v>
      </c>
      <c r="U3727">
        <v>190</v>
      </c>
      <c r="V3727" t="s">
        <v>79</v>
      </c>
      <c r="W3727" t="s">
        <v>80</v>
      </c>
      <c r="X3727" t="s">
        <v>80</v>
      </c>
      <c r="Y3727" t="s">
        <v>81</v>
      </c>
      <c r="AF3727" t="s">
        <v>13</v>
      </c>
      <c r="AH3727" t="str">
        <f>HYPERLINK("http://www.degruyter.com/isbn/9781399523448")</f>
        <v>http://www.degruyter.com/isbn/9781399523448</v>
      </c>
      <c r="AI3727" t="s">
        <v>17444</v>
      </c>
      <c r="AL3727" t="s">
        <v>638</v>
      </c>
      <c r="AM3727">
        <v>1</v>
      </c>
      <c r="AN3727" s="2">
        <v>9781399523424</v>
      </c>
    </row>
    <row r="3728" spans="1:40" x14ac:dyDescent="0.3">
      <c r="A3728" t="s">
        <v>17562</v>
      </c>
      <c r="B3728" t="s">
        <v>1</v>
      </c>
      <c r="C3728" t="s">
        <v>17563</v>
      </c>
      <c r="E3728" t="s">
        <v>17564</v>
      </c>
      <c r="F3728" t="s">
        <v>5</v>
      </c>
      <c r="G3728" t="s">
        <v>6</v>
      </c>
      <c r="L3728" t="s">
        <v>7</v>
      </c>
      <c r="M3728">
        <v>2024</v>
      </c>
      <c r="N3728" s="1">
        <v>45328</v>
      </c>
      <c r="O3728" t="s">
        <v>17565</v>
      </c>
      <c r="P3728">
        <v>1</v>
      </c>
      <c r="Q3728" t="s">
        <v>10362</v>
      </c>
      <c r="S3728">
        <v>287.95</v>
      </c>
      <c r="T3728">
        <v>330</v>
      </c>
      <c r="U3728">
        <v>250</v>
      </c>
      <c r="V3728" t="s">
        <v>79</v>
      </c>
      <c r="W3728" t="s">
        <v>209</v>
      </c>
      <c r="X3728" t="s">
        <v>209</v>
      </c>
      <c r="Y3728" t="s">
        <v>17566</v>
      </c>
      <c r="AF3728" t="s">
        <v>13</v>
      </c>
      <c r="AH3728" t="str">
        <f>HYPERLINK("http://www.degruyter.com/isbn/9781399530071")</f>
        <v>http://www.degruyter.com/isbn/9781399530071</v>
      </c>
      <c r="AI3728" t="s">
        <v>17444</v>
      </c>
      <c r="AL3728" t="s">
        <v>638</v>
      </c>
      <c r="AM3728">
        <v>1</v>
      </c>
      <c r="AN3728" s="2">
        <v>9781399530057</v>
      </c>
    </row>
    <row r="3729" spans="1:40" x14ac:dyDescent="0.3">
      <c r="A3729" t="s">
        <v>17567</v>
      </c>
      <c r="B3729" t="s">
        <v>1</v>
      </c>
      <c r="C3729" t="s">
        <v>17568</v>
      </c>
      <c r="E3729" t="s">
        <v>17569</v>
      </c>
      <c r="F3729" t="s">
        <v>5</v>
      </c>
      <c r="G3729" t="s">
        <v>6</v>
      </c>
      <c r="L3729" t="s">
        <v>7</v>
      </c>
      <c r="M3729">
        <v>2024</v>
      </c>
      <c r="N3729" s="1">
        <v>45328</v>
      </c>
      <c r="O3729" t="s">
        <v>6973</v>
      </c>
      <c r="P3729">
        <v>1</v>
      </c>
      <c r="S3729">
        <v>209.95</v>
      </c>
      <c r="T3729">
        <v>240</v>
      </c>
      <c r="U3729">
        <v>180</v>
      </c>
      <c r="V3729" t="s">
        <v>98</v>
      </c>
      <c r="W3729" t="s">
        <v>2283</v>
      </c>
      <c r="X3729" t="s">
        <v>5437</v>
      </c>
      <c r="Y3729" t="s">
        <v>5438</v>
      </c>
      <c r="AF3729" t="s">
        <v>13</v>
      </c>
      <c r="AH3729" t="str">
        <f>HYPERLINK("http://www.degruyter.com/isbn/9781474487030")</f>
        <v>http://www.degruyter.com/isbn/9781474487030</v>
      </c>
      <c r="AI3729" t="s">
        <v>17570</v>
      </c>
      <c r="AL3729" t="s">
        <v>638</v>
      </c>
      <c r="AM3729">
        <v>1</v>
      </c>
      <c r="AN3729" s="2">
        <v>9781474487016</v>
      </c>
    </row>
    <row r="3730" spans="1:40" x14ac:dyDescent="0.3">
      <c r="A3730" t="s">
        <v>17571</v>
      </c>
      <c r="B3730" t="s">
        <v>1</v>
      </c>
      <c r="C3730" t="s">
        <v>17572</v>
      </c>
      <c r="D3730" t="s">
        <v>17573</v>
      </c>
      <c r="E3730" t="s">
        <v>17574</v>
      </c>
      <c r="F3730" t="s">
        <v>5</v>
      </c>
      <c r="G3730" t="s">
        <v>6</v>
      </c>
      <c r="L3730" t="s">
        <v>7</v>
      </c>
      <c r="M3730">
        <v>2024</v>
      </c>
      <c r="N3730" s="1">
        <v>45382</v>
      </c>
      <c r="O3730" t="s">
        <v>17575</v>
      </c>
      <c r="P3730">
        <v>1</v>
      </c>
      <c r="S3730">
        <v>217.95</v>
      </c>
      <c r="T3730">
        <v>250</v>
      </c>
      <c r="U3730">
        <v>190</v>
      </c>
      <c r="V3730" t="s">
        <v>20</v>
      </c>
      <c r="W3730" t="s">
        <v>21</v>
      </c>
      <c r="X3730" t="s">
        <v>418</v>
      </c>
      <c r="Y3730" t="s">
        <v>1232</v>
      </c>
      <c r="AF3730" t="s">
        <v>13</v>
      </c>
      <c r="AH3730" t="str">
        <f>HYPERLINK("http://www.degruyter.com/isbn/9781399519632")</f>
        <v>http://www.degruyter.com/isbn/9781399519632</v>
      </c>
      <c r="AI3730" t="s">
        <v>17576</v>
      </c>
      <c r="AL3730" t="s">
        <v>638</v>
      </c>
      <c r="AM3730">
        <v>1</v>
      </c>
      <c r="AN3730" s="2">
        <v>9781399519618</v>
      </c>
    </row>
    <row r="3731" spans="1:40" x14ac:dyDescent="0.3">
      <c r="A3731" t="s">
        <v>17577</v>
      </c>
      <c r="B3731" t="s">
        <v>1</v>
      </c>
      <c r="C3731" t="s">
        <v>17578</v>
      </c>
      <c r="E3731" t="s">
        <v>17579</v>
      </c>
      <c r="F3731" t="s">
        <v>5</v>
      </c>
      <c r="G3731" t="s">
        <v>6</v>
      </c>
      <c r="L3731" t="s">
        <v>7</v>
      </c>
      <c r="M3731">
        <v>2024</v>
      </c>
      <c r="N3731" s="1">
        <v>45328</v>
      </c>
      <c r="O3731" t="s">
        <v>17580</v>
      </c>
      <c r="P3731">
        <v>1</v>
      </c>
      <c r="Q3731" t="s">
        <v>7086</v>
      </c>
      <c r="S3731">
        <v>217.95</v>
      </c>
      <c r="T3731">
        <v>250</v>
      </c>
      <c r="U3731">
        <v>190</v>
      </c>
      <c r="V3731" t="s">
        <v>20</v>
      </c>
      <c r="W3731" t="s">
        <v>21</v>
      </c>
      <c r="X3731" t="s">
        <v>839</v>
      </c>
      <c r="Y3731" t="s">
        <v>13617</v>
      </c>
      <c r="AF3731" t="s">
        <v>13</v>
      </c>
      <c r="AH3731" t="str">
        <f>HYPERLINK("http://www.degruyter.com/isbn/9781474461023")</f>
        <v>http://www.degruyter.com/isbn/9781474461023</v>
      </c>
      <c r="AI3731" t="s">
        <v>17581</v>
      </c>
      <c r="AL3731" t="s">
        <v>638</v>
      </c>
      <c r="AM3731">
        <v>1</v>
      </c>
      <c r="AN3731" s="2">
        <v>9781474461009</v>
      </c>
    </row>
    <row r="3732" spans="1:40" x14ac:dyDescent="0.3">
      <c r="A3732" t="s">
        <v>17582</v>
      </c>
      <c r="B3732" t="s">
        <v>1</v>
      </c>
      <c r="C3732" t="s">
        <v>17583</v>
      </c>
      <c r="E3732" t="s">
        <v>17584</v>
      </c>
      <c r="F3732" t="s">
        <v>5</v>
      </c>
      <c r="G3732" t="s">
        <v>6</v>
      </c>
      <c r="L3732" t="s">
        <v>7</v>
      </c>
      <c r="M3732">
        <v>2024</v>
      </c>
      <c r="N3732" s="1">
        <v>45356</v>
      </c>
      <c r="O3732" t="s">
        <v>17585</v>
      </c>
      <c r="P3732">
        <v>1</v>
      </c>
      <c r="Q3732" t="s">
        <v>14964</v>
      </c>
      <c r="S3732">
        <v>227.95</v>
      </c>
      <c r="T3732">
        <v>260</v>
      </c>
      <c r="U3732">
        <v>200</v>
      </c>
      <c r="V3732" t="s">
        <v>42</v>
      </c>
      <c r="W3732" t="s">
        <v>107</v>
      </c>
      <c r="X3732" t="s">
        <v>108</v>
      </c>
      <c r="Y3732" t="s">
        <v>952</v>
      </c>
      <c r="AF3732" t="s">
        <v>13</v>
      </c>
      <c r="AH3732" t="str">
        <f>HYPERLINK("http://www.degruyter.com/isbn/9781399506984")</f>
        <v>http://www.degruyter.com/isbn/9781399506984</v>
      </c>
      <c r="AI3732" t="s">
        <v>17450</v>
      </c>
      <c r="AL3732" t="s">
        <v>638</v>
      </c>
      <c r="AM3732">
        <v>1</v>
      </c>
      <c r="AN3732" s="2">
        <v>9781399506977</v>
      </c>
    </row>
    <row r="3733" spans="1:40" x14ac:dyDescent="0.3">
      <c r="A3733" t="s">
        <v>17586</v>
      </c>
      <c r="B3733" t="s">
        <v>1</v>
      </c>
      <c r="C3733" t="s">
        <v>17587</v>
      </c>
      <c r="D3733" t="s">
        <v>17588</v>
      </c>
      <c r="E3733" t="s">
        <v>17589</v>
      </c>
      <c r="F3733" t="s">
        <v>5</v>
      </c>
      <c r="G3733" t="s">
        <v>6</v>
      </c>
      <c r="L3733" t="s">
        <v>7</v>
      </c>
      <c r="M3733">
        <v>2024</v>
      </c>
      <c r="N3733" s="1">
        <v>45351</v>
      </c>
      <c r="O3733" t="s">
        <v>17590</v>
      </c>
      <c r="P3733">
        <v>1</v>
      </c>
      <c r="Q3733" t="s">
        <v>7303</v>
      </c>
      <c r="S3733">
        <v>191.95</v>
      </c>
      <c r="T3733">
        <v>220</v>
      </c>
      <c r="U3733">
        <v>170</v>
      </c>
      <c r="V3733" t="s">
        <v>79</v>
      </c>
      <c r="W3733" t="s">
        <v>80</v>
      </c>
      <c r="X3733" t="s">
        <v>80</v>
      </c>
      <c r="Y3733" t="s">
        <v>81</v>
      </c>
      <c r="AF3733" t="s">
        <v>13</v>
      </c>
      <c r="AH3733" t="str">
        <f>HYPERLINK("http://www.degruyter.com/isbn/9781474488990")</f>
        <v>http://www.degruyter.com/isbn/9781474488990</v>
      </c>
      <c r="AI3733" t="s">
        <v>17444</v>
      </c>
      <c r="AL3733" t="s">
        <v>638</v>
      </c>
      <c r="AM3733">
        <v>1</v>
      </c>
      <c r="AN3733" s="2">
        <v>9781474488969</v>
      </c>
    </row>
    <row r="3734" spans="1:40" x14ac:dyDescent="0.3">
      <c r="A3734" t="s">
        <v>17591</v>
      </c>
      <c r="B3734" t="s">
        <v>1</v>
      </c>
      <c r="C3734" t="s">
        <v>17592</v>
      </c>
      <c r="E3734" t="s">
        <v>17593</v>
      </c>
      <c r="F3734" t="s">
        <v>5</v>
      </c>
      <c r="G3734" t="s">
        <v>6</v>
      </c>
      <c r="L3734" t="s">
        <v>7</v>
      </c>
      <c r="M3734">
        <v>2024</v>
      </c>
      <c r="N3734" s="1">
        <v>45328</v>
      </c>
      <c r="O3734" t="s">
        <v>17594</v>
      </c>
      <c r="P3734">
        <v>1</v>
      </c>
      <c r="S3734">
        <v>209.95</v>
      </c>
      <c r="T3734">
        <v>240</v>
      </c>
      <c r="U3734">
        <v>180</v>
      </c>
      <c r="V3734" t="s">
        <v>58</v>
      </c>
      <c r="W3734" t="s">
        <v>59</v>
      </c>
      <c r="X3734" t="s">
        <v>60</v>
      </c>
      <c r="Y3734" t="s">
        <v>9359</v>
      </c>
      <c r="AF3734" t="s">
        <v>13</v>
      </c>
      <c r="AH3734" t="str">
        <f>HYPERLINK("http://www.degruyter.com/isbn/9781399519359")</f>
        <v>http://www.degruyter.com/isbn/9781399519359</v>
      </c>
      <c r="AI3734" t="s">
        <v>17501</v>
      </c>
      <c r="AL3734" t="s">
        <v>638</v>
      </c>
      <c r="AM3734">
        <v>1</v>
      </c>
      <c r="AN3734" s="2">
        <v>9781399519335</v>
      </c>
    </row>
    <row r="3735" spans="1:40" x14ac:dyDescent="0.3">
      <c r="A3735" t="s">
        <v>17595</v>
      </c>
      <c r="B3735" t="s">
        <v>1</v>
      </c>
      <c r="C3735" t="s">
        <v>17596</v>
      </c>
      <c r="D3735" t="s">
        <v>17597</v>
      </c>
      <c r="E3735" t="s">
        <v>17598</v>
      </c>
      <c r="F3735" t="s">
        <v>5</v>
      </c>
      <c r="G3735" t="s">
        <v>6</v>
      </c>
      <c r="L3735" t="s">
        <v>7</v>
      </c>
      <c r="M3735">
        <v>2024</v>
      </c>
      <c r="N3735" s="1">
        <v>45356</v>
      </c>
      <c r="O3735" t="s">
        <v>17599</v>
      </c>
      <c r="P3735">
        <v>1</v>
      </c>
      <c r="Q3735" t="s">
        <v>6606</v>
      </c>
      <c r="S3735">
        <v>191.95</v>
      </c>
      <c r="T3735">
        <v>220</v>
      </c>
      <c r="U3735">
        <v>170</v>
      </c>
      <c r="V3735" t="s">
        <v>79</v>
      </c>
      <c r="W3735" t="s">
        <v>16641</v>
      </c>
      <c r="X3735" t="s">
        <v>16642</v>
      </c>
      <c r="Y3735" t="s">
        <v>16643</v>
      </c>
      <c r="AF3735" t="s">
        <v>13</v>
      </c>
      <c r="AH3735" t="str">
        <f>HYPERLINK("http://www.degruyter.com/isbn/9781474441599")</f>
        <v>http://www.degruyter.com/isbn/9781474441599</v>
      </c>
      <c r="AI3735" t="s">
        <v>17444</v>
      </c>
      <c r="AJ3735" t="s">
        <v>35</v>
      </c>
      <c r="AL3735" t="s">
        <v>638</v>
      </c>
      <c r="AM3735">
        <v>1</v>
      </c>
      <c r="AN3735" s="2">
        <v>9781474441575</v>
      </c>
    </row>
    <row r="3736" spans="1:40" x14ac:dyDescent="0.3">
      <c r="A3736" t="s">
        <v>17600</v>
      </c>
      <c r="B3736" t="s">
        <v>1</v>
      </c>
      <c r="C3736" t="s">
        <v>17601</v>
      </c>
      <c r="E3736" t="s">
        <v>17602</v>
      </c>
      <c r="F3736" t="s">
        <v>5</v>
      </c>
      <c r="G3736" t="s">
        <v>6</v>
      </c>
      <c r="L3736" t="s">
        <v>7</v>
      </c>
      <c r="M3736">
        <v>2024</v>
      </c>
      <c r="N3736" s="1">
        <v>45328</v>
      </c>
      <c r="O3736" t="s">
        <v>17603</v>
      </c>
      <c r="P3736">
        <v>1</v>
      </c>
      <c r="Q3736" t="s">
        <v>13309</v>
      </c>
      <c r="S3736">
        <v>401.95</v>
      </c>
      <c r="T3736">
        <v>460</v>
      </c>
      <c r="U3736">
        <v>350</v>
      </c>
      <c r="V3736" t="s">
        <v>42</v>
      </c>
      <c r="W3736" t="s">
        <v>290</v>
      </c>
      <c r="X3736" t="s">
        <v>290</v>
      </c>
      <c r="Y3736" t="s">
        <v>515</v>
      </c>
      <c r="AF3736" t="s">
        <v>13</v>
      </c>
      <c r="AH3736" t="str">
        <f>HYPERLINK("http://www.degruyter.com/isbn/9781399500357")</f>
        <v>http://www.degruyter.com/isbn/9781399500357</v>
      </c>
      <c r="AI3736" t="s">
        <v>17450</v>
      </c>
      <c r="AL3736" t="s">
        <v>638</v>
      </c>
      <c r="AM3736">
        <v>1</v>
      </c>
      <c r="AN3736" s="2">
        <v>9781399500340</v>
      </c>
    </row>
    <row r="3737" spans="1:40" x14ac:dyDescent="0.3">
      <c r="A3737" t="s">
        <v>17604</v>
      </c>
      <c r="B3737" t="s">
        <v>1</v>
      </c>
      <c r="C3737" t="s">
        <v>17605</v>
      </c>
      <c r="E3737" t="s">
        <v>17606</v>
      </c>
      <c r="F3737" t="s">
        <v>5</v>
      </c>
      <c r="G3737" t="s">
        <v>6</v>
      </c>
      <c r="L3737" t="s">
        <v>7</v>
      </c>
      <c r="M3737">
        <v>2023</v>
      </c>
      <c r="N3737" s="1">
        <v>45169</v>
      </c>
      <c r="O3737" t="s">
        <v>17607</v>
      </c>
      <c r="P3737">
        <v>1</v>
      </c>
      <c r="S3737">
        <v>209.95</v>
      </c>
      <c r="T3737">
        <v>240</v>
      </c>
      <c r="U3737">
        <v>180</v>
      </c>
      <c r="V3737" t="s">
        <v>79</v>
      </c>
      <c r="W3737" t="s">
        <v>734</v>
      </c>
      <c r="X3737" t="s">
        <v>734</v>
      </c>
      <c r="Y3737" t="s">
        <v>735</v>
      </c>
      <c r="AF3737" t="s">
        <v>13</v>
      </c>
      <c r="AH3737" t="str">
        <f>HYPERLINK("http://www.degruyter.com/isbn/9781399510561")</f>
        <v>http://www.degruyter.com/isbn/9781399510561</v>
      </c>
      <c r="AI3737" t="s">
        <v>16146</v>
      </c>
      <c r="AL3737" t="s">
        <v>638</v>
      </c>
      <c r="AM3737">
        <v>1</v>
      </c>
      <c r="AN3737" s="2"/>
    </row>
    <row r="3738" spans="1:40" x14ac:dyDescent="0.3">
      <c r="A3738" t="s">
        <v>17608</v>
      </c>
      <c r="B3738" t="s">
        <v>1</v>
      </c>
      <c r="C3738" t="s">
        <v>17609</v>
      </c>
      <c r="D3738" t="s">
        <v>17610</v>
      </c>
      <c r="E3738" t="s">
        <v>17611</v>
      </c>
      <c r="F3738" t="s">
        <v>5</v>
      </c>
      <c r="G3738" t="s">
        <v>6</v>
      </c>
      <c r="L3738" t="s">
        <v>7</v>
      </c>
      <c r="M3738">
        <v>2024</v>
      </c>
      <c r="N3738" s="1">
        <v>45328</v>
      </c>
      <c r="O3738" t="s">
        <v>17612</v>
      </c>
      <c r="P3738">
        <v>1</v>
      </c>
      <c r="S3738">
        <v>191.95</v>
      </c>
      <c r="T3738">
        <v>220</v>
      </c>
      <c r="U3738">
        <v>170</v>
      </c>
      <c r="V3738" t="s">
        <v>9</v>
      </c>
      <c r="W3738" t="s">
        <v>10</v>
      </c>
      <c r="X3738" t="s">
        <v>11</v>
      </c>
      <c r="Y3738" t="s">
        <v>12</v>
      </c>
      <c r="AF3738" t="s">
        <v>13</v>
      </c>
      <c r="AH3738" t="str">
        <f>HYPERLINK("http://www.degruyter.com/isbn/9781474486439")</f>
        <v>http://www.degruyter.com/isbn/9781474486439</v>
      </c>
      <c r="AI3738" t="s">
        <v>17506</v>
      </c>
      <c r="AL3738" t="s">
        <v>638</v>
      </c>
      <c r="AM3738">
        <v>1</v>
      </c>
      <c r="AN3738" s="2">
        <v>9781474486415</v>
      </c>
    </row>
    <row r="3739" spans="1:40" x14ac:dyDescent="0.3">
      <c r="A3739" t="s">
        <v>17613</v>
      </c>
      <c r="B3739" t="s">
        <v>1</v>
      </c>
      <c r="C3739" t="s">
        <v>17614</v>
      </c>
      <c r="D3739" t="s">
        <v>17615</v>
      </c>
      <c r="E3739" t="s">
        <v>17616</v>
      </c>
      <c r="F3739" t="s">
        <v>5</v>
      </c>
      <c r="G3739" t="s">
        <v>6</v>
      </c>
      <c r="L3739" t="s">
        <v>7</v>
      </c>
      <c r="M3739">
        <v>2023</v>
      </c>
      <c r="N3739" s="1">
        <v>44934</v>
      </c>
      <c r="O3739" t="s">
        <v>9235</v>
      </c>
      <c r="P3739">
        <v>1</v>
      </c>
      <c r="S3739">
        <v>209.95</v>
      </c>
      <c r="T3739">
        <v>240</v>
      </c>
      <c r="U3739">
        <v>180</v>
      </c>
      <c r="V3739" t="s">
        <v>42</v>
      </c>
      <c r="W3739" t="s">
        <v>107</v>
      </c>
      <c r="X3739" t="s">
        <v>108</v>
      </c>
      <c r="Y3739" t="s">
        <v>109</v>
      </c>
      <c r="AF3739" t="s">
        <v>13</v>
      </c>
      <c r="AH3739" t="str">
        <f>HYPERLINK("http://www.degruyter.com/isbn/9781399524506")</f>
        <v>http://www.degruyter.com/isbn/9781399524506</v>
      </c>
      <c r="AI3739" t="s">
        <v>15732</v>
      </c>
      <c r="AL3739" t="s">
        <v>638</v>
      </c>
      <c r="AM3739">
        <v>1</v>
      </c>
      <c r="AN3739" s="2">
        <v>9781399524483</v>
      </c>
    </row>
    <row r="3740" spans="1:40" x14ac:dyDescent="0.3">
      <c r="A3740" t="s">
        <v>17617</v>
      </c>
      <c r="B3740" t="s">
        <v>1</v>
      </c>
      <c r="C3740" t="s">
        <v>17618</v>
      </c>
      <c r="D3740" t="s">
        <v>17619</v>
      </c>
      <c r="E3740" t="s">
        <v>17620</v>
      </c>
      <c r="F3740" t="s">
        <v>5</v>
      </c>
      <c r="G3740" t="s">
        <v>6</v>
      </c>
      <c r="L3740" t="s">
        <v>7</v>
      </c>
      <c r="M3740">
        <v>2024</v>
      </c>
      <c r="N3740" s="1">
        <v>45356</v>
      </c>
      <c r="O3740" t="s">
        <v>17621</v>
      </c>
      <c r="P3740">
        <v>1</v>
      </c>
      <c r="Q3740" t="s">
        <v>7174</v>
      </c>
      <c r="S3740">
        <v>191.95</v>
      </c>
      <c r="T3740">
        <v>220</v>
      </c>
      <c r="U3740">
        <v>170</v>
      </c>
      <c r="V3740" t="s">
        <v>79</v>
      </c>
      <c r="W3740" t="s">
        <v>4974</v>
      </c>
      <c r="X3740" t="s">
        <v>1449</v>
      </c>
      <c r="Y3740" t="s">
        <v>235</v>
      </c>
      <c r="AF3740" t="s">
        <v>13</v>
      </c>
      <c r="AH3740" t="str">
        <f>HYPERLINK("http://www.degruyter.com/isbn/9781474410748")</f>
        <v>http://www.degruyter.com/isbn/9781474410748</v>
      </c>
      <c r="AL3740" t="s">
        <v>638</v>
      </c>
      <c r="AM3740">
        <v>1</v>
      </c>
      <c r="AN3740" s="2">
        <v>9781474410731</v>
      </c>
    </row>
    <row r="3741" spans="1:40" x14ac:dyDescent="0.3">
      <c r="A3741" t="s">
        <v>17622</v>
      </c>
      <c r="B3741" t="s">
        <v>1</v>
      </c>
      <c r="C3741" t="s">
        <v>17623</v>
      </c>
      <c r="E3741" t="s">
        <v>17624</v>
      </c>
      <c r="F3741" t="s">
        <v>5</v>
      </c>
      <c r="G3741" t="s">
        <v>6</v>
      </c>
      <c r="L3741" t="s">
        <v>7</v>
      </c>
      <c r="M3741">
        <v>2024</v>
      </c>
      <c r="N3741" s="1">
        <v>45356</v>
      </c>
      <c r="O3741" t="s">
        <v>17625</v>
      </c>
      <c r="P3741">
        <v>1</v>
      </c>
      <c r="Q3741" t="s">
        <v>14970</v>
      </c>
      <c r="S3741">
        <v>209.95</v>
      </c>
      <c r="T3741">
        <v>240</v>
      </c>
      <c r="U3741">
        <v>180</v>
      </c>
      <c r="V3741" t="s">
        <v>58</v>
      </c>
      <c r="W3741" t="s">
        <v>59</v>
      </c>
      <c r="X3741" t="s">
        <v>60</v>
      </c>
      <c r="Y3741" t="s">
        <v>169</v>
      </c>
      <c r="AF3741" t="s">
        <v>13</v>
      </c>
      <c r="AH3741" t="str">
        <f>HYPERLINK("http://www.degruyter.com/isbn/9781399527828")</f>
        <v>http://www.degruyter.com/isbn/9781399527828</v>
      </c>
      <c r="AI3741" t="s">
        <v>17556</v>
      </c>
      <c r="AL3741" t="s">
        <v>638</v>
      </c>
      <c r="AM3741">
        <v>1</v>
      </c>
      <c r="AN3741" s="2">
        <v>9781399527804</v>
      </c>
    </row>
    <row r="3742" spans="1:40" x14ac:dyDescent="0.3">
      <c r="A3742" t="s">
        <v>17626</v>
      </c>
      <c r="B3742" t="s">
        <v>1</v>
      </c>
      <c r="C3742" t="s">
        <v>17627</v>
      </c>
      <c r="E3742" t="s">
        <v>17628</v>
      </c>
      <c r="F3742" t="s">
        <v>5</v>
      </c>
      <c r="G3742" t="s">
        <v>6</v>
      </c>
      <c r="L3742" t="s">
        <v>7</v>
      </c>
      <c r="M3742">
        <v>2024</v>
      </c>
      <c r="N3742" s="1">
        <v>45328</v>
      </c>
      <c r="O3742" t="s">
        <v>17629</v>
      </c>
      <c r="P3742">
        <v>1</v>
      </c>
      <c r="Q3742" t="s">
        <v>7019</v>
      </c>
      <c r="S3742">
        <v>191.95</v>
      </c>
      <c r="T3742">
        <v>220</v>
      </c>
      <c r="U3742">
        <v>170</v>
      </c>
      <c r="V3742" t="s">
        <v>42</v>
      </c>
      <c r="W3742" t="s">
        <v>290</v>
      </c>
      <c r="X3742" t="s">
        <v>290</v>
      </c>
      <c r="Y3742" t="s">
        <v>515</v>
      </c>
      <c r="AF3742" t="s">
        <v>13</v>
      </c>
      <c r="AH3742" t="str">
        <f>HYPERLINK("http://www.degruyter.com/isbn/9781399507646")</f>
        <v>http://www.degruyter.com/isbn/9781399507646</v>
      </c>
      <c r="AI3742" t="s">
        <v>17450</v>
      </c>
      <c r="AL3742" t="s">
        <v>638</v>
      </c>
      <c r="AM3742">
        <v>1</v>
      </c>
      <c r="AN3742" s="2">
        <v>9781399507622</v>
      </c>
    </row>
    <row r="3743" spans="1:40" x14ac:dyDescent="0.3">
      <c r="A3743" t="s">
        <v>17630</v>
      </c>
      <c r="B3743" t="s">
        <v>1</v>
      </c>
      <c r="C3743" t="s">
        <v>17631</v>
      </c>
      <c r="D3743" t="s">
        <v>17632</v>
      </c>
      <c r="E3743" t="s">
        <v>17633</v>
      </c>
      <c r="F3743" t="s">
        <v>5</v>
      </c>
      <c r="G3743" t="s">
        <v>6</v>
      </c>
      <c r="L3743" t="s">
        <v>7</v>
      </c>
      <c r="M3743">
        <v>2024</v>
      </c>
      <c r="N3743" s="1">
        <v>45328</v>
      </c>
      <c r="O3743" t="s">
        <v>17634</v>
      </c>
      <c r="P3743">
        <v>1</v>
      </c>
      <c r="S3743">
        <v>217.95</v>
      </c>
      <c r="T3743">
        <v>250</v>
      </c>
      <c r="U3743">
        <v>190</v>
      </c>
      <c r="V3743" t="s">
        <v>98</v>
      </c>
      <c r="W3743" t="s">
        <v>99</v>
      </c>
      <c r="X3743" t="s">
        <v>2010</v>
      </c>
      <c r="Y3743" t="s">
        <v>2011</v>
      </c>
      <c r="AF3743" t="s">
        <v>13</v>
      </c>
      <c r="AH3743" t="str">
        <f>HYPERLINK("http://www.degruyter.com/isbn/9781474478373")</f>
        <v>http://www.degruyter.com/isbn/9781474478373</v>
      </c>
      <c r="AI3743" t="s">
        <v>17570</v>
      </c>
      <c r="AL3743" t="s">
        <v>638</v>
      </c>
      <c r="AM3743">
        <v>1</v>
      </c>
      <c r="AN3743" s="2">
        <v>9781474478359</v>
      </c>
    </row>
    <row r="3744" spans="1:40" x14ac:dyDescent="0.3">
      <c r="A3744" t="s">
        <v>17635</v>
      </c>
      <c r="B3744" t="s">
        <v>1</v>
      </c>
      <c r="C3744" t="s">
        <v>17636</v>
      </c>
      <c r="D3744" t="s">
        <v>17637</v>
      </c>
      <c r="E3744" t="s">
        <v>17638</v>
      </c>
      <c r="F3744" t="s">
        <v>5</v>
      </c>
      <c r="G3744" t="s">
        <v>6</v>
      </c>
      <c r="L3744" t="s">
        <v>7</v>
      </c>
      <c r="M3744">
        <v>2023</v>
      </c>
      <c r="N3744" s="1">
        <v>44934</v>
      </c>
      <c r="O3744" t="s">
        <v>17639</v>
      </c>
      <c r="P3744">
        <v>1</v>
      </c>
      <c r="Q3744" t="s">
        <v>8607</v>
      </c>
      <c r="S3744">
        <v>209.95</v>
      </c>
      <c r="T3744">
        <v>240</v>
      </c>
      <c r="U3744">
        <v>180</v>
      </c>
      <c r="V3744" t="s">
        <v>42</v>
      </c>
      <c r="W3744" t="s">
        <v>116</v>
      </c>
      <c r="X3744" t="s">
        <v>116</v>
      </c>
      <c r="Y3744" t="s">
        <v>2796</v>
      </c>
      <c r="AF3744" t="s">
        <v>13</v>
      </c>
      <c r="AH3744" t="str">
        <f>HYPERLINK("http://www.degruyter.com/isbn/9781399514507")</f>
        <v>http://www.degruyter.com/isbn/9781399514507</v>
      </c>
      <c r="AI3744" t="s">
        <v>15732</v>
      </c>
      <c r="AL3744" t="s">
        <v>638</v>
      </c>
      <c r="AM3744">
        <v>1</v>
      </c>
      <c r="AN3744" s="2">
        <v>9781399514484</v>
      </c>
    </row>
    <row r="3745" spans="1:40" x14ac:dyDescent="0.3">
      <c r="A3745" t="s">
        <v>17640</v>
      </c>
      <c r="B3745" t="s">
        <v>1</v>
      </c>
      <c r="C3745" t="s">
        <v>17641</v>
      </c>
      <c r="D3745" t="s">
        <v>17642</v>
      </c>
      <c r="E3745" t="s">
        <v>17643</v>
      </c>
      <c r="F3745" t="s">
        <v>5</v>
      </c>
      <c r="G3745" t="s">
        <v>6</v>
      </c>
      <c r="L3745" t="s">
        <v>7</v>
      </c>
      <c r="M3745">
        <v>2024</v>
      </c>
      <c r="N3745" s="1">
        <v>45356</v>
      </c>
      <c r="O3745" t="s">
        <v>17621</v>
      </c>
      <c r="P3745">
        <v>1</v>
      </c>
      <c r="Q3745" t="s">
        <v>7174</v>
      </c>
      <c r="S3745">
        <v>191.95</v>
      </c>
      <c r="T3745">
        <v>220</v>
      </c>
      <c r="U3745">
        <v>170</v>
      </c>
      <c r="V3745" t="s">
        <v>79</v>
      </c>
      <c r="W3745" t="s">
        <v>4974</v>
      </c>
      <c r="X3745" t="s">
        <v>1449</v>
      </c>
      <c r="Y3745" t="s">
        <v>235</v>
      </c>
      <c r="AF3745" t="s">
        <v>13</v>
      </c>
      <c r="AH3745" t="str">
        <f>HYPERLINK("http://www.degruyter.com/isbn/9781474410717")</f>
        <v>http://www.degruyter.com/isbn/9781474410717</v>
      </c>
      <c r="AL3745" t="s">
        <v>638</v>
      </c>
      <c r="AM3745">
        <v>1</v>
      </c>
      <c r="AN3745" s="2">
        <v>9781474410700</v>
      </c>
    </row>
    <row r="3746" spans="1:40" x14ac:dyDescent="0.3">
      <c r="A3746" t="s">
        <v>17644</v>
      </c>
      <c r="B3746" t="s">
        <v>1</v>
      </c>
      <c r="C3746" t="s">
        <v>17645</v>
      </c>
      <c r="D3746" t="s">
        <v>17646</v>
      </c>
      <c r="E3746" t="s">
        <v>17647</v>
      </c>
      <c r="F3746" t="s">
        <v>5</v>
      </c>
      <c r="G3746" t="s">
        <v>6</v>
      </c>
      <c r="L3746" t="s">
        <v>7</v>
      </c>
      <c r="M3746">
        <v>2023</v>
      </c>
      <c r="N3746" s="1">
        <v>44934</v>
      </c>
      <c r="O3746" t="s">
        <v>17648</v>
      </c>
      <c r="P3746">
        <v>1</v>
      </c>
      <c r="Q3746" t="s">
        <v>6539</v>
      </c>
      <c r="S3746">
        <v>217.95</v>
      </c>
      <c r="T3746">
        <v>250</v>
      </c>
      <c r="U3746">
        <v>190</v>
      </c>
      <c r="V3746" t="s">
        <v>847</v>
      </c>
      <c r="W3746" t="s">
        <v>848</v>
      </c>
      <c r="X3746" t="s">
        <v>1068</v>
      </c>
      <c r="Y3746" t="s">
        <v>1069</v>
      </c>
      <c r="AF3746" t="s">
        <v>13</v>
      </c>
      <c r="AH3746" t="str">
        <f>HYPERLINK("http://www.degruyter.com/isbn/9781399508506")</f>
        <v>http://www.degruyter.com/isbn/9781399508506</v>
      </c>
      <c r="AI3746" t="s">
        <v>16140</v>
      </c>
      <c r="AL3746" t="s">
        <v>638</v>
      </c>
      <c r="AM3746">
        <v>1</v>
      </c>
      <c r="AN3746" s="2">
        <v>9781399508483</v>
      </c>
    </row>
    <row r="3747" spans="1:40" x14ac:dyDescent="0.3">
      <c r="A3747" t="s">
        <v>17649</v>
      </c>
      <c r="B3747" t="s">
        <v>1</v>
      </c>
      <c r="C3747" t="s">
        <v>17650</v>
      </c>
      <c r="E3747" t="s">
        <v>17651</v>
      </c>
      <c r="F3747" t="s">
        <v>5</v>
      </c>
      <c r="G3747" t="s">
        <v>6</v>
      </c>
      <c r="L3747" t="s">
        <v>7</v>
      </c>
      <c r="M3747">
        <v>2024</v>
      </c>
      <c r="N3747" s="1">
        <v>45382</v>
      </c>
      <c r="O3747" t="s">
        <v>17652</v>
      </c>
      <c r="P3747">
        <v>1</v>
      </c>
      <c r="Q3747" t="s">
        <v>14964</v>
      </c>
      <c r="S3747">
        <v>401.95</v>
      </c>
      <c r="T3747">
        <v>460</v>
      </c>
      <c r="U3747">
        <v>350</v>
      </c>
      <c r="V3747" t="s">
        <v>42</v>
      </c>
      <c r="W3747" t="s">
        <v>107</v>
      </c>
      <c r="X3747" t="s">
        <v>108</v>
      </c>
      <c r="Y3747" t="s">
        <v>952</v>
      </c>
      <c r="AF3747" t="s">
        <v>13</v>
      </c>
      <c r="AH3747" t="str">
        <f>HYPERLINK("http://www.degruyter.com/isbn/9781399529419")</f>
        <v>http://www.degruyter.com/isbn/9781399529419</v>
      </c>
      <c r="AI3747" t="s">
        <v>17450</v>
      </c>
      <c r="AL3747" t="s">
        <v>638</v>
      </c>
      <c r="AM3747">
        <v>1</v>
      </c>
      <c r="AN3747" s="2">
        <v>9781399529402</v>
      </c>
    </row>
    <row r="3748" spans="1:40" x14ac:dyDescent="0.3">
      <c r="A3748" t="s">
        <v>17653</v>
      </c>
      <c r="B3748" t="s">
        <v>1</v>
      </c>
      <c r="C3748" t="s">
        <v>17654</v>
      </c>
      <c r="E3748" t="s">
        <v>17655</v>
      </c>
      <c r="F3748" t="s">
        <v>5</v>
      </c>
      <c r="G3748" t="s">
        <v>6</v>
      </c>
      <c r="H3748" t="s">
        <v>16123</v>
      </c>
      <c r="L3748" t="s">
        <v>7</v>
      </c>
      <c r="M3748">
        <v>2023</v>
      </c>
      <c r="N3748" s="1">
        <v>44934</v>
      </c>
      <c r="O3748" t="s">
        <v>17656</v>
      </c>
      <c r="P3748">
        <v>1</v>
      </c>
      <c r="Q3748" t="s">
        <v>7738</v>
      </c>
      <c r="S3748">
        <v>209.95</v>
      </c>
      <c r="T3748">
        <v>240</v>
      </c>
      <c r="U3748">
        <v>180</v>
      </c>
      <c r="V3748" t="s">
        <v>98</v>
      </c>
      <c r="W3748" t="s">
        <v>99</v>
      </c>
      <c r="X3748" t="s">
        <v>2010</v>
      </c>
      <c r="Y3748" t="s">
        <v>2011</v>
      </c>
      <c r="AF3748" t="s">
        <v>13</v>
      </c>
      <c r="AH3748" t="str">
        <f>HYPERLINK("http://www.degruyter.com/isbn/9781399507769")</f>
        <v>http://www.degruyter.com/isbn/9781399507769</v>
      </c>
      <c r="AI3748" t="s">
        <v>15806</v>
      </c>
      <c r="AL3748" t="s">
        <v>16129</v>
      </c>
      <c r="AM3748">
        <v>1</v>
      </c>
      <c r="AN3748" s="2">
        <v>9781399507745</v>
      </c>
    </row>
    <row r="3749" spans="1:40" x14ac:dyDescent="0.3">
      <c r="A3749" t="s">
        <v>17657</v>
      </c>
      <c r="B3749" t="s">
        <v>1</v>
      </c>
      <c r="C3749" t="s">
        <v>17658</v>
      </c>
      <c r="E3749" t="s">
        <v>17659</v>
      </c>
      <c r="F3749" t="s">
        <v>5</v>
      </c>
      <c r="G3749" t="s">
        <v>6</v>
      </c>
      <c r="H3749" t="s">
        <v>16123</v>
      </c>
      <c r="L3749" t="s">
        <v>7</v>
      </c>
      <c r="M3749">
        <v>2023</v>
      </c>
      <c r="N3749" s="1">
        <v>44934</v>
      </c>
      <c r="O3749" t="s">
        <v>17660</v>
      </c>
      <c r="P3749">
        <v>1</v>
      </c>
      <c r="Q3749" t="s">
        <v>10773</v>
      </c>
      <c r="S3749">
        <v>209.95</v>
      </c>
      <c r="T3749">
        <v>240</v>
      </c>
      <c r="U3749">
        <v>180</v>
      </c>
      <c r="V3749" t="s">
        <v>268</v>
      </c>
      <c r="W3749" t="s">
        <v>963</v>
      </c>
      <c r="X3749" t="s">
        <v>964</v>
      </c>
      <c r="Y3749" t="s">
        <v>965</v>
      </c>
      <c r="AF3749" t="s">
        <v>13</v>
      </c>
      <c r="AH3749" t="str">
        <f>HYPERLINK("http://www.degruyter.com/isbn/9781399519830")</f>
        <v>http://www.degruyter.com/isbn/9781399519830</v>
      </c>
      <c r="AI3749" t="s">
        <v>17516</v>
      </c>
      <c r="AL3749" t="s">
        <v>16129</v>
      </c>
      <c r="AM3749">
        <v>1</v>
      </c>
      <c r="AN3749" s="2">
        <v>9781399519823</v>
      </c>
    </row>
    <row r="3750" spans="1:40" x14ac:dyDescent="0.3">
      <c r="A3750" t="s">
        <v>17661</v>
      </c>
      <c r="B3750" t="s">
        <v>1</v>
      </c>
      <c r="C3750" t="s">
        <v>17662</v>
      </c>
      <c r="E3750" t="s">
        <v>17663</v>
      </c>
      <c r="F3750" t="s">
        <v>5</v>
      </c>
      <c r="G3750" t="s">
        <v>6</v>
      </c>
      <c r="L3750" t="s">
        <v>7</v>
      </c>
      <c r="M3750">
        <v>2024</v>
      </c>
      <c r="N3750" s="1">
        <v>45356</v>
      </c>
      <c r="O3750" t="s">
        <v>17664</v>
      </c>
      <c r="P3750">
        <v>1</v>
      </c>
      <c r="S3750">
        <v>191.95</v>
      </c>
      <c r="T3750">
        <v>220</v>
      </c>
      <c r="U3750">
        <v>170</v>
      </c>
      <c r="V3750" t="s">
        <v>9</v>
      </c>
      <c r="W3750" t="s">
        <v>10</v>
      </c>
      <c r="X3750" t="s">
        <v>11</v>
      </c>
      <c r="Y3750" t="s">
        <v>12</v>
      </c>
      <c r="AF3750" t="s">
        <v>13</v>
      </c>
      <c r="AH3750" t="str">
        <f>HYPERLINK("http://www.degruyter.com/isbn/9781399523691")</f>
        <v>http://www.degruyter.com/isbn/9781399523691</v>
      </c>
      <c r="AI3750" t="s">
        <v>17506</v>
      </c>
      <c r="AL3750" t="s">
        <v>638</v>
      </c>
      <c r="AM3750">
        <v>1</v>
      </c>
      <c r="AN3750" s="2">
        <v>9781399523677</v>
      </c>
    </row>
    <row r="3751" spans="1:40" x14ac:dyDescent="0.3">
      <c r="A3751" t="s">
        <v>17665</v>
      </c>
      <c r="B3751" t="s">
        <v>1</v>
      </c>
      <c r="C3751" t="s">
        <v>17666</v>
      </c>
      <c r="E3751" t="s">
        <v>17667</v>
      </c>
      <c r="F3751" t="s">
        <v>5</v>
      </c>
      <c r="G3751" t="s">
        <v>6</v>
      </c>
      <c r="L3751" t="s">
        <v>7</v>
      </c>
      <c r="M3751">
        <v>2024</v>
      </c>
      <c r="N3751" s="1">
        <v>45356</v>
      </c>
      <c r="O3751" t="s">
        <v>17668</v>
      </c>
      <c r="P3751">
        <v>1</v>
      </c>
      <c r="Q3751" t="s">
        <v>7810</v>
      </c>
      <c r="S3751">
        <v>191.95</v>
      </c>
      <c r="T3751">
        <v>220</v>
      </c>
      <c r="U3751">
        <v>170</v>
      </c>
      <c r="V3751" t="s">
        <v>79</v>
      </c>
      <c r="W3751" t="s">
        <v>16641</v>
      </c>
      <c r="X3751" t="s">
        <v>16642</v>
      </c>
      <c r="Y3751" t="s">
        <v>16643</v>
      </c>
      <c r="AF3751" t="s">
        <v>13</v>
      </c>
      <c r="AH3751" t="str">
        <f>HYPERLINK("http://www.degruyter.com/isbn/9781474455374")</f>
        <v>http://www.degruyter.com/isbn/9781474455374</v>
      </c>
      <c r="AI3751" t="s">
        <v>17444</v>
      </c>
      <c r="AL3751" t="s">
        <v>638</v>
      </c>
      <c r="AM3751">
        <v>1</v>
      </c>
      <c r="AN3751" s="2">
        <v>9781474455343</v>
      </c>
    </row>
    <row r="3752" spans="1:40" x14ac:dyDescent="0.3">
      <c r="A3752" t="s">
        <v>17669</v>
      </c>
      <c r="B3752" t="s">
        <v>1</v>
      </c>
      <c r="C3752" t="s">
        <v>17670</v>
      </c>
      <c r="E3752" t="s">
        <v>17671</v>
      </c>
      <c r="F3752" t="s">
        <v>5</v>
      </c>
      <c r="G3752" t="s">
        <v>6</v>
      </c>
      <c r="L3752" t="s">
        <v>7</v>
      </c>
      <c r="M3752">
        <v>2024</v>
      </c>
      <c r="N3752" s="1">
        <v>45328</v>
      </c>
      <c r="O3752" t="s">
        <v>17672</v>
      </c>
      <c r="P3752">
        <v>1</v>
      </c>
      <c r="Q3752" t="s">
        <v>13309</v>
      </c>
      <c r="S3752">
        <v>339.95</v>
      </c>
      <c r="T3752">
        <v>390</v>
      </c>
      <c r="U3752">
        <v>300</v>
      </c>
      <c r="V3752" t="s">
        <v>42</v>
      </c>
      <c r="W3752" t="s">
        <v>43</v>
      </c>
      <c r="X3752" t="s">
        <v>15623</v>
      </c>
      <c r="Y3752" t="s">
        <v>1515</v>
      </c>
      <c r="AF3752" t="s">
        <v>13</v>
      </c>
      <c r="AH3752" t="str">
        <f>HYPERLINK("http://www.degruyter.com/isbn/9781399502313")</f>
        <v>http://www.degruyter.com/isbn/9781399502313</v>
      </c>
      <c r="AI3752" t="s">
        <v>17556</v>
      </c>
      <c r="AL3752" t="s">
        <v>638</v>
      </c>
      <c r="AM3752">
        <v>1</v>
      </c>
      <c r="AN3752" s="2">
        <v>9781399502306</v>
      </c>
    </row>
    <row r="3753" spans="1:40" x14ac:dyDescent="0.3">
      <c r="A3753" t="s">
        <v>17673</v>
      </c>
      <c r="B3753" t="s">
        <v>1</v>
      </c>
      <c r="C3753" t="s">
        <v>17674</v>
      </c>
      <c r="D3753" t="s">
        <v>17675</v>
      </c>
      <c r="E3753" t="s">
        <v>17676</v>
      </c>
      <c r="F3753" t="s">
        <v>5</v>
      </c>
      <c r="G3753" t="s">
        <v>6</v>
      </c>
      <c r="L3753" t="s">
        <v>7</v>
      </c>
      <c r="M3753">
        <v>2023</v>
      </c>
      <c r="N3753" s="1">
        <v>44934</v>
      </c>
      <c r="O3753" t="s">
        <v>17677</v>
      </c>
      <c r="P3753">
        <v>1</v>
      </c>
      <c r="S3753">
        <v>209.95</v>
      </c>
      <c r="T3753">
        <v>240</v>
      </c>
      <c r="U3753">
        <v>180</v>
      </c>
      <c r="V3753" t="s">
        <v>42</v>
      </c>
      <c r="W3753" t="s">
        <v>116</v>
      </c>
      <c r="X3753" t="s">
        <v>116</v>
      </c>
      <c r="Y3753" t="s">
        <v>117</v>
      </c>
      <c r="AF3753" t="s">
        <v>13</v>
      </c>
      <c r="AH3753" t="str">
        <f>HYPERLINK("http://www.degruyter.com/isbn/9781399522946")</f>
        <v>http://www.degruyter.com/isbn/9781399522946</v>
      </c>
      <c r="AI3753" t="s">
        <v>15732</v>
      </c>
      <c r="AL3753" t="s">
        <v>638</v>
      </c>
      <c r="AM3753">
        <v>1</v>
      </c>
      <c r="AN3753" s="2">
        <v>9781399522922</v>
      </c>
    </row>
    <row r="3754" spans="1:40" x14ac:dyDescent="0.3">
      <c r="A3754" t="s">
        <v>17678</v>
      </c>
      <c r="B3754" t="s">
        <v>1</v>
      </c>
      <c r="C3754" t="s">
        <v>17679</v>
      </c>
      <c r="E3754" t="s">
        <v>17680</v>
      </c>
      <c r="F3754" t="s">
        <v>5</v>
      </c>
      <c r="G3754" t="s">
        <v>6</v>
      </c>
      <c r="L3754" t="s">
        <v>7</v>
      </c>
      <c r="M3754">
        <v>2024</v>
      </c>
      <c r="N3754" s="1">
        <v>45328</v>
      </c>
      <c r="O3754" t="s">
        <v>17681</v>
      </c>
      <c r="P3754">
        <v>1</v>
      </c>
      <c r="Q3754" t="s">
        <v>17682</v>
      </c>
      <c r="S3754">
        <v>191.95</v>
      </c>
      <c r="T3754">
        <v>220</v>
      </c>
      <c r="U3754">
        <v>170</v>
      </c>
      <c r="V3754" t="s">
        <v>9</v>
      </c>
      <c r="W3754" t="s">
        <v>10</v>
      </c>
      <c r="X3754" t="s">
        <v>11</v>
      </c>
      <c r="Y3754" t="s">
        <v>12</v>
      </c>
      <c r="AF3754" t="s">
        <v>13</v>
      </c>
      <c r="AH3754" t="str">
        <f>HYPERLINK("http://www.degruyter.com/isbn/9781399520973")</f>
        <v>http://www.degruyter.com/isbn/9781399520973</v>
      </c>
      <c r="AI3754" t="s">
        <v>17506</v>
      </c>
      <c r="AL3754" t="s">
        <v>638</v>
      </c>
      <c r="AM3754">
        <v>1</v>
      </c>
      <c r="AN3754" s="2">
        <v>9781399520959</v>
      </c>
    </row>
    <row r="3755" spans="1:40" x14ac:dyDescent="0.3">
      <c r="A3755" t="s">
        <v>17683</v>
      </c>
      <c r="B3755" t="s">
        <v>1</v>
      </c>
      <c r="C3755" t="s">
        <v>17684</v>
      </c>
      <c r="E3755" t="s">
        <v>17685</v>
      </c>
      <c r="F3755" t="s">
        <v>5</v>
      </c>
      <c r="G3755" t="s">
        <v>6</v>
      </c>
      <c r="K3755" t="s">
        <v>17686</v>
      </c>
      <c r="L3755" t="s">
        <v>7</v>
      </c>
      <c r="M3755">
        <v>2024</v>
      </c>
      <c r="N3755" s="1">
        <v>45356</v>
      </c>
      <c r="O3755" t="s">
        <v>17687</v>
      </c>
      <c r="P3755">
        <v>1</v>
      </c>
      <c r="Q3755" t="s">
        <v>7086</v>
      </c>
      <c r="V3755" t="s">
        <v>42</v>
      </c>
      <c r="W3755" t="s">
        <v>12795</v>
      </c>
      <c r="X3755" t="s">
        <v>12795</v>
      </c>
      <c r="Y3755" t="s">
        <v>12796</v>
      </c>
      <c r="AF3755" t="s">
        <v>13</v>
      </c>
      <c r="AH3755" t="str">
        <f>HYPERLINK("http://www.degruyter.com/isbn/9781399525848")</f>
        <v>http://www.degruyter.com/isbn/9781399525848</v>
      </c>
      <c r="AI3755" t="s">
        <v>17450</v>
      </c>
      <c r="AL3755" t="s">
        <v>16129</v>
      </c>
      <c r="AM3755">
        <v>1</v>
      </c>
      <c r="AN3755" s="2">
        <v>9781399525824</v>
      </c>
    </row>
    <row r="3756" spans="1:40" x14ac:dyDescent="0.3">
      <c r="A3756" t="s">
        <v>17688</v>
      </c>
      <c r="B3756" t="s">
        <v>1</v>
      </c>
      <c r="C3756" t="s">
        <v>17689</v>
      </c>
      <c r="E3756" t="s">
        <v>17690</v>
      </c>
      <c r="F3756" t="s">
        <v>5</v>
      </c>
      <c r="G3756" t="s">
        <v>6</v>
      </c>
      <c r="K3756" t="s">
        <v>17442</v>
      </c>
      <c r="L3756" t="s">
        <v>7</v>
      </c>
      <c r="M3756">
        <v>2024</v>
      </c>
      <c r="N3756" s="1">
        <v>45443</v>
      </c>
      <c r="O3756" t="s">
        <v>17691</v>
      </c>
      <c r="P3756">
        <v>1</v>
      </c>
      <c r="Q3756" t="s">
        <v>17692</v>
      </c>
      <c r="V3756" t="s">
        <v>20</v>
      </c>
      <c r="W3756" t="s">
        <v>556</v>
      </c>
      <c r="X3756" t="s">
        <v>557</v>
      </c>
      <c r="Y3756" t="s">
        <v>558</v>
      </c>
      <c r="AF3756" t="s">
        <v>13</v>
      </c>
      <c r="AH3756" t="str">
        <f>HYPERLINK("http://www.degruyter.com/isbn/9781474457989")</f>
        <v>http://www.degruyter.com/isbn/9781474457989</v>
      </c>
      <c r="AI3756" t="s">
        <v>17576</v>
      </c>
      <c r="AL3756" t="s">
        <v>638</v>
      </c>
      <c r="AM3756">
        <v>1</v>
      </c>
      <c r="AN3756" s="2"/>
    </row>
    <row r="3757" spans="1:40" x14ac:dyDescent="0.3">
      <c r="A3757" t="s">
        <v>17693</v>
      </c>
      <c r="B3757" t="s">
        <v>1</v>
      </c>
      <c r="C3757" t="s">
        <v>17694</v>
      </c>
      <c r="D3757" t="s">
        <v>17695</v>
      </c>
      <c r="E3757" t="s">
        <v>17696</v>
      </c>
      <c r="F3757" t="s">
        <v>5</v>
      </c>
      <c r="G3757" t="s">
        <v>6</v>
      </c>
      <c r="L3757" t="s">
        <v>7</v>
      </c>
      <c r="M3757">
        <v>2024</v>
      </c>
      <c r="N3757" s="1">
        <v>45328</v>
      </c>
      <c r="O3757" t="s">
        <v>17697</v>
      </c>
      <c r="P3757">
        <v>1</v>
      </c>
      <c r="S3757">
        <v>209.95</v>
      </c>
      <c r="T3757">
        <v>240</v>
      </c>
      <c r="U3757">
        <v>180</v>
      </c>
      <c r="V3757" t="s">
        <v>58</v>
      </c>
      <c r="W3757" t="s">
        <v>59</v>
      </c>
      <c r="X3757" t="s">
        <v>60</v>
      </c>
      <c r="Y3757" t="s">
        <v>73</v>
      </c>
      <c r="AF3757" t="s">
        <v>13</v>
      </c>
      <c r="AH3757" t="str">
        <f>HYPERLINK("http://www.degruyter.com/isbn/9781399522182")</f>
        <v>http://www.degruyter.com/isbn/9781399522182</v>
      </c>
      <c r="AI3757" t="s">
        <v>17501</v>
      </c>
      <c r="AL3757" t="s">
        <v>638</v>
      </c>
      <c r="AM3757">
        <v>1</v>
      </c>
      <c r="AN3757" s="2">
        <v>9781399522168</v>
      </c>
    </row>
    <row r="3758" spans="1:40" x14ac:dyDescent="0.3">
      <c r="A3758" t="s">
        <v>17698</v>
      </c>
      <c r="B3758" t="s">
        <v>1</v>
      </c>
      <c r="C3758" t="s">
        <v>17699</v>
      </c>
      <c r="D3758" t="s">
        <v>17700</v>
      </c>
      <c r="E3758" t="s">
        <v>17701</v>
      </c>
      <c r="F3758" t="s">
        <v>5</v>
      </c>
      <c r="G3758" t="s">
        <v>6</v>
      </c>
      <c r="L3758" t="s">
        <v>7</v>
      </c>
      <c r="M3758">
        <v>2024</v>
      </c>
      <c r="N3758" s="1">
        <v>45328</v>
      </c>
      <c r="O3758" t="s">
        <v>17702</v>
      </c>
      <c r="P3758">
        <v>1</v>
      </c>
      <c r="Q3758" t="s">
        <v>8869</v>
      </c>
      <c r="S3758">
        <v>191.95</v>
      </c>
      <c r="T3758">
        <v>220</v>
      </c>
      <c r="U3758">
        <v>170</v>
      </c>
      <c r="V3758" t="s">
        <v>268</v>
      </c>
      <c r="W3758" t="s">
        <v>269</v>
      </c>
      <c r="X3758" t="s">
        <v>269</v>
      </c>
      <c r="Y3758" t="s">
        <v>360</v>
      </c>
      <c r="AF3758" t="s">
        <v>13</v>
      </c>
      <c r="AH3758" t="str">
        <f>HYPERLINK("http://www.degruyter.com/isbn/9781399513203")</f>
        <v>http://www.degruyter.com/isbn/9781399513203</v>
      </c>
      <c r="AI3758" t="s">
        <v>17703</v>
      </c>
      <c r="AL3758" t="s">
        <v>638</v>
      </c>
      <c r="AM3758">
        <v>1</v>
      </c>
      <c r="AN3758" s="2">
        <v>9781399513180</v>
      </c>
    </row>
    <row r="3759" spans="1:40" x14ac:dyDescent="0.3">
      <c r="A3759" t="s">
        <v>17704</v>
      </c>
      <c r="B3759" t="s">
        <v>1</v>
      </c>
      <c r="C3759" t="s">
        <v>17705</v>
      </c>
      <c r="D3759" t="s">
        <v>1240</v>
      </c>
      <c r="E3759" t="s">
        <v>17706</v>
      </c>
      <c r="F3759" t="s">
        <v>5</v>
      </c>
      <c r="G3759" t="s">
        <v>6</v>
      </c>
      <c r="L3759" t="s">
        <v>7</v>
      </c>
      <c r="M3759">
        <v>2024</v>
      </c>
      <c r="N3759" s="1">
        <v>45356</v>
      </c>
      <c r="O3759" t="s">
        <v>17707</v>
      </c>
      <c r="P3759">
        <v>1</v>
      </c>
      <c r="S3759">
        <v>217.95</v>
      </c>
      <c r="T3759">
        <v>250</v>
      </c>
      <c r="U3759">
        <v>190</v>
      </c>
      <c r="V3759" t="s">
        <v>305</v>
      </c>
      <c r="W3759" t="s">
        <v>2566</v>
      </c>
      <c r="X3759" t="s">
        <v>2567</v>
      </c>
      <c r="Y3759" t="s">
        <v>2568</v>
      </c>
      <c r="AF3759" t="s">
        <v>13</v>
      </c>
      <c r="AH3759" t="str">
        <f>HYPERLINK("http://www.degruyter.com/isbn/9781474435796")</f>
        <v>http://www.degruyter.com/isbn/9781474435796</v>
      </c>
      <c r="AI3759" t="s">
        <v>17506</v>
      </c>
      <c r="AL3759" t="s">
        <v>638</v>
      </c>
      <c r="AM3759">
        <v>1</v>
      </c>
      <c r="AN3759" s="2">
        <v>9781474435772</v>
      </c>
    </row>
    <row r="3760" spans="1:40" x14ac:dyDescent="0.3">
      <c r="A3760" t="s">
        <v>17708</v>
      </c>
      <c r="B3760" t="s">
        <v>1</v>
      </c>
      <c r="C3760" t="s">
        <v>17709</v>
      </c>
      <c r="E3760" t="s">
        <v>17710</v>
      </c>
      <c r="F3760" t="s">
        <v>5</v>
      </c>
      <c r="G3760" t="s">
        <v>6</v>
      </c>
      <c r="L3760" t="s">
        <v>7</v>
      </c>
      <c r="M3760">
        <v>2023</v>
      </c>
      <c r="N3760" s="1">
        <v>44934</v>
      </c>
      <c r="O3760" t="s">
        <v>17711</v>
      </c>
      <c r="P3760">
        <v>1</v>
      </c>
      <c r="S3760">
        <v>209.95</v>
      </c>
      <c r="T3760">
        <v>240</v>
      </c>
      <c r="U3760">
        <v>180</v>
      </c>
      <c r="V3760" t="s">
        <v>58</v>
      </c>
      <c r="W3760" t="s">
        <v>59</v>
      </c>
      <c r="X3760" t="s">
        <v>60</v>
      </c>
      <c r="Y3760" t="s">
        <v>349</v>
      </c>
      <c r="AF3760" t="s">
        <v>13</v>
      </c>
      <c r="AH3760" t="str">
        <f>HYPERLINK("http://www.degruyter.com/isbn/9781399501217")</f>
        <v>http://www.degruyter.com/isbn/9781399501217</v>
      </c>
      <c r="AI3760" t="s">
        <v>15918</v>
      </c>
      <c r="AL3760" t="s">
        <v>638</v>
      </c>
      <c r="AM3760">
        <v>1</v>
      </c>
      <c r="AN3760" s="2">
        <v>9781399501194</v>
      </c>
    </row>
    <row r="3761" spans="1:40" x14ac:dyDescent="0.3">
      <c r="A3761" t="s">
        <v>17712</v>
      </c>
      <c r="B3761" t="s">
        <v>1</v>
      </c>
      <c r="C3761" t="s">
        <v>17713</v>
      </c>
      <c r="D3761" t="s">
        <v>17714</v>
      </c>
      <c r="E3761" t="s">
        <v>17715</v>
      </c>
      <c r="F3761" t="s">
        <v>5</v>
      </c>
      <c r="G3761" t="s">
        <v>6</v>
      </c>
      <c r="L3761" t="s">
        <v>7</v>
      </c>
      <c r="M3761">
        <v>2024</v>
      </c>
      <c r="N3761" s="1">
        <v>45356</v>
      </c>
      <c r="O3761" t="s">
        <v>17716</v>
      </c>
      <c r="P3761">
        <v>1</v>
      </c>
      <c r="S3761">
        <v>191.95</v>
      </c>
      <c r="T3761">
        <v>220</v>
      </c>
      <c r="U3761">
        <v>170</v>
      </c>
      <c r="V3761" t="s">
        <v>20</v>
      </c>
      <c r="W3761" t="s">
        <v>21</v>
      </c>
      <c r="X3761" t="s">
        <v>839</v>
      </c>
      <c r="Y3761" t="s">
        <v>840</v>
      </c>
      <c r="AF3761" t="s">
        <v>13</v>
      </c>
      <c r="AH3761" t="str">
        <f>HYPERLINK("http://www.degruyter.com/isbn/9781399510134")</f>
        <v>http://www.degruyter.com/isbn/9781399510134</v>
      </c>
      <c r="AI3761" t="s">
        <v>17576</v>
      </c>
      <c r="AL3761" t="s">
        <v>638</v>
      </c>
      <c r="AM3761">
        <v>1</v>
      </c>
      <c r="AN3761" s="2">
        <v>9781399510103</v>
      </c>
    </row>
    <row r="3762" spans="1:40" x14ac:dyDescent="0.3">
      <c r="A3762" t="s">
        <v>17717</v>
      </c>
      <c r="B3762" t="s">
        <v>1</v>
      </c>
      <c r="C3762" t="s">
        <v>17718</v>
      </c>
      <c r="D3762" t="s">
        <v>17719</v>
      </c>
      <c r="E3762" t="s">
        <v>17720</v>
      </c>
      <c r="F3762" t="s">
        <v>5</v>
      </c>
      <c r="G3762" t="s">
        <v>6</v>
      </c>
      <c r="L3762" t="s">
        <v>7</v>
      </c>
      <c r="M3762">
        <v>2023</v>
      </c>
      <c r="N3762" s="1">
        <v>44934</v>
      </c>
      <c r="O3762" t="s">
        <v>17721</v>
      </c>
      <c r="P3762">
        <v>1</v>
      </c>
      <c r="Q3762" t="s">
        <v>8702</v>
      </c>
      <c r="S3762">
        <v>253.95</v>
      </c>
      <c r="T3762">
        <v>290</v>
      </c>
      <c r="U3762">
        <v>220</v>
      </c>
      <c r="V3762" t="s">
        <v>79</v>
      </c>
      <c r="W3762" t="s">
        <v>17722</v>
      </c>
      <c r="X3762" t="s">
        <v>17723</v>
      </c>
      <c r="Y3762" t="s">
        <v>17724</v>
      </c>
      <c r="AF3762" t="s">
        <v>13</v>
      </c>
      <c r="AH3762" t="str">
        <f>HYPERLINK("http://www.degruyter.com/isbn/9781474478502")</f>
        <v>http://www.degruyter.com/isbn/9781474478502</v>
      </c>
      <c r="AI3762" t="s">
        <v>16146</v>
      </c>
      <c r="AL3762" t="s">
        <v>638</v>
      </c>
      <c r="AM3762">
        <v>1</v>
      </c>
      <c r="AN3762" s="2">
        <v>9781474478472</v>
      </c>
    </row>
    <row r="3763" spans="1:40" x14ac:dyDescent="0.3">
      <c r="A3763" t="s">
        <v>17725</v>
      </c>
      <c r="B3763" t="s">
        <v>1</v>
      </c>
      <c r="C3763" t="s">
        <v>17726</v>
      </c>
      <c r="D3763" t="s">
        <v>17727</v>
      </c>
      <c r="E3763" t="s">
        <v>17728</v>
      </c>
      <c r="F3763" t="s">
        <v>5</v>
      </c>
      <c r="G3763" t="s">
        <v>6</v>
      </c>
      <c r="K3763" t="s">
        <v>17442</v>
      </c>
      <c r="L3763" t="s">
        <v>7</v>
      </c>
      <c r="M3763">
        <v>2023</v>
      </c>
      <c r="N3763" s="1">
        <v>44934</v>
      </c>
      <c r="O3763" t="s">
        <v>17729</v>
      </c>
      <c r="P3763">
        <v>1</v>
      </c>
      <c r="V3763" t="s">
        <v>79</v>
      </c>
      <c r="W3763" t="s">
        <v>227</v>
      </c>
      <c r="X3763" t="s">
        <v>3926</v>
      </c>
      <c r="Y3763" t="s">
        <v>699</v>
      </c>
      <c r="AF3763" t="s">
        <v>13</v>
      </c>
      <c r="AH3763" t="str">
        <f>HYPERLINK("http://www.degruyter.com/isbn/9781399502917")</f>
        <v>http://www.degruyter.com/isbn/9781399502917</v>
      </c>
      <c r="AI3763" t="s">
        <v>16146</v>
      </c>
      <c r="AL3763" t="s">
        <v>638</v>
      </c>
      <c r="AM3763">
        <v>1</v>
      </c>
      <c r="AN3763" s="2"/>
    </row>
    <row r="3764" spans="1:40" x14ac:dyDescent="0.3">
      <c r="A3764" t="s">
        <v>17730</v>
      </c>
      <c r="B3764" t="s">
        <v>1</v>
      </c>
      <c r="C3764" t="s">
        <v>17731</v>
      </c>
      <c r="D3764" t="s">
        <v>17732</v>
      </c>
      <c r="E3764" t="s">
        <v>17733</v>
      </c>
      <c r="F3764" t="s">
        <v>5</v>
      </c>
      <c r="G3764" t="s">
        <v>6</v>
      </c>
      <c r="L3764" t="s">
        <v>7</v>
      </c>
      <c r="M3764">
        <v>2024</v>
      </c>
      <c r="N3764" s="1">
        <v>45356</v>
      </c>
      <c r="O3764" t="s">
        <v>17734</v>
      </c>
      <c r="P3764">
        <v>1</v>
      </c>
      <c r="S3764">
        <v>217.95</v>
      </c>
      <c r="T3764">
        <v>250</v>
      </c>
      <c r="U3764">
        <v>190</v>
      </c>
      <c r="V3764" t="s">
        <v>329</v>
      </c>
      <c r="W3764" t="s">
        <v>330</v>
      </c>
      <c r="X3764" t="s">
        <v>12261</v>
      </c>
      <c r="Y3764" t="s">
        <v>12262</v>
      </c>
      <c r="AF3764" t="s">
        <v>13</v>
      </c>
      <c r="AH3764" t="str">
        <f>HYPERLINK("http://www.degruyter.com/isbn/9781399528542")</f>
        <v>http://www.degruyter.com/isbn/9781399528542</v>
      </c>
      <c r="AI3764" t="s">
        <v>17506</v>
      </c>
      <c r="AJ3764" t="s">
        <v>35</v>
      </c>
      <c r="AL3764" t="s">
        <v>638</v>
      </c>
      <c r="AM3764">
        <v>1</v>
      </c>
      <c r="AN3764" s="2">
        <v>9781399528528</v>
      </c>
    </row>
    <row r="3765" spans="1:40" x14ac:dyDescent="0.3">
      <c r="A3765" t="s">
        <v>17735</v>
      </c>
      <c r="B3765" t="s">
        <v>1</v>
      </c>
      <c r="C3765" t="s">
        <v>17736</v>
      </c>
      <c r="D3765" t="s">
        <v>17737</v>
      </c>
      <c r="E3765" t="s">
        <v>17738</v>
      </c>
      <c r="F3765" t="s">
        <v>5</v>
      </c>
      <c r="G3765" t="s">
        <v>6</v>
      </c>
      <c r="K3765" t="s">
        <v>17442</v>
      </c>
      <c r="L3765" t="s">
        <v>7</v>
      </c>
      <c r="M3765">
        <v>2024</v>
      </c>
      <c r="N3765" s="1">
        <v>45356</v>
      </c>
      <c r="O3765" t="s">
        <v>11470</v>
      </c>
      <c r="P3765">
        <v>1</v>
      </c>
      <c r="V3765" t="s">
        <v>79</v>
      </c>
      <c r="W3765" t="s">
        <v>16641</v>
      </c>
      <c r="X3765" t="s">
        <v>16642</v>
      </c>
      <c r="Y3765" t="s">
        <v>16643</v>
      </c>
      <c r="AF3765" t="s">
        <v>13</v>
      </c>
      <c r="AH3765" t="str">
        <f>HYPERLINK("http://www.degruyter.com/isbn/9781399529617")</f>
        <v>http://www.degruyter.com/isbn/9781399529617</v>
      </c>
      <c r="AI3765" t="s">
        <v>17444</v>
      </c>
      <c r="AL3765" t="s">
        <v>638</v>
      </c>
      <c r="AM3765">
        <v>1</v>
      </c>
      <c r="AN3765" s="2"/>
    </row>
    <row r="3766" spans="1:40" x14ac:dyDescent="0.3">
      <c r="A3766" t="s">
        <v>17739</v>
      </c>
      <c r="B3766" t="s">
        <v>1</v>
      </c>
      <c r="C3766" t="s">
        <v>17740</v>
      </c>
      <c r="D3766" t="s">
        <v>17741</v>
      </c>
      <c r="E3766" t="s">
        <v>17742</v>
      </c>
      <c r="F3766" t="s">
        <v>5</v>
      </c>
      <c r="G3766" t="s">
        <v>6</v>
      </c>
      <c r="L3766" t="s">
        <v>7</v>
      </c>
      <c r="M3766">
        <v>2024</v>
      </c>
      <c r="N3766" s="1">
        <v>45328</v>
      </c>
      <c r="O3766" t="s">
        <v>17743</v>
      </c>
      <c r="P3766">
        <v>1</v>
      </c>
      <c r="S3766">
        <v>191.95</v>
      </c>
      <c r="T3766">
        <v>220</v>
      </c>
      <c r="U3766">
        <v>170</v>
      </c>
      <c r="V3766" t="s">
        <v>9</v>
      </c>
      <c r="W3766" t="s">
        <v>10</v>
      </c>
      <c r="X3766" t="s">
        <v>11</v>
      </c>
      <c r="Y3766" t="s">
        <v>12</v>
      </c>
      <c r="AF3766" t="s">
        <v>13</v>
      </c>
      <c r="AH3766" t="str">
        <f>HYPERLINK("http://www.degruyter.com/isbn/9781474478298")</f>
        <v>http://www.degruyter.com/isbn/9781474478298</v>
      </c>
      <c r="AI3766" t="s">
        <v>17506</v>
      </c>
      <c r="AJ3766" t="s">
        <v>35</v>
      </c>
      <c r="AL3766" t="s">
        <v>638</v>
      </c>
      <c r="AM3766">
        <v>1</v>
      </c>
      <c r="AN3766" s="2">
        <v>9781474478274</v>
      </c>
    </row>
    <row r="3767" spans="1:40" x14ac:dyDescent="0.3">
      <c r="A3767" t="s">
        <v>17744</v>
      </c>
      <c r="B3767" t="s">
        <v>1</v>
      </c>
      <c r="C3767" t="s">
        <v>17745</v>
      </c>
      <c r="D3767" t="s">
        <v>17746</v>
      </c>
      <c r="E3767" t="s">
        <v>17747</v>
      </c>
      <c r="F3767" t="s">
        <v>5</v>
      </c>
      <c r="G3767" t="s">
        <v>6</v>
      </c>
      <c r="L3767" t="s">
        <v>7</v>
      </c>
      <c r="M3767">
        <v>2024</v>
      </c>
      <c r="N3767" s="1">
        <v>45328</v>
      </c>
      <c r="O3767" t="s">
        <v>17748</v>
      </c>
      <c r="P3767">
        <v>1</v>
      </c>
      <c r="Q3767" t="s">
        <v>15334</v>
      </c>
      <c r="S3767">
        <v>191.95</v>
      </c>
      <c r="T3767">
        <v>220</v>
      </c>
      <c r="U3767">
        <v>170</v>
      </c>
      <c r="V3767" t="s">
        <v>58</v>
      </c>
      <c r="W3767" t="s">
        <v>129</v>
      </c>
      <c r="X3767" t="s">
        <v>17749</v>
      </c>
      <c r="Y3767" t="s">
        <v>17750</v>
      </c>
      <c r="AF3767" t="s">
        <v>13</v>
      </c>
      <c r="AH3767" t="str">
        <f>HYPERLINK("http://www.degruyter.com/isbn/9781474453301")</f>
        <v>http://www.degruyter.com/isbn/9781474453301</v>
      </c>
      <c r="AI3767" t="s">
        <v>17556</v>
      </c>
      <c r="AL3767" t="s">
        <v>638</v>
      </c>
      <c r="AM3767">
        <v>1</v>
      </c>
      <c r="AN3767" s="2">
        <v>9781474453288</v>
      </c>
    </row>
    <row r="3768" spans="1:40" x14ac:dyDescent="0.3">
      <c r="A3768" t="s">
        <v>17751</v>
      </c>
      <c r="B3768" t="s">
        <v>1</v>
      </c>
      <c r="C3768" t="s">
        <v>17752</v>
      </c>
      <c r="D3768" t="s">
        <v>17753</v>
      </c>
      <c r="E3768" t="s">
        <v>17754</v>
      </c>
      <c r="F3768" t="s">
        <v>5</v>
      </c>
      <c r="G3768" t="s">
        <v>6</v>
      </c>
      <c r="L3768" t="s">
        <v>7</v>
      </c>
      <c r="M3768">
        <v>2023</v>
      </c>
      <c r="N3768" s="1">
        <v>45198</v>
      </c>
      <c r="O3768" t="s">
        <v>17755</v>
      </c>
      <c r="P3768">
        <v>1</v>
      </c>
      <c r="Q3768" t="s">
        <v>14065</v>
      </c>
      <c r="S3768">
        <v>217.95</v>
      </c>
      <c r="T3768">
        <v>250</v>
      </c>
      <c r="U3768">
        <v>190</v>
      </c>
      <c r="V3768" t="s">
        <v>42</v>
      </c>
      <c r="W3768" t="s">
        <v>107</v>
      </c>
      <c r="X3768" t="s">
        <v>108</v>
      </c>
      <c r="Y3768" t="s">
        <v>221</v>
      </c>
      <c r="AF3768" t="s">
        <v>13</v>
      </c>
      <c r="AH3768" t="str">
        <f>HYPERLINK("http://www.degruyter.com/isbn/9781399508018")</f>
        <v>http://www.degruyter.com/isbn/9781399508018</v>
      </c>
      <c r="AI3768" t="s">
        <v>15732</v>
      </c>
      <c r="AL3768" t="s">
        <v>638</v>
      </c>
      <c r="AM3768">
        <v>1</v>
      </c>
      <c r="AN3768" s="2">
        <v>9781399507998</v>
      </c>
    </row>
    <row r="3769" spans="1:40" x14ac:dyDescent="0.3">
      <c r="A3769" t="s">
        <v>17756</v>
      </c>
      <c r="B3769" t="s">
        <v>1</v>
      </c>
      <c r="C3769" t="s">
        <v>17757</v>
      </c>
      <c r="D3769" t="s">
        <v>17758</v>
      </c>
      <c r="E3769" t="s">
        <v>17759</v>
      </c>
      <c r="F3769" t="s">
        <v>5</v>
      </c>
      <c r="G3769" t="s">
        <v>6</v>
      </c>
      <c r="L3769" t="s">
        <v>7</v>
      </c>
      <c r="M3769">
        <v>2024</v>
      </c>
      <c r="N3769" s="1">
        <v>45264</v>
      </c>
      <c r="O3769" t="s">
        <v>3376</v>
      </c>
      <c r="P3769">
        <v>1</v>
      </c>
      <c r="S3769">
        <v>217.95</v>
      </c>
      <c r="T3769">
        <v>250</v>
      </c>
      <c r="U3769">
        <v>190</v>
      </c>
      <c r="V3769" t="s">
        <v>98</v>
      </c>
      <c r="W3769" t="s">
        <v>256</v>
      </c>
      <c r="X3769" t="s">
        <v>16478</v>
      </c>
      <c r="Y3769" t="s">
        <v>387</v>
      </c>
      <c r="AF3769" t="s">
        <v>13</v>
      </c>
      <c r="AH3769" t="str">
        <f>HYPERLINK("http://www.degruyter.com/isbn/9781474470032")</f>
        <v>http://www.degruyter.com/isbn/9781474470032</v>
      </c>
      <c r="AI3769" t="s">
        <v>17760</v>
      </c>
      <c r="AL3769" t="s">
        <v>638</v>
      </c>
      <c r="AM3769">
        <v>1</v>
      </c>
      <c r="AN3769" s="2">
        <v>9781474470018</v>
      </c>
    </row>
    <row r="3770" spans="1:40" x14ac:dyDescent="0.3">
      <c r="A3770" t="s">
        <v>17761</v>
      </c>
      <c r="B3770" t="s">
        <v>1</v>
      </c>
      <c r="C3770" t="s">
        <v>17762</v>
      </c>
      <c r="D3770" t="s">
        <v>17763</v>
      </c>
      <c r="E3770" t="s">
        <v>17764</v>
      </c>
      <c r="F3770" t="s">
        <v>5</v>
      </c>
      <c r="G3770" t="s">
        <v>6</v>
      </c>
      <c r="L3770" t="s">
        <v>7</v>
      </c>
      <c r="M3770">
        <v>2023</v>
      </c>
      <c r="N3770" s="1">
        <v>44934</v>
      </c>
      <c r="O3770" t="s">
        <v>17765</v>
      </c>
      <c r="P3770">
        <v>1</v>
      </c>
      <c r="Q3770" t="s">
        <v>15656</v>
      </c>
      <c r="S3770">
        <v>227.95</v>
      </c>
      <c r="T3770">
        <v>260</v>
      </c>
      <c r="U3770">
        <v>200</v>
      </c>
      <c r="V3770" t="s">
        <v>329</v>
      </c>
      <c r="W3770" t="s">
        <v>330</v>
      </c>
      <c r="X3770" t="s">
        <v>331</v>
      </c>
      <c r="Y3770" t="s">
        <v>4770</v>
      </c>
      <c r="AF3770" t="s">
        <v>13</v>
      </c>
      <c r="AH3770" t="str">
        <f>HYPERLINK("http://www.degruyter.com/isbn/9781399510097")</f>
        <v>http://www.degruyter.com/isbn/9781399510097</v>
      </c>
      <c r="AI3770" t="s">
        <v>15750</v>
      </c>
      <c r="AL3770" t="s">
        <v>638</v>
      </c>
      <c r="AM3770">
        <v>1</v>
      </c>
      <c r="AN3770" s="2">
        <v>9781399510066</v>
      </c>
    </row>
    <row r="3771" spans="1:40" x14ac:dyDescent="0.3">
      <c r="A3771" t="s">
        <v>17766</v>
      </c>
      <c r="B3771" t="s">
        <v>1</v>
      </c>
      <c r="C3771" t="s">
        <v>17767</v>
      </c>
      <c r="D3771" t="s">
        <v>17768</v>
      </c>
      <c r="E3771" t="s">
        <v>17769</v>
      </c>
      <c r="F3771" t="s">
        <v>5</v>
      </c>
      <c r="G3771" t="s">
        <v>6</v>
      </c>
      <c r="L3771" t="s">
        <v>7</v>
      </c>
      <c r="M3771">
        <v>2024</v>
      </c>
      <c r="N3771" s="1">
        <v>45328</v>
      </c>
      <c r="O3771" t="s">
        <v>17770</v>
      </c>
      <c r="P3771">
        <v>1</v>
      </c>
      <c r="Q3771" t="s">
        <v>13125</v>
      </c>
      <c r="S3771">
        <v>191.95</v>
      </c>
      <c r="T3771">
        <v>220</v>
      </c>
      <c r="U3771">
        <v>170</v>
      </c>
      <c r="V3771" t="s">
        <v>89</v>
      </c>
      <c r="W3771" t="s">
        <v>90</v>
      </c>
      <c r="X3771" t="s">
        <v>7511</v>
      </c>
      <c r="Y3771" t="s">
        <v>8787</v>
      </c>
      <c r="AF3771" t="s">
        <v>13</v>
      </c>
      <c r="AH3771" t="str">
        <f>HYPERLINK("http://www.degruyter.com/isbn/9781399506205")</f>
        <v>http://www.degruyter.com/isbn/9781399506205</v>
      </c>
      <c r="AI3771" t="s">
        <v>17511</v>
      </c>
      <c r="AL3771" t="s">
        <v>638</v>
      </c>
      <c r="AM3771">
        <v>1</v>
      </c>
      <c r="AN3771" s="2">
        <v>9781399506182</v>
      </c>
    </row>
    <row r="3772" spans="1:40" x14ac:dyDescent="0.3">
      <c r="A3772" t="s">
        <v>17771</v>
      </c>
      <c r="B3772" t="s">
        <v>1</v>
      </c>
      <c r="C3772" t="s">
        <v>17772</v>
      </c>
      <c r="D3772" t="s">
        <v>17773</v>
      </c>
      <c r="E3772" t="s">
        <v>17774</v>
      </c>
      <c r="F3772" t="s">
        <v>5</v>
      </c>
      <c r="G3772" t="s">
        <v>6</v>
      </c>
      <c r="K3772" t="s">
        <v>17442</v>
      </c>
      <c r="L3772" t="s">
        <v>7</v>
      </c>
      <c r="M3772">
        <v>2023</v>
      </c>
      <c r="N3772" s="1">
        <v>45198</v>
      </c>
      <c r="O3772" t="s">
        <v>17775</v>
      </c>
      <c r="P3772">
        <v>1</v>
      </c>
      <c r="V3772" t="s">
        <v>42</v>
      </c>
      <c r="W3772" t="s">
        <v>107</v>
      </c>
      <c r="X3772" t="s">
        <v>108</v>
      </c>
      <c r="Y3772" t="s">
        <v>2244</v>
      </c>
      <c r="AF3772" t="s">
        <v>13</v>
      </c>
      <c r="AH3772" t="str">
        <f>HYPERLINK("http://www.degruyter.com/isbn/9781399516662")</f>
        <v>http://www.degruyter.com/isbn/9781399516662</v>
      </c>
      <c r="AI3772" t="s">
        <v>15819</v>
      </c>
      <c r="AL3772" t="s">
        <v>638</v>
      </c>
      <c r="AM3772">
        <v>1</v>
      </c>
      <c r="AN3772" s="2"/>
    </row>
    <row r="3773" spans="1:40" x14ac:dyDescent="0.3">
      <c r="A3773" t="s">
        <v>17776</v>
      </c>
      <c r="B3773" t="s">
        <v>1</v>
      </c>
      <c r="C3773" t="s">
        <v>17777</v>
      </c>
      <c r="D3773" t="s">
        <v>17778</v>
      </c>
      <c r="E3773" t="s">
        <v>17779</v>
      </c>
      <c r="F3773" t="s">
        <v>5</v>
      </c>
      <c r="G3773" t="s">
        <v>6</v>
      </c>
      <c r="L3773" t="s">
        <v>7</v>
      </c>
      <c r="M3773">
        <v>2023</v>
      </c>
      <c r="N3773" s="1">
        <v>44934</v>
      </c>
      <c r="O3773" t="s">
        <v>17780</v>
      </c>
      <c r="P3773">
        <v>1</v>
      </c>
      <c r="Q3773" t="s">
        <v>15481</v>
      </c>
      <c r="S3773">
        <v>209.95</v>
      </c>
      <c r="T3773">
        <v>240</v>
      </c>
      <c r="U3773">
        <v>180</v>
      </c>
      <c r="V3773" t="s">
        <v>89</v>
      </c>
      <c r="W3773" t="s">
        <v>90</v>
      </c>
      <c r="X3773" t="s">
        <v>10925</v>
      </c>
      <c r="Y3773" t="s">
        <v>10926</v>
      </c>
      <c r="AF3773" t="s">
        <v>13</v>
      </c>
      <c r="AH3773" t="str">
        <f>HYPERLINK("http://www.degruyter.com/isbn/9781399522342")</f>
        <v>http://www.degruyter.com/isbn/9781399522342</v>
      </c>
      <c r="AI3773" t="s">
        <v>15750</v>
      </c>
      <c r="AL3773" t="s">
        <v>638</v>
      </c>
      <c r="AM3773">
        <v>1</v>
      </c>
      <c r="AN3773" s="2">
        <v>9781399522328</v>
      </c>
    </row>
    <row r="3774" spans="1:40" x14ac:dyDescent="0.3">
      <c r="A3774" t="s">
        <v>17781</v>
      </c>
      <c r="B3774" t="s">
        <v>1</v>
      </c>
      <c r="C3774" t="s">
        <v>17782</v>
      </c>
      <c r="E3774" t="s">
        <v>17783</v>
      </c>
      <c r="F3774" t="s">
        <v>5</v>
      </c>
      <c r="G3774" t="s">
        <v>6</v>
      </c>
      <c r="K3774" t="s">
        <v>17554</v>
      </c>
      <c r="L3774" t="s">
        <v>7</v>
      </c>
      <c r="M3774">
        <v>2024</v>
      </c>
      <c r="N3774" s="1">
        <v>45382</v>
      </c>
      <c r="O3774" t="s">
        <v>17691</v>
      </c>
      <c r="P3774">
        <v>1</v>
      </c>
      <c r="Q3774" t="s">
        <v>17692</v>
      </c>
      <c r="V3774" t="s">
        <v>20</v>
      </c>
      <c r="W3774" t="s">
        <v>556</v>
      </c>
      <c r="X3774" t="s">
        <v>557</v>
      </c>
      <c r="Y3774" t="s">
        <v>558</v>
      </c>
      <c r="AF3774" t="s">
        <v>13</v>
      </c>
      <c r="AH3774" t="str">
        <f>HYPERLINK("http://www.degruyter.com/isbn/9781474457941")</f>
        <v>http://www.degruyter.com/isbn/9781474457941</v>
      </c>
      <c r="AI3774" t="s">
        <v>17576</v>
      </c>
      <c r="AL3774" t="s">
        <v>638</v>
      </c>
      <c r="AM3774">
        <v>1</v>
      </c>
      <c r="AN3774" s="2"/>
    </row>
    <row r="3775" spans="1:40" x14ac:dyDescent="0.3">
      <c r="A3775" t="s">
        <v>17784</v>
      </c>
      <c r="B3775" t="s">
        <v>1</v>
      </c>
      <c r="C3775" t="s">
        <v>17785</v>
      </c>
      <c r="E3775" t="s">
        <v>17786</v>
      </c>
      <c r="F3775" t="s">
        <v>5</v>
      </c>
      <c r="G3775" t="s">
        <v>6</v>
      </c>
      <c r="L3775" t="s">
        <v>7</v>
      </c>
      <c r="M3775">
        <v>2024</v>
      </c>
      <c r="N3775" s="1">
        <v>45264</v>
      </c>
      <c r="O3775" t="s">
        <v>17787</v>
      </c>
      <c r="P3775">
        <v>1</v>
      </c>
      <c r="Q3775" t="s">
        <v>17788</v>
      </c>
      <c r="S3775">
        <v>217.95</v>
      </c>
      <c r="T3775">
        <v>250</v>
      </c>
      <c r="U3775">
        <v>190</v>
      </c>
      <c r="V3775" t="s">
        <v>98</v>
      </c>
      <c r="W3775" t="s">
        <v>2283</v>
      </c>
      <c r="X3775" t="s">
        <v>14497</v>
      </c>
      <c r="Y3775" t="s">
        <v>17226</v>
      </c>
      <c r="AF3775" t="s">
        <v>13</v>
      </c>
      <c r="AH3775" t="str">
        <f>HYPERLINK("http://www.degruyter.com/isbn/9781399523240")</f>
        <v>http://www.degruyter.com/isbn/9781399523240</v>
      </c>
      <c r="AI3775" t="s">
        <v>17760</v>
      </c>
      <c r="AL3775" t="s">
        <v>638</v>
      </c>
      <c r="AM3775">
        <v>1</v>
      </c>
      <c r="AN3775" s="2">
        <v>9781399523226</v>
      </c>
    </row>
    <row r="3776" spans="1:40" x14ac:dyDescent="0.3">
      <c r="A3776" t="s">
        <v>17789</v>
      </c>
      <c r="B3776" t="s">
        <v>1</v>
      </c>
      <c r="C3776" t="s">
        <v>17790</v>
      </c>
      <c r="D3776" t="s">
        <v>17791</v>
      </c>
      <c r="E3776" t="s">
        <v>17792</v>
      </c>
      <c r="F3776" t="s">
        <v>5</v>
      </c>
      <c r="G3776" t="s">
        <v>6</v>
      </c>
      <c r="L3776" t="s">
        <v>7</v>
      </c>
      <c r="M3776">
        <v>2023</v>
      </c>
      <c r="N3776" s="1">
        <v>45160</v>
      </c>
      <c r="O3776" t="s">
        <v>17793</v>
      </c>
      <c r="P3776">
        <v>1</v>
      </c>
      <c r="Q3776" t="s">
        <v>17794</v>
      </c>
      <c r="S3776">
        <v>217.95</v>
      </c>
      <c r="T3776">
        <v>250</v>
      </c>
      <c r="U3776">
        <v>190</v>
      </c>
      <c r="V3776" t="s">
        <v>305</v>
      </c>
      <c r="W3776" t="s">
        <v>650</v>
      </c>
      <c r="X3776" t="s">
        <v>650</v>
      </c>
      <c r="Y3776" t="s">
        <v>651</v>
      </c>
      <c r="AF3776" t="s">
        <v>13</v>
      </c>
      <c r="AH3776" t="str">
        <f>HYPERLINK("http://www.degruyter.com/isbn/9781474487504")</f>
        <v>http://www.degruyter.com/isbn/9781474487504</v>
      </c>
      <c r="AI3776" t="s">
        <v>15325</v>
      </c>
      <c r="AL3776" t="s">
        <v>638</v>
      </c>
      <c r="AM3776">
        <v>1</v>
      </c>
      <c r="AN3776" s="2">
        <v>9781474487481</v>
      </c>
    </row>
    <row r="3777" spans="1:40" x14ac:dyDescent="0.3">
      <c r="A3777" t="s">
        <v>17795</v>
      </c>
      <c r="B3777" t="s">
        <v>1</v>
      </c>
      <c r="C3777" t="s">
        <v>17796</v>
      </c>
      <c r="D3777" t="s">
        <v>17797</v>
      </c>
      <c r="E3777" t="s">
        <v>17798</v>
      </c>
      <c r="F3777" t="s">
        <v>5</v>
      </c>
      <c r="G3777" t="s">
        <v>6</v>
      </c>
      <c r="L3777" t="s">
        <v>7</v>
      </c>
      <c r="M3777">
        <v>2024</v>
      </c>
      <c r="N3777" s="1">
        <v>45356</v>
      </c>
      <c r="O3777" t="s">
        <v>17799</v>
      </c>
      <c r="P3777">
        <v>1</v>
      </c>
      <c r="Q3777" t="s">
        <v>17800</v>
      </c>
      <c r="S3777">
        <v>217.95</v>
      </c>
      <c r="T3777">
        <v>250</v>
      </c>
      <c r="U3777">
        <v>190</v>
      </c>
      <c r="V3777" t="s">
        <v>42</v>
      </c>
      <c r="W3777" t="s">
        <v>161</v>
      </c>
      <c r="X3777" t="s">
        <v>162</v>
      </c>
      <c r="Y3777" t="s">
        <v>957</v>
      </c>
      <c r="AF3777" t="s">
        <v>13</v>
      </c>
      <c r="AH3777" t="str">
        <f>HYPERLINK("http://www.degruyter.com/isbn/9781399526845")</f>
        <v>http://www.degruyter.com/isbn/9781399526845</v>
      </c>
      <c r="AI3777" t="s">
        <v>17450</v>
      </c>
      <c r="AL3777" t="s">
        <v>638</v>
      </c>
      <c r="AM3777">
        <v>1</v>
      </c>
      <c r="AN3777" s="2">
        <v>9781399526821</v>
      </c>
    </row>
    <row r="3778" spans="1:40" x14ac:dyDescent="0.3">
      <c r="A3778" t="s">
        <v>17801</v>
      </c>
      <c r="B3778" t="s">
        <v>1</v>
      </c>
      <c r="C3778" t="s">
        <v>17802</v>
      </c>
      <c r="D3778" t="s">
        <v>17803</v>
      </c>
      <c r="E3778" t="s">
        <v>17804</v>
      </c>
      <c r="F3778" t="s">
        <v>5</v>
      </c>
      <c r="G3778" t="s">
        <v>6</v>
      </c>
      <c r="L3778" t="s">
        <v>7</v>
      </c>
      <c r="M3778">
        <v>2024</v>
      </c>
      <c r="N3778" s="1">
        <v>45412</v>
      </c>
      <c r="O3778" t="s">
        <v>17805</v>
      </c>
      <c r="P3778">
        <v>1</v>
      </c>
      <c r="Q3778" t="s">
        <v>16423</v>
      </c>
      <c r="S3778">
        <v>191.95</v>
      </c>
      <c r="T3778">
        <v>220</v>
      </c>
      <c r="U3778">
        <v>170</v>
      </c>
      <c r="V3778" t="s">
        <v>20</v>
      </c>
      <c r="W3778" t="s">
        <v>21</v>
      </c>
      <c r="X3778" t="s">
        <v>3919</v>
      </c>
      <c r="Y3778" t="s">
        <v>9109</v>
      </c>
      <c r="AF3778" t="s">
        <v>13</v>
      </c>
      <c r="AH3778" t="str">
        <f>HYPERLINK("http://www.degruyter.com/isbn/9781399520690")</f>
        <v>http://www.degruyter.com/isbn/9781399520690</v>
      </c>
      <c r="AI3778" t="s">
        <v>17576</v>
      </c>
      <c r="AL3778" t="s">
        <v>638</v>
      </c>
      <c r="AM3778">
        <v>1</v>
      </c>
      <c r="AN3778" s="2">
        <v>9781399520676</v>
      </c>
    </row>
    <row r="3779" spans="1:40" x14ac:dyDescent="0.3">
      <c r="A3779" t="s">
        <v>17806</v>
      </c>
      <c r="B3779" t="s">
        <v>1</v>
      </c>
      <c r="C3779" t="s">
        <v>17807</v>
      </c>
      <c r="E3779" t="s">
        <v>17808</v>
      </c>
      <c r="F3779" t="s">
        <v>5</v>
      </c>
      <c r="G3779" t="s">
        <v>6</v>
      </c>
      <c r="L3779" t="s">
        <v>7</v>
      </c>
      <c r="M3779">
        <v>2024</v>
      </c>
      <c r="N3779" s="1">
        <v>45412</v>
      </c>
      <c r="O3779" t="s">
        <v>17809</v>
      </c>
      <c r="P3779">
        <v>1</v>
      </c>
      <c r="S3779">
        <v>217.95</v>
      </c>
      <c r="T3779">
        <v>250</v>
      </c>
      <c r="U3779">
        <v>190</v>
      </c>
      <c r="V3779" t="s">
        <v>20</v>
      </c>
      <c r="W3779" t="s">
        <v>556</v>
      </c>
      <c r="X3779" t="s">
        <v>16663</v>
      </c>
      <c r="Y3779" t="s">
        <v>16664</v>
      </c>
      <c r="AF3779" t="s">
        <v>13</v>
      </c>
      <c r="AH3779" t="str">
        <f>HYPERLINK("http://www.degruyter.com/isbn/9781399523554")</f>
        <v>http://www.degruyter.com/isbn/9781399523554</v>
      </c>
      <c r="AI3779" t="s">
        <v>17576</v>
      </c>
      <c r="AL3779" t="s">
        <v>638</v>
      </c>
      <c r="AM3779">
        <v>1</v>
      </c>
      <c r="AN3779" s="2">
        <v>9781399523530</v>
      </c>
    </row>
    <row r="3780" spans="1:40" x14ac:dyDescent="0.3">
      <c r="A3780" t="s">
        <v>17810</v>
      </c>
      <c r="B3780" t="s">
        <v>1</v>
      </c>
      <c r="C3780" t="s">
        <v>17811</v>
      </c>
      <c r="D3780" t="s">
        <v>17812</v>
      </c>
      <c r="E3780" t="s">
        <v>17813</v>
      </c>
      <c r="F3780" t="s">
        <v>5</v>
      </c>
      <c r="G3780" t="s">
        <v>6</v>
      </c>
      <c r="L3780" t="s">
        <v>7</v>
      </c>
      <c r="M3780">
        <v>2024</v>
      </c>
      <c r="N3780" s="1">
        <v>45412</v>
      </c>
      <c r="O3780" t="s">
        <v>17814</v>
      </c>
      <c r="P3780">
        <v>1</v>
      </c>
      <c r="S3780">
        <v>191.95</v>
      </c>
      <c r="T3780">
        <v>220</v>
      </c>
      <c r="U3780">
        <v>170</v>
      </c>
      <c r="V3780" t="s">
        <v>268</v>
      </c>
      <c r="W3780" t="s">
        <v>269</v>
      </c>
      <c r="X3780" t="s">
        <v>269</v>
      </c>
      <c r="Y3780" t="s">
        <v>360</v>
      </c>
      <c r="AF3780" t="s">
        <v>13</v>
      </c>
      <c r="AH3780" t="str">
        <f>HYPERLINK("http://www.degruyter.com/isbn/9781474460002")</f>
        <v>http://www.degruyter.com/isbn/9781474460002</v>
      </c>
      <c r="AI3780" t="s">
        <v>17703</v>
      </c>
      <c r="AL3780" t="s">
        <v>638</v>
      </c>
      <c r="AM3780">
        <v>1</v>
      </c>
      <c r="AN3780" s="2">
        <v>9781474459983</v>
      </c>
    </row>
    <row r="3781" spans="1:40" x14ac:dyDescent="0.3">
      <c r="A3781" t="s">
        <v>17815</v>
      </c>
      <c r="B3781" t="s">
        <v>1</v>
      </c>
      <c r="C3781" t="s">
        <v>17816</v>
      </c>
      <c r="E3781" t="s">
        <v>17817</v>
      </c>
      <c r="F3781" t="s">
        <v>5</v>
      </c>
      <c r="G3781" t="s">
        <v>6</v>
      </c>
      <c r="L3781" t="s">
        <v>7</v>
      </c>
      <c r="M3781">
        <v>2024</v>
      </c>
      <c r="N3781" s="1">
        <v>45412</v>
      </c>
      <c r="O3781" t="s">
        <v>17818</v>
      </c>
      <c r="P3781">
        <v>1</v>
      </c>
      <c r="Q3781" t="s">
        <v>14688</v>
      </c>
      <c r="S3781">
        <v>209.95</v>
      </c>
      <c r="T3781">
        <v>240</v>
      </c>
      <c r="U3781">
        <v>180</v>
      </c>
      <c r="V3781" t="s">
        <v>58</v>
      </c>
      <c r="W3781" t="s">
        <v>59</v>
      </c>
      <c r="X3781" t="s">
        <v>15207</v>
      </c>
      <c r="Y3781" t="s">
        <v>17819</v>
      </c>
      <c r="AF3781" t="s">
        <v>13</v>
      </c>
      <c r="AH3781" t="str">
        <f>HYPERLINK("http://www.degruyter.com/isbn/9781399506083")</f>
        <v>http://www.degruyter.com/isbn/9781399506083</v>
      </c>
      <c r="AI3781" t="s">
        <v>17501</v>
      </c>
      <c r="AJ3781" t="s">
        <v>35</v>
      </c>
      <c r="AL3781" t="s">
        <v>638</v>
      </c>
      <c r="AM3781">
        <v>1</v>
      </c>
      <c r="AN3781" s="2">
        <v>9781399506069</v>
      </c>
    </row>
    <row r="3782" spans="1:40" x14ac:dyDescent="0.3">
      <c r="A3782" t="s">
        <v>17820</v>
      </c>
      <c r="B3782" t="s">
        <v>1</v>
      </c>
      <c r="C3782" t="s">
        <v>17821</v>
      </c>
      <c r="D3782" t="s">
        <v>17822</v>
      </c>
      <c r="E3782" t="s">
        <v>17823</v>
      </c>
      <c r="F3782" t="s">
        <v>5</v>
      </c>
      <c r="G3782" t="s">
        <v>6</v>
      </c>
      <c r="L3782" t="s">
        <v>7</v>
      </c>
      <c r="M3782">
        <v>2024</v>
      </c>
      <c r="N3782" s="1">
        <v>45412</v>
      </c>
      <c r="O3782" t="s">
        <v>17824</v>
      </c>
      <c r="P3782">
        <v>1</v>
      </c>
      <c r="S3782">
        <v>191.95</v>
      </c>
      <c r="T3782">
        <v>220</v>
      </c>
      <c r="U3782">
        <v>170</v>
      </c>
      <c r="V3782" t="s">
        <v>58</v>
      </c>
      <c r="W3782" t="s">
        <v>59</v>
      </c>
      <c r="X3782" t="s">
        <v>60</v>
      </c>
      <c r="Y3782" t="s">
        <v>13256</v>
      </c>
      <c r="AF3782" t="s">
        <v>13</v>
      </c>
      <c r="AH3782" t="str">
        <f>HYPERLINK("http://www.degruyter.com/isbn/9781399519557")</f>
        <v>http://www.degruyter.com/isbn/9781399519557</v>
      </c>
      <c r="AI3782" t="s">
        <v>17501</v>
      </c>
      <c r="AL3782" t="s">
        <v>638</v>
      </c>
      <c r="AM3782">
        <v>1</v>
      </c>
      <c r="AN3782" s="2">
        <v>9781399519533</v>
      </c>
    </row>
    <row r="3783" spans="1:40" x14ac:dyDescent="0.3">
      <c r="A3783" t="s">
        <v>17825</v>
      </c>
      <c r="B3783" t="s">
        <v>1</v>
      </c>
      <c r="C3783" t="s">
        <v>17826</v>
      </c>
      <c r="D3783" t="s">
        <v>17827</v>
      </c>
      <c r="E3783" t="s">
        <v>17828</v>
      </c>
      <c r="F3783" t="s">
        <v>5</v>
      </c>
      <c r="G3783" t="s">
        <v>6</v>
      </c>
      <c r="L3783" t="s">
        <v>7</v>
      </c>
      <c r="M3783">
        <v>2024</v>
      </c>
      <c r="N3783" s="1">
        <v>45443</v>
      </c>
      <c r="O3783" t="s">
        <v>17829</v>
      </c>
      <c r="P3783">
        <v>1</v>
      </c>
      <c r="Q3783" t="s">
        <v>9604</v>
      </c>
      <c r="S3783">
        <v>217.95</v>
      </c>
      <c r="T3783">
        <v>250</v>
      </c>
      <c r="U3783">
        <v>190</v>
      </c>
      <c r="V3783" t="s">
        <v>58</v>
      </c>
      <c r="W3783" t="s">
        <v>59</v>
      </c>
      <c r="X3783" t="s">
        <v>60</v>
      </c>
      <c r="Y3783" t="s">
        <v>9359</v>
      </c>
      <c r="AF3783" t="s">
        <v>13</v>
      </c>
      <c r="AH3783" t="str">
        <f>HYPERLINK("http://www.degruyter.com/isbn/9781399519519")</f>
        <v>http://www.degruyter.com/isbn/9781399519519</v>
      </c>
      <c r="AI3783" t="s">
        <v>17501</v>
      </c>
      <c r="AL3783" t="s">
        <v>638</v>
      </c>
      <c r="AM3783">
        <v>1</v>
      </c>
      <c r="AN3783" s="2">
        <v>9781399519496</v>
      </c>
    </row>
    <row r="3784" spans="1:40" x14ac:dyDescent="0.3">
      <c r="A3784" t="s">
        <v>17830</v>
      </c>
      <c r="B3784" t="s">
        <v>1</v>
      </c>
      <c r="C3784" t="s">
        <v>17831</v>
      </c>
      <c r="E3784" t="s">
        <v>17832</v>
      </c>
      <c r="F3784" t="s">
        <v>5</v>
      </c>
      <c r="G3784" t="s">
        <v>6</v>
      </c>
      <c r="L3784" t="s">
        <v>7</v>
      </c>
      <c r="M3784">
        <v>2024</v>
      </c>
      <c r="N3784" s="1">
        <v>45412</v>
      </c>
      <c r="O3784" t="s">
        <v>17833</v>
      </c>
      <c r="P3784">
        <v>1</v>
      </c>
      <c r="Q3784" t="s">
        <v>7086</v>
      </c>
      <c r="S3784">
        <v>209.95</v>
      </c>
      <c r="T3784">
        <v>240</v>
      </c>
      <c r="U3784">
        <v>180</v>
      </c>
      <c r="V3784" t="s">
        <v>20</v>
      </c>
      <c r="W3784" t="s">
        <v>21</v>
      </c>
      <c r="X3784" t="s">
        <v>839</v>
      </c>
      <c r="Y3784" t="s">
        <v>13617</v>
      </c>
      <c r="AF3784" t="s">
        <v>13</v>
      </c>
      <c r="AH3784" t="str">
        <f>HYPERLINK("http://www.degruyter.com/isbn/9781399521864")</f>
        <v>http://www.degruyter.com/isbn/9781399521864</v>
      </c>
      <c r="AI3784" t="s">
        <v>17576</v>
      </c>
      <c r="AL3784" t="s">
        <v>638</v>
      </c>
      <c r="AM3784">
        <v>1</v>
      </c>
      <c r="AN3784" s="2">
        <v>9781399521840</v>
      </c>
    </row>
    <row r="3785" spans="1:40" x14ac:dyDescent="0.3">
      <c r="A3785" t="s">
        <v>17834</v>
      </c>
      <c r="B3785" t="s">
        <v>1</v>
      </c>
      <c r="C3785" t="s">
        <v>17835</v>
      </c>
      <c r="E3785" t="s">
        <v>17836</v>
      </c>
      <c r="F3785" t="s">
        <v>5</v>
      </c>
      <c r="G3785" t="s">
        <v>6</v>
      </c>
      <c r="L3785" t="s">
        <v>7</v>
      </c>
      <c r="M3785">
        <v>2024</v>
      </c>
      <c r="N3785" s="1">
        <v>45443</v>
      </c>
      <c r="O3785" t="s">
        <v>4649</v>
      </c>
      <c r="P3785">
        <v>1</v>
      </c>
      <c r="S3785">
        <v>217.95</v>
      </c>
      <c r="T3785">
        <v>250</v>
      </c>
      <c r="U3785">
        <v>190</v>
      </c>
      <c r="V3785" t="s">
        <v>9</v>
      </c>
      <c r="W3785" t="s">
        <v>10</v>
      </c>
      <c r="X3785" t="s">
        <v>11</v>
      </c>
      <c r="Y3785" t="s">
        <v>12</v>
      </c>
      <c r="AF3785" t="s">
        <v>13</v>
      </c>
      <c r="AH3785" t="str">
        <f>HYPERLINK("http://www.degruyter.com/isbn/9781474498982")</f>
        <v>http://www.degruyter.com/isbn/9781474498982</v>
      </c>
      <c r="AI3785" t="s">
        <v>17506</v>
      </c>
      <c r="AL3785" t="s">
        <v>638</v>
      </c>
      <c r="AM3785">
        <v>1</v>
      </c>
      <c r="AN3785" s="2">
        <v>9781474498968</v>
      </c>
    </row>
    <row r="3786" spans="1:40" x14ac:dyDescent="0.3">
      <c r="A3786" t="s">
        <v>17837</v>
      </c>
      <c r="B3786" t="s">
        <v>1</v>
      </c>
      <c r="C3786" t="s">
        <v>17838</v>
      </c>
      <c r="E3786" t="s">
        <v>17839</v>
      </c>
      <c r="F3786" t="s">
        <v>5</v>
      </c>
      <c r="G3786" t="s">
        <v>6</v>
      </c>
      <c r="L3786" t="s">
        <v>7</v>
      </c>
      <c r="M3786">
        <v>2024</v>
      </c>
      <c r="N3786" s="1">
        <v>45443</v>
      </c>
      <c r="O3786" t="s">
        <v>17840</v>
      </c>
      <c r="P3786">
        <v>1</v>
      </c>
      <c r="Q3786" t="s">
        <v>15661</v>
      </c>
      <c r="S3786">
        <v>209.95</v>
      </c>
      <c r="T3786">
        <v>240</v>
      </c>
      <c r="U3786">
        <v>180</v>
      </c>
      <c r="V3786" t="s">
        <v>42</v>
      </c>
      <c r="W3786" t="s">
        <v>116</v>
      </c>
      <c r="X3786" t="s">
        <v>116</v>
      </c>
      <c r="Y3786" t="s">
        <v>5610</v>
      </c>
      <c r="AF3786" t="s">
        <v>13</v>
      </c>
      <c r="AH3786" t="str">
        <f>HYPERLINK("http://www.degruyter.com/isbn/9781399525961")</f>
        <v>http://www.degruyter.com/isbn/9781399525961</v>
      </c>
      <c r="AI3786" t="s">
        <v>17450</v>
      </c>
      <c r="AJ3786" t="s">
        <v>35</v>
      </c>
      <c r="AL3786" t="s">
        <v>638</v>
      </c>
      <c r="AM3786">
        <v>1</v>
      </c>
      <c r="AN3786" s="2">
        <v>9781399525947</v>
      </c>
    </row>
    <row r="3787" spans="1:40" x14ac:dyDescent="0.3">
      <c r="A3787" t="s">
        <v>17841</v>
      </c>
      <c r="B3787" t="s">
        <v>1</v>
      </c>
      <c r="C3787" t="s">
        <v>17842</v>
      </c>
      <c r="D3787" t="s">
        <v>17843</v>
      </c>
      <c r="E3787" t="s">
        <v>17844</v>
      </c>
      <c r="F3787" t="s">
        <v>5</v>
      </c>
      <c r="G3787" t="s">
        <v>6</v>
      </c>
      <c r="L3787" t="s">
        <v>7</v>
      </c>
      <c r="M3787">
        <v>2024</v>
      </c>
      <c r="N3787" s="1">
        <v>45443</v>
      </c>
      <c r="O3787" t="s">
        <v>17845</v>
      </c>
      <c r="P3787">
        <v>1</v>
      </c>
      <c r="S3787">
        <v>191.95</v>
      </c>
      <c r="T3787">
        <v>220</v>
      </c>
      <c r="U3787">
        <v>170</v>
      </c>
      <c r="V3787" t="s">
        <v>89</v>
      </c>
      <c r="W3787" t="s">
        <v>90</v>
      </c>
      <c r="X3787" t="s">
        <v>7511</v>
      </c>
      <c r="Y3787" t="s">
        <v>8787</v>
      </c>
      <c r="AF3787" t="s">
        <v>13</v>
      </c>
      <c r="AH3787" t="str">
        <f>HYPERLINK("http://www.degruyter.com/isbn/9781399528467")</f>
        <v>http://www.degruyter.com/isbn/9781399528467</v>
      </c>
      <c r="AI3787" t="s">
        <v>17511</v>
      </c>
      <c r="AL3787" t="s">
        <v>638</v>
      </c>
      <c r="AM3787">
        <v>1</v>
      </c>
      <c r="AN3787" s="2">
        <v>9781399528443</v>
      </c>
    </row>
    <row r="3788" spans="1:40" x14ac:dyDescent="0.3">
      <c r="A3788" t="s">
        <v>17846</v>
      </c>
      <c r="B3788" t="s">
        <v>1</v>
      </c>
      <c r="C3788" t="s">
        <v>17847</v>
      </c>
      <c r="E3788" t="s">
        <v>17848</v>
      </c>
      <c r="F3788" t="s">
        <v>5</v>
      </c>
      <c r="G3788" t="s">
        <v>6</v>
      </c>
      <c r="L3788" t="s">
        <v>7</v>
      </c>
      <c r="M3788">
        <v>2024</v>
      </c>
      <c r="N3788" s="1">
        <v>45412</v>
      </c>
      <c r="O3788" t="s">
        <v>17849</v>
      </c>
      <c r="P3788">
        <v>1</v>
      </c>
      <c r="S3788">
        <v>191.95</v>
      </c>
      <c r="T3788">
        <v>220</v>
      </c>
      <c r="U3788">
        <v>170</v>
      </c>
      <c r="V3788" t="s">
        <v>9</v>
      </c>
      <c r="W3788" t="s">
        <v>10</v>
      </c>
      <c r="X3788" t="s">
        <v>11</v>
      </c>
      <c r="Y3788" t="s">
        <v>52</v>
      </c>
      <c r="AF3788" t="s">
        <v>13</v>
      </c>
      <c r="AH3788" t="str">
        <f>HYPERLINK("http://www.degruyter.com/isbn/9781474437295")</f>
        <v>http://www.degruyter.com/isbn/9781474437295</v>
      </c>
      <c r="AI3788" t="s">
        <v>17506</v>
      </c>
      <c r="AL3788" t="s">
        <v>638</v>
      </c>
      <c r="AM3788">
        <v>1</v>
      </c>
      <c r="AN3788" s="2">
        <v>9781474437271</v>
      </c>
    </row>
    <row r="3789" spans="1:40" x14ac:dyDescent="0.3">
      <c r="A3789" t="s">
        <v>17850</v>
      </c>
      <c r="B3789" t="s">
        <v>1</v>
      </c>
      <c r="C3789" t="s">
        <v>17851</v>
      </c>
      <c r="E3789" t="s">
        <v>17852</v>
      </c>
      <c r="F3789" t="s">
        <v>5</v>
      </c>
      <c r="G3789" t="s">
        <v>6</v>
      </c>
      <c r="L3789" t="s">
        <v>7</v>
      </c>
      <c r="M3789">
        <v>2024</v>
      </c>
      <c r="N3789" s="1">
        <v>45443</v>
      </c>
      <c r="O3789" t="s">
        <v>13097</v>
      </c>
      <c r="P3789">
        <v>1</v>
      </c>
      <c r="Q3789" t="s">
        <v>11772</v>
      </c>
      <c r="S3789">
        <v>227.95</v>
      </c>
      <c r="T3789">
        <v>260</v>
      </c>
      <c r="U3789">
        <v>200</v>
      </c>
      <c r="V3789" t="s">
        <v>42</v>
      </c>
      <c r="W3789" t="s">
        <v>43</v>
      </c>
      <c r="X3789" t="s">
        <v>8073</v>
      </c>
      <c r="Y3789" t="s">
        <v>742</v>
      </c>
      <c r="AF3789" t="s">
        <v>13</v>
      </c>
      <c r="AH3789" t="str">
        <f>HYPERLINK("http://www.degruyter.com/isbn/9781399522663")</f>
        <v>http://www.degruyter.com/isbn/9781399522663</v>
      </c>
      <c r="AI3789" t="s">
        <v>17450</v>
      </c>
      <c r="AL3789" t="s">
        <v>638</v>
      </c>
      <c r="AM3789">
        <v>1</v>
      </c>
      <c r="AN3789" s="2">
        <v>9781399522656</v>
      </c>
    </row>
    <row r="3790" spans="1:40" x14ac:dyDescent="0.3">
      <c r="A3790" t="s">
        <v>17853</v>
      </c>
      <c r="B3790" t="s">
        <v>1</v>
      </c>
      <c r="C3790" t="s">
        <v>17854</v>
      </c>
      <c r="E3790" t="s">
        <v>17855</v>
      </c>
      <c r="F3790" t="s">
        <v>5</v>
      </c>
      <c r="G3790" t="s">
        <v>6</v>
      </c>
      <c r="L3790" t="s">
        <v>7</v>
      </c>
      <c r="M3790">
        <v>2024</v>
      </c>
      <c r="N3790" s="1">
        <v>45443</v>
      </c>
      <c r="O3790" t="s">
        <v>17856</v>
      </c>
      <c r="P3790">
        <v>1</v>
      </c>
      <c r="S3790">
        <v>217.95</v>
      </c>
      <c r="T3790">
        <v>250</v>
      </c>
      <c r="U3790">
        <v>190</v>
      </c>
      <c r="V3790" t="s">
        <v>42</v>
      </c>
      <c r="W3790" t="s">
        <v>116</v>
      </c>
      <c r="X3790" t="s">
        <v>116</v>
      </c>
      <c r="Y3790" t="s">
        <v>15123</v>
      </c>
      <c r="AF3790" t="s">
        <v>13</v>
      </c>
      <c r="AH3790" t="str">
        <f>HYPERLINK("http://www.degruyter.com/isbn/9781474478694")</f>
        <v>http://www.degruyter.com/isbn/9781474478694</v>
      </c>
      <c r="AI3790" t="s">
        <v>17450</v>
      </c>
      <c r="AL3790" t="s">
        <v>638</v>
      </c>
      <c r="AM3790">
        <v>1</v>
      </c>
      <c r="AN3790" s="2">
        <v>9781474478670</v>
      </c>
    </row>
    <row r="3791" spans="1:40" x14ac:dyDescent="0.3">
      <c r="A3791" t="s">
        <v>17857</v>
      </c>
      <c r="B3791" t="s">
        <v>1</v>
      </c>
      <c r="C3791" t="s">
        <v>17858</v>
      </c>
      <c r="E3791" t="s">
        <v>17859</v>
      </c>
      <c r="F3791" t="s">
        <v>5</v>
      </c>
      <c r="G3791" t="s">
        <v>6</v>
      </c>
      <c r="L3791" t="s">
        <v>7</v>
      </c>
      <c r="M3791">
        <v>2024</v>
      </c>
      <c r="N3791" s="1">
        <v>45412</v>
      </c>
      <c r="O3791" t="s">
        <v>17860</v>
      </c>
      <c r="P3791">
        <v>1</v>
      </c>
      <c r="Q3791" t="s">
        <v>17861</v>
      </c>
      <c r="S3791">
        <v>209.95</v>
      </c>
      <c r="T3791">
        <v>240</v>
      </c>
      <c r="U3791">
        <v>180</v>
      </c>
      <c r="V3791" t="s">
        <v>9</v>
      </c>
      <c r="W3791" t="s">
        <v>10</v>
      </c>
      <c r="X3791" t="s">
        <v>596</v>
      </c>
      <c r="Y3791" t="s">
        <v>2473</v>
      </c>
      <c r="AF3791" t="s">
        <v>13</v>
      </c>
      <c r="AH3791" t="str">
        <f>HYPERLINK("http://www.degruyter.com/isbn/9781474451741")</f>
        <v>http://www.degruyter.com/isbn/9781474451741</v>
      </c>
      <c r="AI3791" t="s">
        <v>17506</v>
      </c>
      <c r="AL3791" t="s">
        <v>638</v>
      </c>
      <c r="AM3791">
        <v>1</v>
      </c>
      <c r="AN3791" s="2">
        <v>9781474451727</v>
      </c>
    </row>
    <row r="3792" spans="1:40" x14ac:dyDescent="0.3">
      <c r="A3792" t="s">
        <v>17862</v>
      </c>
      <c r="B3792" t="s">
        <v>1</v>
      </c>
      <c r="C3792" t="s">
        <v>17863</v>
      </c>
      <c r="D3792" t="s">
        <v>1672</v>
      </c>
      <c r="E3792" t="s">
        <v>17864</v>
      </c>
      <c r="F3792" t="s">
        <v>5</v>
      </c>
      <c r="G3792" t="s">
        <v>6</v>
      </c>
      <c r="L3792" t="s">
        <v>7</v>
      </c>
      <c r="M3792">
        <v>2024</v>
      </c>
      <c r="N3792" s="1">
        <v>45443</v>
      </c>
      <c r="O3792" t="s">
        <v>17865</v>
      </c>
      <c r="P3792">
        <v>1</v>
      </c>
      <c r="S3792">
        <v>217.95</v>
      </c>
      <c r="T3792">
        <v>250</v>
      </c>
      <c r="U3792">
        <v>190</v>
      </c>
      <c r="V3792" t="s">
        <v>58</v>
      </c>
      <c r="W3792" t="s">
        <v>129</v>
      </c>
      <c r="X3792" t="s">
        <v>130</v>
      </c>
      <c r="Y3792" t="s">
        <v>131</v>
      </c>
      <c r="AF3792" t="s">
        <v>13</v>
      </c>
      <c r="AH3792" t="str">
        <f>HYPERLINK("http://www.degruyter.com/isbn/9781399526043")</f>
        <v>http://www.degruyter.com/isbn/9781399526043</v>
      </c>
      <c r="AI3792" t="s">
        <v>17866</v>
      </c>
      <c r="AL3792" t="s">
        <v>638</v>
      </c>
      <c r="AM3792">
        <v>1</v>
      </c>
      <c r="AN3792" s="2">
        <v>9781399526029</v>
      </c>
    </row>
    <row r="3793" spans="1:40" x14ac:dyDescent="0.3">
      <c r="A3793" t="s">
        <v>17867</v>
      </c>
      <c r="B3793" t="s">
        <v>1</v>
      </c>
      <c r="C3793" t="s">
        <v>17868</v>
      </c>
      <c r="D3793" t="s">
        <v>17869</v>
      </c>
      <c r="E3793" t="s">
        <v>17870</v>
      </c>
      <c r="F3793" t="s">
        <v>5</v>
      </c>
      <c r="G3793" t="s">
        <v>6</v>
      </c>
      <c r="K3793" t="s">
        <v>17871</v>
      </c>
      <c r="L3793" t="s">
        <v>7</v>
      </c>
      <c r="M3793">
        <v>2024</v>
      </c>
      <c r="N3793" s="1">
        <v>45504</v>
      </c>
      <c r="O3793" t="s">
        <v>17872</v>
      </c>
      <c r="P3793">
        <v>1</v>
      </c>
      <c r="Q3793" t="s">
        <v>13324</v>
      </c>
      <c r="V3793" t="s">
        <v>297</v>
      </c>
      <c r="W3793" t="s">
        <v>10736</v>
      </c>
      <c r="X3793" t="s">
        <v>10736</v>
      </c>
      <c r="Y3793" t="s">
        <v>10737</v>
      </c>
      <c r="AF3793" t="s">
        <v>13</v>
      </c>
      <c r="AH3793" t="str">
        <f>HYPERLINK("http://www.degruyter.com/isbn/9781474462259")</f>
        <v>http://www.degruyter.com/isbn/9781474462259</v>
      </c>
      <c r="AI3793" t="s">
        <v>17511</v>
      </c>
      <c r="AL3793" t="s">
        <v>638</v>
      </c>
      <c r="AM3793">
        <v>1</v>
      </c>
      <c r="AN3793" s="2"/>
    </row>
    <row r="3794" spans="1:40" x14ac:dyDescent="0.3">
      <c r="A3794" t="s">
        <v>17873</v>
      </c>
      <c r="B3794" t="s">
        <v>1</v>
      </c>
      <c r="C3794" t="s">
        <v>17874</v>
      </c>
      <c r="D3794" t="s">
        <v>17875</v>
      </c>
      <c r="E3794" t="s">
        <v>17876</v>
      </c>
      <c r="F3794" t="s">
        <v>5</v>
      </c>
      <c r="G3794" t="s">
        <v>6</v>
      </c>
      <c r="L3794" t="s">
        <v>7</v>
      </c>
      <c r="M3794">
        <v>2024</v>
      </c>
      <c r="N3794" s="1">
        <v>45565</v>
      </c>
      <c r="O3794" t="s">
        <v>10001</v>
      </c>
      <c r="P3794">
        <v>1</v>
      </c>
      <c r="Q3794" t="s">
        <v>7019</v>
      </c>
      <c r="S3794">
        <v>208.95</v>
      </c>
      <c r="T3794">
        <v>240</v>
      </c>
      <c r="U3794">
        <v>180</v>
      </c>
      <c r="V3794" t="s">
        <v>42</v>
      </c>
      <c r="W3794" t="s">
        <v>107</v>
      </c>
      <c r="X3794" t="s">
        <v>108</v>
      </c>
      <c r="Y3794" t="s">
        <v>109</v>
      </c>
      <c r="AF3794" t="s">
        <v>13</v>
      </c>
      <c r="AH3794" t="str">
        <f>HYPERLINK("http://www.degruyter.com/isbn/9781399500395")</f>
        <v>http://www.degruyter.com/isbn/9781399500395</v>
      </c>
      <c r="AI3794" t="s">
        <v>17450</v>
      </c>
      <c r="AL3794" t="s">
        <v>638</v>
      </c>
      <c r="AM3794">
        <v>1</v>
      </c>
      <c r="AN3794" s="2"/>
    </row>
    <row r="3795" spans="1:40" x14ac:dyDescent="0.3">
      <c r="A3795" t="s">
        <v>17877</v>
      </c>
      <c r="B3795" t="s">
        <v>1</v>
      </c>
      <c r="C3795" t="s">
        <v>17878</v>
      </c>
      <c r="D3795" t="s">
        <v>17879</v>
      </c>
      <c r="E3795" t="s">
        <v>17880</v>
      </c>
      <c r="F3795" t="s">
        <v>5</v>
      </c>
      <c r="G3795" t="s">
        <v>6</v>
      </c>
      <c r="L3795" t="s">
        <v>7</v>
      </c>
      <c r="M3795">
        <v>2024</v>
      </c>
      <c r="N3795" s="1">
        <v>45565</v>
      </c>
      <c r="O3795" t="s">
        <v>17881</v>
      </c>
      <c r="P3795">
        <v>1</v>
      </c>
      <c r="S3795">
        <v>191.95</v>
      </c>
      <c r="T3795">
        <v>220</v>
      </c>
      <c r="U3795">
        <v>170</v>
      </c>
      <c r="V3795" t="s">
        <v>42</v>
      </c>
      <c r="W3795" t="s">
        <v>116</v>
      </c>
      <c r="X3795" t="s">
        <v>116</v>
      </c>
      <c r="Y3795" t="s">
        <v>11160</v>
      </c>
      <c r="AF3795" t="s">
        <v>13</v>
      </c>
      <c r="AH3795" t="str">
        <f>HYPERLINK("http://www.degruyter.com/isbn/9781474461504")</f>
        <v>http://www.degruyter.com/isbn/9781474461504</v>
      </c>
      <c r="AI3795" t="s">
        <v>17450</v>
      </c>
      <c r="AL3795" t="s">
        <v>638</v>
      </c>
      <c r="AM3795">
        <v>1</v>
      </c>
      <c r="AN3795" s="2"/>
    </row>
    <row r="3796" spans="1:40" x14ac:dyDescent="0.3">
      <c r="A3796" t="s">
        <v>17882</v>
      </c>
      <c r="B3796" t="s">
        <v>1</v>
      </c>
      <c r="C3796" t="s">
        <v>17883</v>
      </c>
      <c r="D3796" t="s">
        <v>17884</v>
      </c>
      <c r="E3796" t="s">
        <v>17885</v>
      </c>
      <c r="F3796" t="s">
        <v>5</v>
      </c>
      <c r="G3796" t="s">
        <v>6</v>
      </c>
      <c r="L3796" t="s">
        <v>7</v>
      </c>
      <c r="M3796">
        <v>2024</v>
      </c>
      <c r="N3796" s="1">
        <v>45473</v>
      </c>
      <c r="O3796" t="s">
        <v>17886</v>
      </c>
      <c r="P3796">
        <v>1</v>
      </c>
      <c r="Q3796" t="s">
        <v>7194</v>
      </c>
      <c r="S3796">
        <v>191.95</v>
      </c>
      <c r="T3796">
        <v>220</v>
      </c>
      <c r="U3796">
        <v>170</v>
      </c>
      <c r="V3796" t="s">
        <v>79</v>
      </c>
      <c r="W3796" t="s">
        <v>16641</v>
      </c>
      <c r="X3796" t="s">
        <v>16642</v>
      </c>
      <c r="Y3796" t="s">
        <v>16643</v>
      </c>
      <c r="AF3796" t="s">
        <v>13</v>
      </c>
      <c r="AH3796" t="str">
        <f>HYPERLINK("http://www.degruyter.com/isbn/9781399527378")</f>
        <v>http://www.degruyter.com/isbn/9781399527378</v>
      </c>
      <c r="AI3796" t="s">
        <v>17444</v>
      </c>
      <c r="AL3796" t="s">
        <v>638</v>
      </c>
      <c r="AM3796">
        <v>1</v>
      </c>
      <c r="AN3796" s="2"/>
    </row>
    <row r="3797" spans="1:40" x14ac:dyDescent="0.3">
      <c r="A3797" t="s">
        <v>17887</v>
      </c>
      <c r="B3797" t="s">
        <v>1</v>
      </c>
      <c r="C3797" t="s">
        <v>17888</v>
      </c>
      <c r="D3797" t="s">
        <v>17889</v>
      </c>
      <c r="E3797" t="s">
        <v>17890</v>
      </c>
      <c r="F3797" t="s">
        <v>5</v>
      </c>
      <c r="G3797" t="s">
        <v>6</v>
      </c>
      <c r="L3797" t="s">
        <v>7</v>
      </c>
      <c r="M3797">
        <v>2024</v>
      </c>
      <c r="N3797" s="1">
        <v>45473</v>
      </c>
      <c r="O3797" t="s">
        <v>17891</v>
      </c>
      <c r="P3797">
        <v>1</v>
      </c>
      <c r="Q3797" t="s">
        <v>6729</v>
      </c>
      <c r="S3797">
        <v>191.95</v>
      </c>
      <c r="T3797">
        <v>220</v>
      </c>
      <c r="U3797">
        <v>170</v>
      </c>
      <c r="V3797" t="s">
        <v>79</v>
      </c>
      <c r="W3797" t="s">
        <v>16641</v>
      </c>
      <c r="X3797" t="s">
        <v>16642</v>
      </c>
      <c r="Y3797" t="s">
        <v>16643</v>
      </c>
      <c r="AF3797" t="s">
        <v>13</v>
      </c>
      <c r="AH3797" t="str">
        <f>HYPERLINK("http://www.degruyter.com/isbn/9781399531511")</f>
        <v>http://www.degruyter.com/isbn/9781399531511</v>
      </c>
      <c r="AI3797" t="s">
        <v>17444</v>
      </c>
      <c r="AL3797" t="s">
        <v>638</v>
      </c>
      <c r="AM3797">
        <v>1</v>
      </c>
      <c r="AN3797" s="2"/>
    </row>
    <row r="3798" spans="1:40" x14ac:dyDescent="0.3">
      <c r="A3798" t="s">
        <v>17892</v>
      </c>
      <c r="B3798" t="s">
        <v>1</v>
      </c>
      <c r="C3798" t="s">
        <v>17893</v>
      </c>
      <c r="D3798" t="s">
        <v>17894</v>
      </c>
      <c r="E3798" t="s">
        <v>17895</v>
      </c>
      <c r="F3798" t="s">
        <v>5</v>
      </c>
      <c r="G3798" t="s">
        <v>6</v>
      </c>
      <c r="K3798" t="s">
        <v>17686</v>
      </c>
      <c r="L3798" t="s">
        <v>7</v>
      </c>
      <c r="M3798">
        <v>2024</v>
      </c>
      <c r="N3798" s="1">
        <v>45443</v>
      </c>
      <c r="O3798" t="s">
        <v>17896</v>
      </c>
      <c r="P3798">
        <v>1</v>
      </c>
      <c r="V3798" t="s">
        <v>42</v>
      </c>
      <c r="W3798" t="s">
        <v>161</v>
      </c>
      <c r="X3798" t="s">
        <v>162</v>
      </c>
      <c r="Y3798" t="s">
        <v>12338</v>
      </c>
      <c r="AF3798" t="s">
        <v>13</v>
      </c>
      <c r="AH3798" t="str">
        <f>HYPERLINK("http://www.degruyter.com/isbn/9781399516181")</f>
        <v>http://www.degruyter.com/isbn/9781399516181</v>
      </c>
      <c r="AI3798" t="s">
        <v>17450</v>
      </c>
      <c r="AL3798" t="s">
        <v>638</v>
      </c>
      <c r="AM3798">
        <v>1</v>
      </c>
      <c r="AN3798" s="2"/>
    </row>
    <row r="3799" spans="1:40" x14ac:dyDescent="0.3">
      <c r="A3799" t="s">
        <v>17897</v>
      </c>
      <c r="B3799" t="s">
        <v>1</v>
      </c>
      <c r="C3799" t="s">
        <v>17898</v>
      </c>
      <c r="D3799" t="s">
        <v>17899</v>
      </c>
      <c r="E3799" t="s">
        <v>17900</v>
      </c>
      <c r="F3799" t="s">
        <v>5</v>
      </c>
      <c r="G3799" t="s">
        <v>6</v>
      </c>
      <c r="L3799" t="s">
        <v>7</v>
      </c>
      <c r="M3799">
        <v>2024</v>
      </c>
      <c r="N3799" s="1">
        <v>45412</v>
      </c>
      <c r="O3799" t="s">
        <v>17901</v>
      </c>
      <c r="P3799">
        <v>1</v>
      </c>
      <c r="S3799">
        <v>209.95</v>
      </c>
      <c r="T3799">
        <v>240</v>
      </c>
      <c r="U3799">
        <v>180</v>
      </c>
      <c r="V3799" t="s">
        <v>9</v>
      </c>
      <c r="W3799" t="s">
        <v>10</v>
      </c>
      <c r="X3799" t="s">
        <v>11</v>
      </c>
      <c r="Y3799" t="s">
        <v>52</v>
      </c>
      <c r="AF3799" t="s">
        <v>13</v>
      </c>
      <c r="AH3799" t="str">
        <f>HYPERLINK("http://www.degruyter.com/isbn/9781474426350")</f>
        <v>http://www.degruyter.com/isbn/9781474426350</v>
      </c>
      <c r="AI3799" t="s">
        <v>17506</v>
      </c>
      <c r="AL3799" t="s">
        <v>638</v>
      </c>
      <c r="AM3799">
        <v>1</v>
      </c>
      <c r="AN3799" s="2">
        <v>9781474426336</v>
      </c>
    </row>
    <row r="3800" spans="1:40" x14ac:dyDescent="0.3">
      <c r="A3800" t="s">
        <v>17902</v>
      </c>
      <c r="B3800" t="s">
        <v>1</v>
      </c>
      <c r="C3800" t="s">
        <v>17903</v>
      </c>
      <c r="E3800" t="s">
        <v>17904</v>
      </c>
      <c r="F3800" t="s">
        <v>5</v>
      </c>
      <c r="G3800" t="s">
        <v>6</v>
      </c>
      <c r="L3800" t="s">
        <v>7</v>
      </c>
      <c r="M3800">
        <v>2024</v>
      </c>
      <c r="N3800" s="1">
        <v>45443</v>
      </c>
      <c r="O3800" t="s">
        <v>13976</v>
      </c>
      <c r="P3800">
        <v>1</v>
      </c>
      <c r="Q3800" t="s">
        <v>8883</v>
      </c>
      <c r="S3800">
        <v>191.95</v>
      </c>
      <c r="T3800">
        <v>220</v>
      </c>
      <c r="U3800">
        <v>170</v>
      </c>
      <c r="V3800" t="s">
        <v>79</v>
      </c>
      <c r="W3800" t="s">
        <v>16641</v>
      </c>
      <c r="X3800" t="s">
        <v>16642</v>
      </c>
      <c r="Y3800" t="s">
        <v>16643</v>
      </c>
      <c r="AF3800" t="s">
        <v>13</v>
      </c>
      <c r="AH3800" t="str">
        <f>HYPERLINK("http://www.degruyter.com/isbn/9781399533386")</f>
        <v>http://www.degruyter.com/isbn/9781399533386</v>
      </c>
      <c r="AI3800" t="s">
        <v>17444</v>
      </c>
      <c r="AL3800" t="s">
        <v>638</v>
      </c>
      <c r="AM3800">
        <v>1</v>
      </c>
      <c r="AN3800" s="2">
        <v>9781399533362</v>
      </c>
    </row>
    <row r="3801" spans="1:40" x14ac:dyDescent="0.3">
      <c r="A3801" t="s">
        <v>17905</v>
      </c>
      <c r="B3801" t="s">
        <v>1</v>
      </c>
      <c r="C3801" t="s">
        <v>17906</v>
      </c>
      <c r="E3801" t="s">
        <v>17907</v>
      </c>
      <c r="F3801" t="s">
        <v>5</v>
      </c>
      <c r="G3801" t="s">
        <v>6</v>
      </c>
      <c r="L3801" t="s">
        <v>7</v>
      </c>
      <c r="M3801">
        <v>2024</v>
      </c>
      <c r="N3801" s="1">
        <v>45443</v>
      </c>
      <c r="O3801" t="s">
        <v>17908</v>
      </c>
      <c r="P3801">
        <v>1</v>
      </c>
      <c r="Q3801" t="s">
        <v>13309</v>
      </c>
      <c r="S3801">
        <v>339.95</v>
      </c>
      <c r="T3801">
        <v>390</v>
      </c>
      <c r="U3801">
        <v>300</v>
      </c>
      <c r="V3801" t="s">
        <v>42</v>
      </c>
      <c r="W3801" t="s">
        <v>116</v>
      </c>
      <c r="X3801" t="s">
        <v>116</v>
      </c>
      <c r="Y3801" t="s">
        <v>3967</v>
      </c>
      <c r="AF3801" t="s">
        <v>13</v>
      </c>
      <c r="AH3801" t="str">
        <f>HYPERLINK("http://www.degruyter.com/isbn/9781474441650")</f>
        <v>http://www.degruyter.com/isbn/9781474441650</v>
      </c>
      <c r="AI3801" t="s">
        <v>17450</v>
      </c>
      <c r="AL3801" t="s">
        <v>638</v>
      </c>
      <c r="AM3801">
        <v>1</v>
      </c>
      <c r="AN3801" s="2">
        <v>9781474441643</v>
      </c>
    </row>
    <row r="3802" spans="1:40" x14ac:dyDescent="0.3">
      <c r="A3802" t="s">
        <v>17909</v>
      </c>
      <c r="B3802" t="s">
        <v>1</v>
      </c>
      <c r="C3802" t="s">
        <v>17910</v>
      </c>
      <c r="E3802" t="s">
        <v>17911</v>
      </c>
      <c r="F3802" t="s">
        <v>5</v>
      </c>
      <c r="G3802" t="s">
        <v>6</v>
      </c>
      <c r="L3802" t="s">
        <v>7</v>
      </c>
      <c r="M3802">
        <v>2024</v>
      </c>
      <c r="N3802" s="1">
        <v>45412</v>
      </c>
      <c r="O3802" t="s">
        <v>17912</v>
      </c>
      <c r="P3802">
        <v>1</v>
      </c>
      <c r="Q3802" t="s">
        <v>13391</v>
      </c>
      <c r="S3802">
        <v>191.95</v>
      </c>
      <c r="T3802">
        <v>220</v>
      </c>
      <c r="U3802">
        <v>170</v>
      </c>
      <c r="V3802" t="s">
        <v>42</v>
      </c>
      <c r="W3802" t="s">
        <v>43</v>
      </c>
      <c r="X3802" t="s">
        <v>8073</v>
      </c>
      <c r="Y3802" t="s">
        <v>742</v>
      </c>
      <c r="AF3802" t="s">
        <v>13</v>
      </c>
      <c r="AH3802" t="str">
        <f>HYPERLINK("http://www.degruyter.com/isbn/9781399523516")</f>
        <v>http://www.degruyter.com/isbn/9781399523516</v>
      </c>
      <c r="AI3802" t="s">
        <v>17450</v>
      </c>
      <c r="AL3802" t="s">
        <v>638</v>
      </c>
      <c r="AM3802">
        <v>1</v>
      </c>
      <c r="AN3802" s="2">
        <v>9781399523493</v>
      </c>
    </row>
    <row r="3803" spans="1:40" x14ac:dyDescent="0.3">
      <c r="A3803" t="s">
        <v>17913</v>
      </c>
      <c r="B3803" t="s">
        <v>1</v>
      </c>
      <c r="C3803" t="s">
        <v>17914</v>
      </c>
      <c r="E3803" t="s">
        <v>17915</v>
      </c>
      <c r="F3803" t="s">
        <v>5</v>
      </c>
      <c r="G3803" t="s">
        <v>6</v>
      </c>
      <c r="L3803" t="s">
        <v>7</v>
      </c>
      <c r="M3803">
        <v>2024</v>
      </c>
      <c r="N3803" s="1">
        <v>45443</v>
      </c>
      <c r="O3803" t="s">
        <v>17916</v>
      </c>
      <c r="P3803">
        <v>1</v>
      </c>
      <c r="Q3803" t="s">
        <v>13444</v>
      </c>
      <c r="S3803">
        <v>191.95</v>
      </c>
      <c r="T3803">
        <v>220</v>
      </c>
      <c r="U3803">
        <v>170</v>
      </c>
      <c r="V3803" t="s">
        <v>268</v>
      </c>
      <c r="W3803" t="s">
        <v>269</v>
      </c>
      <c r="X3803" t="s">
        <v>269</v>
      </c>
      <c r="Y3803" t="s">
        <v>360</v>
      </c>
      <c r="AF3803" t="s">
        <v>13</v>
      </c>
      <c r="AH3803" t="str">
        <f>HYPERLINK("http://www.degruyter.com/isbn/9781474455688")</f>
        <v>http://www.degruyter.com/isbn/9781474455688</v>
      </c>
      <c r="AI3803" t="s">
        <v>17703</v>
      </c>
      <c r="AL3803" t="s">
        <v>638</v>
      </c>
      <c r="AM3803">
        <v>1</v>
      </c>
      <c r="AN3803" s="2">
        <v>9781474455664</v>
      </c>
    </row>
    <row r="3804" spans="1:40" x14ac:dyDescent="0.3">
      <c r="A3804" t="s">
        <v>17917</v>
      </c>
      <c r="B3804" t="s">
        <v>1</v>
      </c>
      <c r="C3804" t="s">
        <v>17918</v>
      </c>
      <c r="D3804" t="s">
        <v>17919</v>
      </c>
      <c r="E3804" t="s">
        <v>17920</v>
      </c>
      <c r="F3804" t="s">
        <v>5</v>
      </c>
      <c r="G3804" t="s">
        <v>6</v>
      </c>
      <c r="L3804" t="s">
        <v>7</v>
      </c>
      <c r="M3804">
        <v>2024</v>
      </c>
      <c r="N3804" s="1">
        <v>45443</v>
      </c>
      <c r="O3804" t="s">
        <v>17921</v>
      </c>
      <c r="P3804">
        <v>1</v>
      </c>
      <c r="S3804">
        <v>209.95</v>
      </c>
      <c r="T3804">
        <v>240</v>
      </c>
      <c r="U3804">
        <v>180</v>
      </c>
      <c r="V3804" t="s">
        <v>9</v>
      </c>
      <c r="W3804" t="s">
        <v>10</v>
      </c>
      <c r="X3804" t="s">
        <v>11</v>
      </c>
      <c r="Y3804" t="s">
        <v>12</v>
      </c>
      <c r="AF3804" t="s">
        <v>13</v>
      </c>
      <c r="AH3804" t="str">
        <f>HYPERLINK("http://www.degruyter.com/isbn/9781399514736")</f>
        <v>http://www.degruyter.com/isbn/9781399514736</v>
      </c>
      <c r="AI3804" t="s">
        <v>17506</v>
      </c>
      <c r="AL3804" t="s">
        <v>638</v>
      </c>
      <c r="AM3804">
        <v>1</v>
      </c>
      <c r="AN3804" s="2">
        <v>9781399514712</v>
      </c>
    </row>
    <row r="3805" spans="1:40" x14ac:dyDescent="0.3">
      <c r="A3805" t="s">
        <v>17922</v>
      </c>
      <c r="B3805" t="s">
        <v>1</v>
      </c>
      <c r="C3805" t="s">
        <v>17923</v>
      </c>
      <c r="D3805" t="s">
        <v>17924</v>
      </c>
      <c r="E3805" t="s">
        <v>17925</v>
      </c>
      <c r="F3805" t="s">
        <v>5</v>
      </c>
      <c r="G3805" t="s">
        <v>6</v>
      </c>
      <c r="L3805" t="s">
        <v>7</v>
      </c>
      <c r="M3805">
        <v>2024</v>
      </c>
      <c r="N3805" s="1">
        <v>45443</v>
      </c>
      <c r="O3805" t="s">
        <v>17926</v>
      </c>
      <c r="P3805">
        <v>1</v>
      </c>
      <c r="Q3805" t="s">
        <v>8081</v>
      </c>
      <c r="S3805">
        <v>191.95</v>
      </c>
      <c r="T3805">
        <v>220</v>
      </c>
      <c r="U3805">
        <v>170</v>
      </c>
      <c r="V3805" t="s">
        <v>20</v>
      </c>
      <c r="W3805" t="s">
        <v>21</v>
      </c>
      <c r="X3805" t="s">
        <v>22</v>
      </c>
      <c r="Y3805" t="s">
        <v>23</v>
      </c>
      <c r="AF3805" t="s">
        <v>13</v>
      </c>
      <c r="AH3805" t="str">
        <f>HYPERLINK("http://www.degruyter.com/isbn/9781474493130")</f>
        <v>http://www.degruyter.com/isbn/9781474493130</v>
      </c>
      <c r="AI3805" t="s">
        <v>17576</v>
      </c>
      <c r="AL3805" t="s">
        <v>638</v>
      </c>
      <c r="AM3805">
        <v>1</v>
      </c>
      <c r="AN3805" s="2">
        <v>9781474493116</v>
      </c>
    </row>
    <row r="3806" spans="1:40" x14ac:dyDescent="0.3">
      <c r="A3806" t="s">
        <v>17927</v>
      </c>
      <c r="B3806" t="s">
        <v>1</v>
      </c>
      <c r="C3806" t="s">
        <v>17928</v>
      </c>
      <c r="E3806" t="s">
        <v>17929</v>
      </c>
      <c r="F3806" t="s">
        <v>5</v>
      </c>
      <c r="G3806" t="s">
        <v>6</v>
      </c>
      <c r="L3806" t="s">
        <v>7</v>
      </c>
      <c r="M3806">
        <v>2024</v>
      </c>
      <c r="N3806" s="1">
        <v>45412</v>
      </c>
      <c r="O3806" t="s">
        <v>17930</v>
      </c>
      <c r="P3806">
        <v>1</v>
      </c>
      <c r="S3806">
        <v>191.95</v>
      </c>
      <c r="T3806">
        <v>220</v>
      </c>
      <c r="U3806">
        <v>170</v>
      </c>
      <c r="V3806" t="s">
        <v>42</v>
      </c>
      <c r="W3806" t="s">
        <v>107</v>
      </c>
      <c r="X3806" t="s">
        <v>108</v>
      </c>
      <c r="Y3806" t="s">
        <v>2244</v>
      </c>
      <c r="AF3806" t="s">
        <v>13</v>
      </c>
      <c r="AH3806" t="str">
        <f>HYPERLINK("http://www.degruyter.com/isbn/9781399524933")</f>
        <v>http://www.degruyter.com/isbn/9781399524933</v>
      </c>
      <c r="AI3806" t="s">
        <v>17450</v>
      </c>
      <c r="AL3806" t="s">
        <v>638</v>
      </c>
      <c r="AM3806">
        <v>1</v>
      </c>
      <c r="AN3806" s="2">
        <v>9781399524919</v>
      </c>
    </row>
    <row r="3807" spans="1:40" x14ac:dyDescent="0.3">
      <c r="A3807" t="s">
        <v>17931</v>
      </c>
      <c r="B3807" t="s">
        <v>1</v>
      </c>
      <c r="C3807" t="s">
        <v>17932</v>
      </c>
      <c r="E3807" t="s">
        <v>17933</v>
      </c>
      <c r="F3807" t="s">
        <v>5</v>
      </c>
      <c r="G3807" t="s">
        <v>6</v>
      </c>
      <c r="K3807" t="s">
        <v>17554</v>
      </c>
      <c r="L3807" t="s">
        <v>7</v>
      </c>
      <c r="M3807">
        <v>2024</v>
      </c>
      <c r="N3807" s="1">
        <v>45443</v>
      </c>
      <c r="O3807" t="s">
        <v>17934</v>
      </c>
      <c r="P3807">
        <v>1</v>
      </c>
      <c r="Q3807" t="s">
        <v>11407</v>
      </c>
      <c r="V3807" t="s">
        <v>20</v>
      </c>
      <c r="W3807" t="s">
        <v>470</v>
      </c>
      <c r="X3807" t="s">
        <v>471</v>
      </c>
      <c r="Y3807" t="s">
        <v>472</v>
      </c>
      <c r="AF3807" t="s">
        <v>13</v>
      </c>
      <c r="AH3807" t="str">
        <f>HYPERLINK("http://www.degruyter.com/isbn/9781399523851")</f>
        <v>http://www.degruyter.com/isbn/9781399523851</v>
      </c>
      <c r="AI3807" t="s">
        <v>17576</v>
      </c>
      <c r="AL3807" t="s">
        <v>638</v>
      </c>
      <c r="AM3807">
        <v>1</v>
      </c>
      <c r="AN3807" s="2"/>
    </row>
    <row r="3808" spans="1:40" x14ac:dyDescent="0.3">
      <c r="A3808" t="s">
        <v>17935</v>
      </c>
      <c r="B3808" t="s">
        <v>1</v>
      </c>
      <c r="C3808" t="s">
        <v>17936</v>
      </c>
      <c r="D3808" t="s">
        <v>17937</v>
      </c>
      <c r="E3808" t="s">
        <v>17938</v>
      </c>
      <c r="F3808" t="s">
        <v>5</v>
      </c>
      <c r="G3808" t="s">
        <v>6</v>
      </c>
      <c r="L3808" t="s">
        <v>7</v>
      </c>
      <c r="M3808">
        <v>2024</v>
      </c>
      <c r="N3808" s="1">
        <v>45535</v>
      </c>
      <c r="O3808" t="s">
        <v>17939</v>
      </c>
      <c r="P3808">
        <v>1</v>
      </c>
      <c r="Q3808" t="s">
        <v>14065</v>
      </c>
      <c r="S3808">
        <v>208.95</v>
      </c>
      <c r="T3808">
        <v>240</v>
      </c>
      <c r="U3808">
        <v>180</v>
      </c>
      <c r="V3808" t="s">
        <v>42</v>
      </c>
      <c r="W3808" t="s">
        <v>107</v>
      </c>
      <c r="X3808" t="s">
        <v>108</v>
      </c>
      <c r="Y3808" t="s">
        <v>221</v>
      </c>
      <c r="AF3808" t="s">
        <v>13</v>
      </c>
      <c r="AH3808" t="str">
        <f>HYPERLINK("http://www.degruyter.com/isbn/9781399526883")</f>
        <v>http://www.degruyter.com/isbn/9781399526883</v>
      </c>
      <c r="AI3808" t="s">
        <v>17450</v>
      </c>
      <c r="AL3808" t="s">
        <v>638</v>
      </c>
      <c r="AM3808">
        <v>1</v>
      </c>
      <c r="AN3808" s="2"/>
    </row>
    <row r="3809" spans="1:40" x14ac:dyDescent="0.3">
      <c r="A3809" t="s">
        <v>17940</v>
      </c>
      <c r="B3809" t="s">
        <v>1</v>
      </c>
      <c r="C3809" t="s">
        <v>17941</v>
      </c>
      <c r="E3809" t="s">
        <v>17942</v>
      </c>
      <c r="F3809" t="s">
        <v>5</v>
      </c>
      <c r="G3809" t="s">
        <v>6</v>
      </c>
      <c r="L3809" t="s">
        <v>7</v>
      </c>
      <c r="M3809">
        <v>2024</v>
      </c>
      <c r="N3809" s="1">
        <v>45473</v>
      </c>
      <c r="O3809" t="s">
        <v>17943</v>
      </c>
      <c r="P3809">
        <v>1</v>
      </c>
      <c r="S3809">
        <v>191.95</v>
      </c>
      <c r="T3809">
        <v>220</v>
      </c>
      <c r="U3809">
        <v>170</v>
      </c>
      <c r="V3809" t="s">
        <v>9</v>
      </c>
      <c r="W3809" t="s">
        <v>10</v>
      </c>
      <c r="X3809" t="s">
        <v>11</v>
      </c>
      <c r="Y3809" t="s">
        <v>12</v>
      </c>
      <c r="AF3809" t="s">
        <v>13</v>
      </c>
      <c r="AH3809" t="str">
        <f>HYPERLINK("http://www.degruyter.com/isbn/9781399507301")</f>
        <v>http://www.degruyter.com/isbn/9781399507301</v>
      </c>
      <c r="AI3809" t="s">
        <v>17506</v>
      </c>
      <c r="AL3809" t="s">
        <v>638</v>
      </c>
      <c r="AM3809">
        <v>1</v>
      </c>
      <c r="AN3809" s="2"/>
    </row>
    <row r="3810" spans="1:40" x14ac:dyDescent="0.3">
      <c r="A3810" t="s">
        <v>17944</v>
      </c>
      <c r="B3810" t="s">
        <v>1</v>
      </c>
      <c r="C3810" t="s">
        <v>17945</v>
      </c>
      <c r="D3810" t="s">
        <v>17946</v>
      </c>
      <c r="E3810" t="s">
        <v>17947</v>
      </c>
      <c r="F3810" t="s">
        <v>5</v>
      </c>
      <c r="G3810" t="s">
        <v>6</v>
      </c>
      <c r="L3810" t="s">
        <v>7</v>
      </c>
      <c r="M3810">
        <v>2024</v>
      </c>
      <c r="N3810" s="1">
        <v>45504</v>
      </c>
      <c r="O3810" t="s">
        <v>17948</v>
      </c>
      <c r="P3810">
        <v>1</v>
      </c>
      <c r="S3810">
        <v>191.95</v>
      </c>
      <c r="T3810">
        <v>220</v>
      </c>
      <c r="U3810">
        <v>170</v>
      </c>
      <c r="V3810" t="s">
        <v>79</v>
      </c>
      <c r="W3810" t="s">
        <v>734</v>
      </c>
      <c r="X3810" t="s">
        <v>734</v>
      </c>
      <c r="Y3810" t="s">
        <v>735</v>
      </c>
      <c r="AF3810" t="s">
        <v>13</v>
      </c>
      <c r="AH3810" t="str">
        <f>HYPERLINK("http://www.degruyter.com/isbn/9781399529952")</f>
        <v>http://www.degruyter.com/isbn/9781399529952</v>
      </c>
      <c r="AI3810" t="s">
        <v>17444</v>
      </c>
      <c r="AL3810" t="s">
        <v>638</v>
      </c>
      <c r="AM3810">
        <v>1</v>
      </c>
      <c r="AN3810" s="2"/>
    </row>
    <row r="3811" spans="1:40" x14ac:dyDescent="0.3">
      <c r="A3811" t="s">
        <v>17949</v>
      </c>
      <c r="B3811" t="s">
        <v>1</v>
      </c>
      <c r="C3811" t="s">
        <v>17950</v>
      </c>
      <c r="D3811" t="s">
        <v>17951</v>
      </c>
      <c r="E3811" t="s">
        <v>17952</v>
      </c>
      <c r="F3811" t="s">
        <v>5</v>
      </c>
      <c r="G3811" t="s">
        <v>6</v>
      </c>
      <c r="L3811" t="s">
        <v>7</v>
      </c>
      <c r="M3811">
        <v>2024</v>
      </c>
      <c r="N3811" s="1">
        <v>45443</v>
      </c>
      <c r="O3811" t="s">
        <v>17953</v>
      </c>
      <c r="P3811">
        <v>1</v>
      </c>
      <c r="Q3811" t="s">
        <v>17800</v>
      </c>
      <c r="S3811">
        <v>209.95</v>
      </c>
      <c r="T3811">
        <v>240</v>
      </c>
      <c r="U3811">
        <v>180</v>
      </c>
      <c r="V3811" t="s">
        <v>42</v>
      </c>
      <c r="W3811" t="s">
        <v>740</v>
      </c>
      <c r="X3811" t="s">
        <v>741</v>
      </c>
      <c r="Y3811" t="s">
        <v>1263</v>
      </c>
      <c r="AF3811" t="s">
        <v>13</v>
      </c>
      <c r="AH3811" t="str">
        <f>HYPERLINK("http://www.degruyter.com/isbn/9781399519878")</f>
        <v>http://www.degruyter.com/isbn/9781399519878</v>
      </c>
      <c r="AI3811" t="s">
        <v>17450</v>
      </c>
      <c r="AL3811" t="s">
        <v>638</v>
      </c>
      <c r="AM3811">
        <v>1</v>
      </c>
      <c r="AN3811" s="2">
        <v>9781399519854</v>
      </c>
    </row>
    <row r="3812" spans="1:40" x14ac:dyDescent="0.3">
      <c r="A3812" t="s">
        <v>17954</v>
      </c>
      <c r="B3812" t="s">
        <v>1</v>
      </c>
      <c r="C3812" t="s">
        <v>17955</v>
      </c>
      <c r="D3812" t="s">
        <v>17956</v>
      </c>
      <c r="E3812" t="s">
        <v>17957</v>
      </c>
      <c r="F3812" t="s">
        <v>5</v>
      </c>
      <c r="G3812" t="s">
        <v>6</v>
      </c>
      <c r="L3812" t="s">
        <v>7</v>
      </c>
      <c r="M3812">
        <v>2024</v>
      </c>
      <c r="N3812" s="1">
        <v>45565</v>
      </c>
      <c r="O3812" t="s">
        <v>17958</v>
      </c>
      <c r="P3812">
        <v>1</v>
      </c>
      <c r="S3812">
        <v>208.95</v>
      </c>
      <c r="T3812">
        <v>240</v>
      </c>
      <c r="U3812">
        <v>180</v>
      </c>
      <c r="V3812" t="s">
        <v>42</v>
      </c>
      <c r="W3812" t="s">
        <v>107</v>
      </c>
      <c r="X3812" t="s">
        <v>108</v>
      </c>
      <c r="Y3812" t="s">
        <v>221</v>
      </c>
      <c r="AF3812" t="s">
        <v>13</v>
      </c>
      <c r="AH3812" t="str">
        <f>HYPERLINK("http://www.degruyter.com/isbn/9781399519236")</f>
        <v>http://www.degruyter.com/isbn/9781399519236</v>
      </c>
      <c r="AI3812" t="s">
        <v>17450</v>
      </c>
      <c r="AL3812" t="s">
        <v>638</v>
      </c>
      <c r="AM3812">
        <v>1</v>
      </c>
      <c r="AN3812" s="2"/>
    </row>
    <row r="3813" spans="1:40" x14ac:dyDescent="0.3">
      <c r="A3813" t="s">
        <v>17959</v>
      </c>
      <c r="B3813" t="s">
        <v>1</v>
      </c>
      <c r="C3813" t="s">
        <v>17960</v>
      </c>
      <c r="E3813" t="s">
        <v>17961</v>
      </c>
      <c r="F3813" t="s">
        <v>5</v>
      </c>
      <c r="G3813" t="s">
        <v>6</v>
      </c>
      <c r="L3813" t="s">
        <v>7</v>
      </c>
      <c r="M3813">
        <v>2024</v>
      </c>
      <c r="N3813" s="1">
        <v>45535</v>
      </c>
      <c r="O3813" t="s">
        <v>17962</v>
      </c>
      <c r="P3813">
        <v>1</v>
      </c>
      <c r="Q3813" t="s">
        <v>14976</v>
      </c>
      <c r="S3813">
        <v>208.95</v>
      </c>
      <c r="T3813">
        <v>240</v>
      </c>
      <c r="U3813">
        <v>180</v>
      </c>
      <c r="V3813" t="s">
        <v>305</v>
      </c>
      <c r="W3813" t="s">
        <v>306</v>
      </c>
      <c r="X3813" t="s">
        <v>306</v>
      </c>
      <c r="Y3813" t="s">
        <v>13812</v>
      </c>
      <c r="AF3813" t="s">
        <v>13</v>
      </c>
      <c r="AH3813" t="str">
        <f>HYPERLINK("http://www.degruyter.com/isbn/9781399525237")</f>
        <v>http://www.degruyter.com/isbn/9781399525237</v>
      </c>
      <c r="AI3813" t="s">
        <v>17506</v>
      </c>
      <c r="AL3813" t="s">
        <v>638</v>
      </c>
      <c r="AM3813">
        <v>1</v>
      </c>
      <c r="AN3813" s="2"/>
    </row>
    <row r="3814" spans="1:40" x14ac:dyDescent="0.3">
      <c r="A3814" t="s">
        <v>17963</v>
      </c>
      <c r="B3814" t="s">
        <v>1</v>
      </c>
      <c r="C3814" t="s">
        <v>17964</v>
      </c>
      <c r="D3814" t="s">
        <v>17965</v>
      </c>
      <c r="E3814" t="s">
        <v>17966</v>
      </c>
      <c r="F3814" t="s">
        <v>5</v>
      </c>
      <c r="G3814" t="s">
        <v>6</v>
      </c>
      <c r="L3814" t="s">
        <v>7</v>
      </c>
      <c r="M3814">
        <v>2024</v>
      </c>
      <c r="N3814" s="1">
        <v>45504</v>
      </c>
      <c r="O3814" t="s">
        <v>17967</v>
      </c>
      <c r="P3814">
        <v>1</v>
      </c>
      <c r="Q3814" t="s">
        <v>8096</v>
      </c>
      <c r="S3814">
        <v>191.95</v>
      </c>
      <c r="T3814">
        <v>220</v>
      </c>
      <c r="U3814">
        <v>170</v>
      </c>
      <c r="V3814" t="s">
        <v>42</v>
      </c>
      <c r="W3814" t="s">
        <v>116</v>
      </c>
      <c r="X3814" t="s">
        <v>116</v>
      </c>
      <c r="Y3814" t="s">
        <v>11160</v>
      </c>
      <c r="AF3814" t="s">
        <v>13</v>
      </c>
      <c r="AH3814" t="str">
        <f>HYPERLINK("http://www.degruyter.com/isbn/9781399522113")</f>
        <v>http://www.degruyter.com/isbn/9781399522113</v>
      </c>
      <c r="AI3814" t="s">
        <v>17450</v>
      </c>
      <c r="AL3814" t="s">
        <v>638</v>
      </c>
      <c r="AM3814">
        <v>1</v>
      </c>
      <c r="AN3814" s="2"/>
    </row>
    <row r="3815" spans="1:40" x14ac:dyDescent="0.3">
      <c r="A3815" t="s">
        <v>17968</v>
      </c>
      <c r="B3815" t="s">
        <v>1</v>
      </c>
      <c r="C3815" t="s">
        <v>17969</v>
      </c>
      <c r="E3815" t="s">
        <v>17970</v>
      </c>
      <c r="F3815" t="s">
        <v>5</v>
      </c>
      <c r="G3815" t="s">
        <v>6</v>
      </c>
      <c r="L3815" t="s">
        <v>7</v>
      </c>
      <c r="M3815">
        <v>2024</v>
      </c>
      <c r="N3815" s="1">
        <v>45473</v>
      </c>
      <c r="O3815" t="s">
        <v>17971</v>
      </c>
      <c r="P3815">
        <v>1</v>
      </c>
      <c r="Q3815" t="s">
        <v>13309</v>
      </c>
      <c r="S3815">
        <v>339.95</v>
      </c>
      <c r="T3815">
        <v>390</v>
      </c>
      <c r="U3815">
        <v>300</v>
      </c>
      <c r="V3815" t="s">
        <v>42</v>
      </c>
      <c r="W3815" t="s">
        <v>116</v>
      </c>
      <c r="X3815" t="s">
        <v>116</v>
      </c>
      <c r="Y3815" t="s">
        <v>3967</v>
      </c>
      <c r="AF3815" t="s">
        <v>13</v>
      </c>
      <c r="AH3815" t="str">
        <f>HYPERLINK("http://www.degruyter.com/isbn/9781474499675")</f>
        <v>http://www.degruyter.com/isbn/9781474499675</v>
      </c>
      <c r="AI3815" t="s">
        <v>17450</v>
      </c>
      <c r="AL3815" t="s">
        <v>638</v>
      </c>
      <c r="AM3815">
        <v>1</v>
      </c>
      <c r="AN3815" s="2"/>
    </row>
    <row r="3816" spans="1:40" x14ac:dyDescent="0.3">
      <c r="A3816" t="s">
        <v>17972</v>
      </c>
      <c r="B3816" t="s">
        <v>1</v>
      </c>
      <c r="C3816" t="s">
        <v>17973</v>
      </c>
      <c r="D3816" t="s">
        <v>17974</v>
      </c>
      <c r="E3816" t="s">
        <v>17975</v>
      </c>
      <c r="F3816" t="s">
        <v>5</v>
      </c>
      <c r="G3816" t="s">
        <v>6</v>
      </c>
      <c r="L3816" t="s">
        <v>7</v>
      </c>
      <c r="M3816">
        <v>2024</v>
      </c>
      <c r="N3816" s="1">
        <v>45504</v>
      </c>
      <c r="O3816" t="s">
        <v>17976</v>
      </c>
      <c r="P3816">
        <v>1</v>
      </c>
      <c r="S3816">
        <v>208.95</v>
      </c>
      <c r="T3816">
        <v>240</v>
      </c>
      <c r="U3816">
        <v>180</v>
      </c>
      <c r="V3816" t="s">
        <v>58</v>
      </c>
      <c r="W3816" t="s">
        <v>59</v>
      </c>
      <c r="X3816" t="s">
        <v>60</v>
      </c>
      <c r="Y3816" t="s">
        <v>169</v>
      </c>
      <c r="AF3816" t="s">
        <v>13</v>
      </c>
      <c r="AH3816" t="str">
        <f>HYPERLINK("http://www.degruyter.com/isbn/9781399524179")</f>
        <v>http://www.degruyter.com/isbn/9781399524179</v>
      </c>
      <c r="AI3816" t="s">
        <v>17556</v>
      </c>
      <c r="AL3816" t="s">
        <v>638</v>
      </c>
      <c r="AM3816">
        <v>1</v>
      </c>
      <c r="AN3816" s="2"/>
    </row>
    <row r="3817" spans="1:40" x14ac:dyDescent="0.3">
      <c r="A3817" t="s">
        <v>17977</v>
      </c>
      <c r="B3817" t="s">
        <v>1</v>
      </c>
      <c r="C3817" t="s">
        <v>17978</v>
      </c>
      <c r="D3817" t="s">
        <v>17979</v>
      </c>
      <c r="E3817" t="s">
        <v>17980</v>
      </c>
      <c r="F3817" t="s">
        <v>5</v>
      </c>
      <c r="G3817" t="s">
        <v>6</v>
      </c>
      <c r="L3817" t="s">
        <v>7</v>
      </c>
      <c r="M3817">
        <v>2024</v>
      </c>
      <c r="N3817" s="1">
        <v>45535</v>
      </c>
      <c r="O3817" t="s">
        <v>17976</v>
      </c>
      <c r="P3817">
        <v>1</v>
      </c>
      <c r="Q3817" t="s">
        <v>7728</v>
      </c>
      <c r="S3817">
        <v>208.95</v>
      </c>
      <c r="T3817">
        <v>240</v>
      </c>
      <c r="U3817">
        <v>180</v>
      </c>
      <c r="V3817" t="s">
        <v>42</v>
      </c>
      <c r="W3817" t="s">
        <v>1379</v>
      </c>
      <c r="X3817" t="s">
        <v>17461</v>
      </c>
      <c r="Y3817" t="s">
        <v>1381</v>
      </c>
      <c r="AF3817" t="s">
        <v>13</v>
      </c>
      <c r="AH3817" t="str">
        <f>HYPERLINK("http://www.degruyter.com/isbn/9781399522984")</f>
        <v>http://www.degruyter.com/isbn/9781399522984</v>
      </c>
      <c r="AI3817" t="s">
        <v>17450</v>
      </c>
      <c r="AL3817" t="s">
        <v>638</v>
      </c>
      <c r="AM3817">
        <v>1</v>
      </c>
      <c r="AN3817" s="2"/>
    </row>
    <row r="3818" spans="1:40" x14ac:dyDescent="0.3">
      <c r="A3818" t="s">
        <v>17981</v>
      </c>
      <c r="B3818" t="s">
        <v>1</v>
      </c>
      <c r="C3818" t="s">
        <v>17982</v>
      </c>
      <c r="D3818" t="s">
        <v>17983</v>
      </c>
      <c r="E3818" t="s">
        <v>17984</v>
      </c>
      <c r="F3818" t="s">
        <v>5</v>
      </c>
      <c r="G3818" t="s">
        <v>6</v>
      </c>
      <c r="L3818" t="s">
        <v>7</v>
      </c>
      <c r="M3818">
        <v>2024</v>
      </c>
      <c r="N3818" s="1">
        <v>45565</v>
      </c>
      <c r="O3818" t="s">
        <v>17985</v>
      </c>
      <c r="P3818">
        <v>1</v>
      </c>
      <c r="S3818">
        <v>208.95</v>
      </c>
      <c r="T3818">
        <v>240</v>
      </c>
      <c r="U3818">
        <v>180</v>
      </c>
      <c r="V3818" t="s">
        <v>305</v>
      </c>
      <c r="W3818" t="s">
        <v>2129</v>
      </c>
      <c r="X3818" t="s">
        <v>9271</v>
      </c>
      <c r="Y3818" t="s">
        <v>9272</v>
      </c>
      <c r="AF3818" t="s">
        <v>13</v>
      </c>
      <c r="AH3818" t="str">
        <f>HYPERLINK("http://www.degruyter.com/isbn/9781399510059")</f>
        <v>http://www.degruyter.com/isbn/9781399510059</v>
      </c>
      <c r="AI3818" t="s">
        <v>17506</v>
      </c>
      <c r="AL3818" t="s">
        <v>638</v>
      </c>
      <c r="AM3818">
        <v>1</v>
      </c>
      <c r="AN3818" s="2"/>
    </row>
    <row r="3819" spans="1:40" x14ac:dyDescent="0.3">
      <c r="A3819" t="s">
        <v>17986</v>
      </c>
      <c r="B3819" t="s">
        <v>1</v>
      </c>
      <c r="C3819" t="s">
        <v>17987</v>
      </c>
      <c r="D3819" t="s">
        <v>17988</v>
      </c>
      <c r="E3819" t="s">
        <v>17989</v>
      </c>
      <c r="F3819" t="s">
        <v>5</v>
      </c>
      <c r="G3819" t="s">
        <v>6</v>
      </c>
      <c r="L3819" t="s">
        <v>7</v>
      </c>
      <c r="M3819">
        <v>2024</v>
      </c>
      <c r="N3819" s="1">
        <v>45504</v>
      </c>
      <c r="O3819" t="s">
        <v>17990</v>
      </c>
      <c r="P3819">
        <v>1</v>
      </c>
      <c r="Q3819" t="s">
        <v>15497</v>
      </c>
      <c r="S3819">
        <v>191.95</v>
      </c>
      <c r="T3819">
        <v>220</v>
      </c>
      <c r="U3819">
        <v>170</v>
      </c>
      <c r="V3819" t="s">
        <v>9</v>
      </c>
      <c r="W3819" t="s">
        <v>10</v>
      </c>
      <c r="X3819" t="s">
        <v>11</v>
      </c>
      <c r="Y3819" t="s">
        <v>12</v>
      </c>
      <c r="AF3819" t="s">
        <v>13</v>
      </c>
      <c r="AH3819" t="str">
        <f>HYPERLINK("http://www.degruyter.com/isbn/9781399525688")</f>
        <v>http://www.degruyter.com/isbn/9781399525688</v>
      </c>
      <c r="AI3819" t="s">
        <v>17506</v>
      </c>
      <c r="AL3819" t="s">
        <v>638</v>
      </c>
      <c r="AM3819">
        <v>1</v>
      </c>
      <c r="AN3819" s="2"/>
    </row>
    <row r="3820" spans="1:40" x14ac:dyDescent="0.3">
      <c r="A3820" t="s">
        <v>17991</v>
      </c>
      <c r="B3820" t="s">
        <v>1</v>
      </c>
      <c r="C3820" t="s">
        <v>17992</v>
      </c>
      <c r="D3820" t="s">
        <v>17993</v>
      </c>
      <c r="E3820" t="s">
        <v>17994</v>
      </c>
      <c r="F3820" t="s">
        <v>5</v>
      </c>
      <c r="G3820" t="s">
        <v>6</v>
      </c>
      <c r="L3820" t="s">
        <v>7</v>
      </c>
      <c r="M3820">
        <v>2024</v>
      </c>
      <c r="N3820" s="1">
        <v>45504</v>
      </c>
      <c r="O3820" t="s">
        <v>7013</v>
      </c>
      <c r="P3820">
        <v>1</v>
      </c>
      <c r="Q3820" t="s">
        <v>14467</v>
      </c>
      <c r="S3820">
        <v>191.95</v>
      </c>
      <c r="T3820">
        <v>220</v>
      </c>
      <c r="U3820">
        <v>170</v>
      </c>
      <c r="V3820" t="s">
        <v>42</v>
      </c>
      <c r="W3820" t="s">
        <v>116</v>
      </c>
      <c r="X3820" t="s">
        <v>116</v>
      </c>
      <c r="Y3820" t="s">
        <v>17995</v>
      </c>
      <c r="AF3820" t="s">
        <v>13</v>
      </c>
      <c r="AH3820" t="str">
        <f>HYPERLINK("http://www.degruyter.com/isbn/9781399528429")</f>
        <v>http://www.degruyter.com/isbn/9781399528429</v>
      </c>
      <c r="AI3820" t="s">
        <v>17450</v>
      </c>
      <c r="AL3820" t="s">
        <v>638</v>
      </c>
      <c r="AM3820">
        <v>1</v>
      </c>
      <c r="AN3820" s="2"/>
    </row>
    <row r="3821" spans="1:40" x14ac:dyDescent="0.3">
      <c r="A3821" t="s">
        <v>17996</v>
      </c>
      <c r="B3821" t="s">
        <v>1</v>
      </c>
      <c r="C3821" t="s">
        <v>17997</v>
      </c>
      <c r="D3821" t="s">
        <v>17998</v>
      </c>
      <c r="E3821" t="s">
        <v>17999</v>
      </c>
      <c r="F3821" t="s">
        <v>5</v>
      </c>
      <c r="G3821" t="s">
        <v>6</v>
      </c>
      <c r="L3821" t="s">
        <v>7</v>
      </c>
      <c r="M3821">
        <v>2024</v>
      </c>
      <c r="N3821" s="1">
        <v>45565</v>
      </c>
      <c r="O3821" t="s">
        <v>18000</v>
      </c>
      <c r="P3821">
        <v>1</v>
      </c>
      <c r="S3821">
        <v>191.95</v>
      </c>
      <c r="T3821">
        <v>220</v>
      </c>
      <c r="U3821">
        <v>170</v>
      </c>
      <c r="V3821" t="s">
        <v>58</v>
      </c>
      <c r="W3821" t="s">
        <v>59</v>
      </c>
      <c r="X3821" t="s">
        <v>60</v>
      </c>
      <c r="Y3821" t="s">
        <v>61</v>
      </c>
      <c r="AF3821" t="s">
        <v>13</v>
      </c>
      <c r="AH3821" t="str">
        <f>HYPERLINK("http://www.degruyter.com/isbn/9781399537278")</f>
        <v>http://www.degruyter.com/isbn/9781399537278</v>
      </c>
      <c r="AI3821" t="s">
        <v>17501</v>
      </c>
      <c r="AL3821" t="s">
        <v>638</v>
      </c>
      <c r="AM3821">
        <v>1</v>
      </c>
      <c r="AN3821" s="2"/>
    </row>
    <row r="3822" spans="1:40" x14ac:dyDescent="0.3">
      <c r="A3822" t="s">
        <v>18001</v>
      </c>
      <c r="B3822" t="s">
        <v>1</v>
      </c>
      <c r="C3822" t="s">
        <v>18002</v>
      </c>
      <c r="D3822" t="s">
        <v>5690</v>
      </c>
      <c r="E3822" t="s">
        <v>18003</v>
      </c>
      <c r="F3822" t="s">
        <v>5</v>
      </c>
      <c r="G3822" t="s">
        <v>6</v>
      </c>
      <c r="L3822" t="s">
        <v>7</v>
      </c>
      <c r="M3822">
        <v>2024</v>
      </c>
      <c r="N3822" s="1">
        <v>45473</v>
      </c>
      <c r="O3822" t="s">
        <v>18004</v>
      </c>
      <c r="P3822">
        <v>1</v>
      </c>
      <c r="Q3822" t="s">
        <v>5693</v>
      </c>
      <c r="S3822">
        <v>217.95</v>
      </c>
      <c r="T3822">
        <v>250</v>
      </c>
      <c r="U3822">
        <v>190</v>
      </c>
      <c r="V3822" t="s">
        <v>42</v>
      </c>
      <c r="W3822" t="s">
        <v>43</v>
      </c>
      <c r="X3822" t="s">
        <v>178</v>
      </c>
      <c r="Y3822" t="s">
        <v>3750</v>
      </c>
      <c r="AF3822" t="s">
        <v>13</v>
      </c>
      <c r="AH3822" t="str">
        <f>HYPERLINK("http://www.degruyter.com/isbn/9781399505765")</f>
        <v>http://www.degruyter.com/isbn/9781399505765</v>
      </c>
      <c r="AI3822" t="s">
        <v>17450</v>
      </c>
      <c r="AL3822" t="s">
        <v>638</v>
      </c>
      <c r="AM3822">
        <v>1</v>
      </c>
      <c r="AN3822" s="2"/>
    </row>
    <row r="3823" spans="1:40" x14ac:dyDescent="0.3">
      <c r="A3823" t="s">
        <v>18005</v>
      </c>
      <c r="B3823" t="s">
        <v>1</v>
      </c>
      <c r="C3823" t="s">
        <v>18006</v>
      </c>
      <c r="E3823" t="s">
        <v>18007</v>
      </c>
      <c r="F3823" t="s">
        <v>5</v>
      </c>
      <c r="G3823" t="s">
        <v>6</v>
      </c>
      <c r="L3823" t="s">
        <v>7</v>
      </c>
      <c r="M3823">
        <v>2024</v>
      </c>
      <c r="N3823" s="1">
        <v>45535</v>
      </c>
      <c r="O3823" t="s">
        <v>18008</v>
      </c>
      <c r="P3823">
        <v>1</v>
      </c>
      <c r="Q3823" t="s">
        <v>8601</v>
      </c>
      <c r="S3823">
        <v>191.95</v>
      </c>
      <c r="T3823">
        <v>220</v>
      </c>
      <c r="U3823">
        <v>170</v>
      </c>
      <c r="V3823" t="s">
        <v>9</v>
      </c>
      <c r="W3823" t="s">
        <v>10</v>
      </c>
      <c r="X3823" t="s">
        <v>11</v>
      </c>
      <c r="Y3823" t="s">
        <v>12</v>
      </c>
      <c r="AF3823" t="s">
        <v>13</v>
      </c>
      <c r="AH3823" t="str">
        <f>HYPERLINK("http://www.degruyter.com/isbn/9781399521017")</f>
        <v>http://www.degruyter.com/isbn/9781399521017</v>
      </c>
      <c r="AI3823" t="s">
        <v>17506</v>
      </c>
      <c r="AL3823" t="s">
        <v>638</v>
      </c>
      <c r="AM3823">
        <v>1</v>
      </c>
      <c r="AN3823" s="2"/>
    </row>
    <row r="3824" spans="1:40" x14ac:dyDescent="0.3">
      <c r="A3824" t="s">
        <v>18009</v>
      </c>
      <c r="B3824" t="s">
        <v>1</v>
      </c>
      <c r="C3824" t="s">
        <v>18010</v>
      </c>
      <c r="D3824" t="s">
        <v>18011</v>
      </c>
      <c r="E3824" t="s">
        <v>18012</v>
      </c>
      <c r="F3824" t="s">
        <v>5</v>
      </c>
      <c r="G3824" t="s">
        <v>6</v>
      </c>
      <c r="L3824" t="s">
        <v>7</v>
      </c>
      <c r="M3824">
        <v>2024</v>
      </c>
      <c r="N3824" s="1">
        <v>45473</v>
      </c>
      <c r="O3824" t="s">
        <v>18013</v>
      </c>
      <c r="P3824">
        <v>1</v>
      </c>
      <c r="S3824">
        <v>217.95</v>
      </c>
      <c r="T3824">
        <v>250</v>
      </c>
      <c r="U3824">
        <v>190</v>
      </c>
      <c r="V3824" t="s">
        <v>79</v>
      </c>
      <c r="W3824" t="s">
        <v>227</v>
      </c>
      <c r="X3824" t="s">
        <v>3926</v>
      </c>
      <c r="Y3824" t="s">
        <v>699</v>
      </c>
      <c r="AF3824" t="s">
        <v>13</v>
      </c>
      <c r="AH3824" t="str">
        <f>HYPERLINK("http://www.degruyter.com/isbn/9781399503310")</f>
        <v>http://www.degruyter.com/isbn/9781399503310</v>
      </c>
      <c r="AI3824" t="s">
        <v>17444</v>
      </c>
      <c r="AL3824" t="s">
        <v>638</v>
      </c>
      <c r="AM3824">
        <v>1</v>
      </c>
      <c r="AN3824" s="2"/>
    </row>
    <row r="3825" spans="1:40" x14ac:dyDescent="0.3">
      <c r="A3825" t="s">
        <v>18014</v>
      </c>
      <c r="B3825" t="s">
        <v>1</v>
      </c>
      <c r="C3825" t="s">
        <v>18015</v>
      </c>
      <c r="D3825" t="s">
        <v>18016</v>
      </c>
      <c r="E3825" t="s">
        <v>18017</v>
      </c>
      <c r="F3825" t="s">
        <v>5</v>
      </c>
      <c r="G3825" t="s">
        <v>6</v>
      </c>
      <c r="L3825" t="s">
        <v>7</v>
      </c>
      <c r="M3825">
        <v>2024</v>
      </c>
      <c r="N3825" s="1">
        <v>45443</v>
      </c>
      <c r="O3825" t="s">
        <v>1221</v>
      </c>
      <c r="P3825">
        <v>1</v>
      </c>
      <c r="S3825">
        <v>209.95</v>
      </c>
      <c r="T3825">
        <v>240</v>
      </c>
      <c r="U3825">
        <v>180</v>
      </c>
      <c r="V3825" t="s">
        <v>42</v>
      </c>
      <c r="W3825" t="s">
        <v>107</v>
      </c>
      <c r="X3825" t="s">
        <v>108</v>
      </c>
      <c r="Y3825" t="s">
        <v>2244</v>
      </c>
      <c r="AF3825" t="s">
        <v>13</v>
      </c>
      <c r="AH3825" t="str">
        <f>HYPERLINK("http://www.degruyter.com/isbn/9781399516235")</f>
        <v>http://www.degruyter.com/isbn/9781399516235</v>
      </c>
      <c r="AI3825" t="s">
        <v>17450</v>
      </c>
      <c r="AL3825" t="s">
        <v>638</v>
      </c>
      <c r="AM3825">
        <v>1</v>
      </c>
      <c r="AN3825" s="2">
        <v>9781399516211</v>
      </c>
    </row>
    <row r="3826" spans="1:40" x14ac:dyDescent="0.3">
      <c r="A3826" t="s">
        <v>18018</v>
      </c>
      <c r="B3826" t="s">
        <v>1</v>
      </c>
      <c r="C3826" t="s">
        <v>18019</v>
      </c>
      <c r="E3826" t="s">
        <v>18020</v>
      </c>
      <c r="F3826" t="s">
        <v>5</v>
      </c>
      <c r="G3826" t="s">
        <v>6</v>
      </c>
      <c r="L3826" t="s">
        <v>7</v>
      </c>
      <c r="M3826">
        <v>2024</v>
      </c>
      <c r="N3826" s="1">
        <v>45382</v>
      </c>
      <c r="O3826" t="s">
        <v>18021</v>
      </c>
      <c r="P3826">
        <v>1</v>
      </c>
      <c r="S3826">
        <v>217.95</v>
      </c>
      <c r="T3826">
        <v>250</v>
      </c>
      <c r="U3826">
        <v>190</v>
      </c>
      <c r="V3826" t="s">
        <v>42</v>
      </c>
      <c r="W3826" t="s">
        <v>116</v>
      </c>
      <c r="X3826" t="s">
        <v>116</v>
      </c>
      <c r="Y3826" t="s">
        <v>15123</v>
      </c>
      <c r="AF3826" t="s">
        <v>13</v>
      </c>
      <c r="AH3826" t="str">
        <f>HYPERLINK("http://www.degruyter.com/isbn/9781399522595")</f>
        <v>http://www.degruyter.com/isbn/9781399522595</v>
      </c>
      <c r="AI3826" t="s">
        <v>17450</v>
      </c>
      <c r="AL3826" t="s">
        <v>638</v>
      </c>
      <c r="AM3826">
        <v>1</v>
      </c>
      <c r="AN3826" s="2">
        <v>9781399522571</v>
      </c>
    </row>
    <row r="3827" spans="1:40" x14ac:dyDescent="0.3">
      <c r="A3827" t="s">
        <v>18022</v>
      </c>
      <c r="B3827" t="s">
        <v>1</v>
      </c>
      <c r="C3827" t="s">
        <v>18023</v>
      </c>
      <c r="E3827" t="s">
        <v>18024</v>
      </c>
      <c r="F3827" t="s">
        <v>5</v>
      </c>
      <c r="G3827" t="s">
        <v>6</v>
      </c>
      <c r="L3827" t="s">
        <v>7</v>
      </c>
      <c r="M3827">
        <v>2024</v>
      </c>
      <c r="N3827" s="1">
        <v>45443</v>
      </c>
      <c r="O3827" t="s">
        <v>18025</v>
      </c>
      <c r="P3827">
        <v>1</v>
      </c>
      <c r="Q3827" t="s">
        <v>11407</v>
      </c>
      <c r="S3827">
        <v>227.95</v>
      </c>
      <c r="T3827">
        <v>260</v>
      </c>
      <c r="U3827">
        <v>200</v>
      </c>
      <c r="V3827" t="s">
        <v>20</v>
      </c>
      <c r="W3827" t="s">
        <v>470</v>
      </c>
      <c r="X3827" t="s">
        <v>471</v>
      </c>
      <c r="Y3827" t="s">
        <v>472</v>
      </c>
      <c r="AF3827" t="s">
        <v>13</v>
      </c>
      <c r="AH3827" t="str">
        <f>HYPERLINK("http://www.degruyter.com/isbn/9781474498630")</f>
        <v>http://www.degruyter.com/isbn/9781474498630</v>
      </c>
      <c r="AI3827" t="s">
        <v>17576</v>
      </c>
      <c r="AL3827" t="s">
        <v>638</v>
      </c>
      <c r="AM3827">
        <v>1</v>
      </c>
      <c r="AN3827" s="2">
        <v>9781474498616</v>
      </c>
    </row>
    <row r="3828" spans="1:40" x14ac:dyDescent="0.3">
      <c r="A3828" t="s">
        <v>18026</v>
      </c>
      <c r="B3828" t="s">
        <v>1</v>
      </c>
      <c r="C3828" t="s">
        <v>18027</v>
      </c>
      <c r="E3828" t="s">
        <v>18028</v>
      </c>
      <c r="F3828" t="s">
        <v>5</v>
      </c>
      <c r="G3828" t="s">
        <v>6</v>
      </c>
      <c r="L3828" t="s">
        <v>7</v>
      </c>
      <c r="M3828">
        <v>2024</v>
      </c>
      <c r="N3828" s="1">
        <v>45412</v>
      </c>
      <c r="O3828" t="s">
        <v>18029</v>
      </c>
      <c r="P3828">
        <v>1</v>
      </c>
      <c r="S3828">
        <v>401.95</v>
      </c>
      <c r="T3828">
        <v>460</v>
      </c>
      <c r="U3828">
        <v>350</v>
      </c>
      <c r="V3828" t="s">
        <v>42</v>
      </c>
      <c r="W3828" t="s">
        <v>43</v>
      </c>
      <c r="X3828" t="s">
        <v>178</v>
      </c>
      <c r="Y3828" t="s">
        <v>2453</v>
      </c>
      <c r="AF3828" t="s">
        <v>13</v>
      </c>
      <c r="AH3828" t="str">
        <f>HYPERLINK("http://www.degruyter.com/isbn/9781399506663")</f>
        <v>http://www.degruyter.com/isbn/9781399506663</v>
      </c>
      <c r="AI3828" t="s">
        <v>17450</v>
      </c>
      <c r="AL3828" t="s">
        <v>638</v>
      </c>
      <c r="AM3828">
        <v>1</v>
      </c>
      <c r="AN3828" s="2">
        <v>9781399506656</v>
      </c>
    </row>
    <row r="3829" spans="1:40" x14ac:dyDescent="0.3">
      <c r="A3829" t="s">
        <v>18030</v>
      </c>
      <c r="B3829" t="s">
        <v>1</v>
      </c>
      <c r="C3829" t="s">
        <v>18031</v>
      </c>
      <c r="E3829" t="s">
        <v>18032</v>
      </c>
      <c r="F3829" t="s">
        <v>5</v>
      </c>
      <c r="G3829" t="s">
        <v>6</v>
      </c>
      <c r="L3829" t="s">
        <v>7</v>
      </c>
      <c r="M3829">
        <v>2024</v>
      </c>
      <c r="N3829" s="1">
        <v>45412</v>
      </c>
      <c r="O3829" t="s">
        <v>4272</v>
      </c>
      <c r="P3829">
        <v>1</v>
      </c>
      <c r="S3829">
        <v>217.95</v>
      </c>
      <c r="T3829">
        <v>250</v>
      </c>
      <c r="U3829">
        <v>190</v>
      </c>
      <c r="V3829" t="s">
        <v>42</v>
      </c>
      <c r="W3829" t="s">
        <v>290</v>
      </c>
      <c r="X3829" t="s">
        <v>290</v>
      </c>
      <c r="Y3829" t="s">
        <v>515</v>
      </c>
      <c r="AF3829" t="s">
        <v>13</v>
      </c>
      <c r="AH3829" t="str">
        <f>HYPERLINK("http://www.degruyter.com/isbn/9781399524308")</f>
        <v>http://www.degruyter.com/isbn/9781399524308</v>
      </c>
      <c r="AI3829" t="s">
        <v>17450</v>
      </c>
      <c r="AL3829" t="s">
        <v>638</v>
      </c>
      <c r="AM3829">
        <v>1</v>
      </c>
      <c r="AN3829" s="2">
        <v>9780748689385</v>
      </c>
    </row>
    <row r="3830" spans="1:40" x14ac:dyDescent="0.3">
      <c r="A3830" t="s">
        <v>18033</v>
      </c>
      <c r="B3830" t="s">
        <v>1</v>
      </c>
      <c r="C3830" t="s">
        <v>18034</v>
      </c>
      <c r="D3830" t="s">
        <v>18035</v>
      </c>
      <c r="E3830" t="s">
        <v>18036</v>
      </c>
      <c r="F3830" t="s">
        <v>5</v>
      </c>
      <c r="G3830" t="s">
        <v>6</v>
      </c>
      <c r="L3830" t="s">
        <v>7</v>
      </c>
      <c r="M3830">
        <v>2024</v>
      </c>
      <c r="N3830" s="1">
        <v>45504</v>
      </c>
      <c r="O3830" t="s">
        <v>18037</v>
      </c>
      <c r="P3830">
        <v>1</v>
      </c>
      <c r="Q3830" t="s">
        <v>9122</v>
      </c>
      <c r="S3830">
        <v>226.95</v>
      </c>
      <c r="T3830">
        <v>260</v>
      </c>
      <c r="U3830">
        <v>200</v>
      </c>
      <c r="V3830" t="s">
        <v>305</v>
      </c>
      <c r="W3830" t="s">
        <v>306</v>
      </c>
      <c r="X3830" t="s">
        <v>306</v>
      </c>
      <c r="Y3830" t="s">
        <v>14022</v>
      </c>
      <c r="AF3830" t="s">
        <v>13</v>
      </c>
      <c r="AH3830" t="str">
        <f>HYPERLINK("http://www.degruyter.com/isbn/9781399506045")</f>
        <v>http://www.degruyter.com/isbn/9781399506045</v>
      </c>
      <c r="AI3830" t="s">
        <v>17511</v>
      </c>
      <c r="AL3830" t="s">
        <v>638</v>
      </c>
      <c r="AM3830">
        <v>1</v>
      </c>
      <c r="AN3830" s="2"/>
    </row>
    <row r="3831" spans="1:40" x14ac:dyDescent="0.3">
      <c r="A3831" t="s">
        <v>18038</v>
      </c>
      <c r="B3831" t="s">
        <v>1</v>
      </c>
      <c r="C3831" t="s">
        <v>18039</v>
      </c>
      <c r="D3831" t="s">
        <v>18040</v>
      </c>
      <c r="E3831" t="s">
        <v>18041</v>
      </c>
      <c r="F3831" t="s">
        <v>5</v>
      </c>
      <c r="G3831" t="s">
        <v>6</v>
      </c>
      <c r="L3831" t="s">
        <v>7</v>
      </c>
      <c r="M3831">
        <v>2024</v>
      </c>
      <c r="N3831" s="1">
        <v>45565</v>
      </c>
      <c r="O3831" t="s">
        <v>15087</v>
      </c>
      <c r="P3831">
        <v>1</v>
      </c>
      <c r="S3831">
        <v>217.95</v>
      </c>
      <c r="T3831">
        <v>250</v>
      </c>
      <c r="U3831">
        <v>190</v>
      </c>
      <c r="V3831" t="s">
        <v>9</v>
      </c>
      <c r="W3831" t="s">
        <v>10</v>
      </c>
      <c r="X3831" t="s">
        <v>11</v>
      </c>
      <c r="Y3831" t="s">
        <v>12</v>
      </c>
      <c r="AF3831" t="s">
        <v>13</v>
      </c>
      <c r="AH3831" t="str">
        <f>HYPERLINK("http://www.degruyter.com/isbn/9781399528146")</f>
        <v>http://www.degruyter.com/isbn/9781399528146</v>
      </c>
      <c r="AI3831" t="s">
        <v>17506</v>
      </c>
      <c r="AL3831" t="s">
        <v>638</v>
      </c>
      <c r="AM3831">
        <v>1</v>
      </c>
      <c r="AN3831" s="2"/>
    </row>
    <row r="3832" spans="1:40" x14ac:dyDescent="0.3">
      <c r="A3832" t="s">
        <v>18042</v>
      </c>
      <c r="B3832" t="s">
        <v>1</v>
      </c>
      <c r="C3832" t="s">
        <v>18043</v>
      </c>
      <c r="E3832" t="s">
        <v>18044</v>
      </c>
      <c r="F3832" t="s">
        <v>5</v>
      </c>
      <c r="G3832" t="s">
        <v>6</v>
      </c>
      <c r="L3832" t="s">
        <v>7</v>
      </c>
      <c r="M3832">
        <v>2024</v>
      </c>
      <c r="N3832" s="1">
        <v>45565</v>
      </c>
      <c r="O3832" t="s">
        <v>18045</v>
      </c>
      <c r="P3832">
        <v>1</v>
      </c>
      <c r="S3832">
        <v>173.95</v>
      </c>
      <c r="T3832">
        <v>200</v>
      </c>
      <c r="U3832">
        <v>150</v>
      </c>
      <c r="V3832" t="s">
        <v>9</v>
      </c>
      <c r="W3832" t="s">
        <v>10</v>
      </c>
      <c r="X3832" t="s">
        <v>11</v>
      </c>
      <c r="Y3832" t="s">
        <v>12</v>
      </c>
      <c r="AF3832" t="s">
        <v>13</v>
      </c>
      <c r="AH3832" t="str">
        <f>HYPERLINK("http://www.degruyter.com/isbn/9781474447911")</f>
        <v>http://www.degruyter.com/isbn/9781474447911</v>
      </c>
      <c r="AI3832" t="s">
        <v>17506</v>
      </c>
      <c r="AL3832" t="s">
        <v>638</v>
      </c>
      <c r="AM3832">
        <v>1</v>
      </c>
      <c r="AN3832" s="2"/>
    </row>
    <row r="3833" spans="1:40" x14ac:dyDescent="0.3">
      <c r="A3833" t="s">
        <v>18046</v>
      </c>
      <c r="B3833" t="s">
        <v>1</v>
      </c>
      <c r="C3833" t="s">
        <v>18047</v>
      </c>
      <c r="D3833" t="s">
        <v>18048</v>
      </c>
      <c r="E3833" t="s">
        <v>18049</v>
      </c>
      <c r="F3833" t="s">
        <v>5</v>
      </c>
      <c r="G3833" t="s">
        <v>6</v>
      </c>
      <c r="L3833" t="s">
        <v>7</v>
      </c>
      <c r="M3833">
        <v>2024</v>
      </c>
      <c r="N3833" s="1">
        <v>45535</v>
      </c>
      <c r="O3833" t="s">
        <v>18050</v>
      </c>
      <c r="P3833">
        <v>1</v>
      </c>
      <c r="Q3833" t="s">
        <v>18051</v>
      </c>
      <c r="S3833">
        <v>208.95</v>
      </c>
      <c r="T3833">
        <v>240</v>
      </c>
      <c r="U3833">
        <v>180</v>
      </c>
      <c r="V3833" t="s">
        <v>42</v>
      </c>
      <c r="W3833" t="s">
        <v>740</v>
      </c>
      <c r="X3833" t="s">
        <v>6670</v>
      </c>
      <c r="Y3833" t="s">
        <v>6671</v>
      </c>
      <c r="AF3833" t="s">
        <v>13</v>
      </c>
      <c r="AH3833" t="str">
        <f>HYPERLINK("http://www.degruyter.com/isbn/9781399526647")</f>
        <v>http://www.degruyter.com/isbn/9781399526647</v>
      </c>
      <c r="AI3833" t="s">
        <v>17450</v>
      </c>
      <c r="AL3833" t="s">
        <v>638</v>
      </c>
      <c r="AM3833">
        <v>1</v>
      </c>
      <c r="AN3833" s="2"/>
    </row>
    <row r="3834" spans="1:40" x14ac:dyDescent="0.3">
      <c r="A3834" t="s">
        <v>18052</v>
      </c>
      <c r="B3834" t="s">
        <v>1</v>
      </c>
      <c r="C3834" t="s">
        <v>18053</v>
      </c>
      <c r="D3834" t="s">
        <v>18054</v>
      </c>
      <c r="E3834" t="s">
        <v>18055</v>
      </c>
      <c r="F3834" t="s">
        <v>5</v>
      </c>
      <c r="G3834" t="s">
        <v>6</v>
      </c>
      <c r="L3834" t="s">
        <v>7</v>
      </c>
      <c r="M3834">
        <v>2024</v>
      </c>
      <c r="N3834" s="1">
        <v>45535</v>
      </c>
      <c r="O3834" t="s">
        <v>18056</v>
      </c>
      <c r="P3834">
        <v>1</v>
      </c>
      <c r="S3834">
        <v>208.95</v>
      </c>
      <c r="T3834">
        <v>240</v>
      </c>
      <c r="U3834">
        <v>180</v>
      </c>
      <c r="V3834" t="s">
        <v>268</v>
      </c>
      <c r="W3834" t="s">
        <v>2337</v>
      </c>
      <c r="X3834" t="s">
        <v>2337</v>
      </c>
      <c r="Y3834" t="s">
        <v>2338</v>
      </c>
      <c r="AF3834" t="s">
        <v>13</v>
      </c>
      <c r="AH3834" t="str">
        <f>HYPERLINK("http://www.degruyter.com/isbn/9781399531672")</f>
        <v>http://www.degruyter.com/isbn/9781399531672</v>
      </c>
      <c r="AI3834" t="s">
        <v>17703</v>
      </c>
      <c r="AL3834" t="s">
        <v>638</v>
      </c>
      <c r="AM3834">
        <v>1</v>
      </c>
      <c r="AN3834" s="2"/>
    </row>
    <row r="3835" spans="1:40" x14ac:dyDescent="0.3">
      <c r="A3835" t="s">
        <v>18057</v>
      </c>
      <c r="B3835" t="s">
        <v>1</v>
      </c>
      <c r="C3835" t="s">
        <v>18058</v>
      </c>
      <c r="D3835" t="s">
        <v>18059</v>
      </c>
      <c r="E3835" t="s">
        <v>18060</v>
      </c>
      <c r="F3835" t="s">
        <v>5</v>
      </c>
      <c r="G3835" t="s">
        <v>6</v>
      </c>
      <c r="L3835" t="s">
        <v>7</v>
      </c>
      <c r="M3835">
        <v>2024</v>
      </c>
      <c r="N3835" s="1">
        <v>45565</v>
      </c>
      <c r="O3835" t="s">
        <v>18061</v>
      </c>
      <c r="P3835">
        <v>1</v>
      </c>
      <c r="Q3835" t="s">
        <v>8607</v>
      </c>
      <c r="S3835">
        <v>191.95</v>
      </c>
      <c r="T3835">
        <v>220</v>
      </c>
      <c r="U3835">
        <v>170</v>
      </c>
      <c r="V3835" t="s">
        <v>58</v>
      </c>
      <c r="W3835" t="s">
        <v>59</v>
      </c>
      <c r="X3835" t="s">
        <v>60</v>
      </c>
      <c r="Y3835" t="s">
        <v>5536</v>
      </c>
      <c r="AF3835" t="s">
        <v>13</v>
      </c>
      <c r="AH3835" t="str">
        <f>HYPERLINK("http://www.degruyter.com/isbn/9781399506120")</f>
        <v>http://www.degruyter.com/isbn/9781399506120</v>
      </c>
      <c r="AI3835" t="s">
        <v>17501</v>
      </c>
      <c r="AL3835" t="s">
        <v>638</v>
      </c>
      <c r="AM3835">
        <v>1</v>
      </c>
      <c r="AN3835" s="2"/>
    </row>
    <row r="3836" spans="1:40" x14ac:dyDescent="0.3">
      <c r="A3836" t="s">
        <v>18062</v>
      </c>
      <c r="B3836" t="s">
        <v>1</v>
      </c>
      <c r="C3836" t="s">
        <v>18063</v>
      </c>
      <c r="D3836" t="s">
        <v>18064</v>
      </c>
      <c r="E3836" t="s">
        <v>18065</v>
      </c>
      <c r="F3836" t="s">
        <v>5</v>
      </c>
      <c r="G3836" t="s">
        <v>6</v>
      </c>
      <c r="L3836" t="s">
        <v>7</v>
      </c>
      <c r="M3836">
        <v>2024</v>
      </c>
      <c r="N3836" s="1">
        <v>45535</v>
      </c>
      <c r="O3836" t="s">
        <v>18066</v>
      </c>
      <c r="P3836">
        <v>1</v>
      </c>
      <c r="Q3836" t="s">
        <v>18067</v>
      </c>
      <c r="S3836">
        <v>191.95</v>
      </c>
      <c r="T3836">
        <v>220</v>
      </c>
      <c r="U3836">
        <v>170</v>
      </c>
      <c r="V3836" t="s">
        <v>20</v>
      </c>
      <c r="W3836" t="s">
        <v>556</v>
      </c>
      <c r="X3836" t="s">
        <v>16663</v>
      </c>
      <c r="Y3836" t="s">
        <v>16664</v>
      </c>
      <c r="AF3836" t="s">
        <v>13</v>
      </c>
      <c r="AH3836" t="str">
        <f>HYPERLINK("http://www.degruyter.com/isbn/9781399514545")</f>
        <v>http://www.degruyter.com/isbn/9781399514545</v>
      </c>
      <c r="AI3836" t="s">
        <v>17576</v>
      </c>
      <c r="AL3836" t="s">
        <v>638</v>
      </c>
      <c r="AM3836">
        <v>1</v>
      </c>
      <c r="AN3836" s="2"/>
    </row>
    <row r="3837" spans="1:40" x14ac:dyDescent="0.3">
      <c r="A3837" t="s">
        <v>18068</v>
      </c>
      <c r="B3837" t="s">
        <v>1</v>
      </c>
      <c r="C3837" t="s">
        <v>18069</v>
      </c>
      <c r="E3837" t="s">
        <v>18070</v>
      </c>
      <c r="F3837" t="s">
        <v>5</v>
      </c>
      <c r="G3837" t="s">
        <v>6</v>
      </c>
      <c r="L3837" t="s">
        <v>7</v>
      </c>
      <c r="M3837">
        <v>2024</v>
      </c>
      <c r="N3837" s="1">
        <v>45535</v>
      </c>
      <c r="O3837" t="s">
        <v>18071</v>
      </c>
      <c r="P3837">
        <v>1</v>
      </c>
      <c r="S3837">
        <v>191.95</v>
      </c>
      <c r="T3837">
        <v>220</v>
      </c>
      <c r="U3837">
        <v>170</v>
      </c>
      <c r="V3837" t="s">
        <v>58</v>
      </c>
      <c r="W3837" t="s">
        <v>129</v>
      </c>
      <c r="X3837" t="s">
        <v>130</v>
      </c>
      <c r="Y3837" t="s">
        <v>18072</v>
      </c>
      <c r="AF3837" t="s">
        <v>13</v>
      </c>
      <c r="AH3837" t="str">
        <f>HYPERLINK("http://www.degruyter.com/isbn/9781399536752")</f>
        <v>http://www.degruyter.com/isbn/9781399536752</v>
      </c>
      <c r="AI3837" t="s">
        <v>17866</v>
      </c>
      <c r="AL3837" t="s">
        <v>638</v>
      </c>
      <c r="AM3837">
        <v>1</v>
      </c>
      <c r="AN3837" s="2"/>
    </row>
    <row r="3838" spans="1:40" x14ac:dyDescent="0.3">
      <c r="A3838" t="s">
        <v>18073</v>
      </c>
      <c r="B3838" t="s">
        <v>1</v>
      </c>
      <c r="C3838" t="s">
        <v>18074</v>
      </c>
      <c r="D3838" t="s">
        <v>18075</v>
      </c>
      <c r="E3838" t="s">
        <v>18076</v>
      </c>
      <c r="F3838" t="s">
        <v>5</v>
      </c>
      <c r="G3838" t="s">
        <v>6</v>
      </c>
      <c r="K3838" t="s">
        <v>16617</v>
      </c>
      <c r="L3838" t="s">
        <v>7</v>
      </c>
      <c r="M3838">
        <v>2024</v>
      </c>
      <c r="N3838" s="1">
        <v>45565</v>
      </c>
      <c r="O3838" t="s">
        <v>2243</v>
      </c>
      <c r="P3838">
        <v>1</v>
      </c>
      <c r="Q3838" t="s">
        <v>13361</v>
      </c>
      <c r="V3838" t="s">
        <v>42</v>
      </c>
      <c r="W3838" t="s">
        <v>107</v>
      </c>
      <c r="X3838" t="s">
        <v>108</v>
      </c>
      <c r="Y3838" t="s">
        <v>2244</v>
      </c>
      <c r="AF3838" t="s">
        <v>13</v>
      </c>
      <c r="AH3838" t="str">
        <f>HYPERLINK("http://www.degruyter.com/isbn/9781399516389")</f>
        <v>http://www.degruyter.com/isbn/9781399516389</v>
      </c>
      <c r="AI3838" t="s">
        <v>17450</v>
      </c>
      <c r="AL3838" t="s">
        <v>638</v>
      </c>
      <c r="AM3838">
        <v>1</v>
      </c>
      <c r="AN3838" s="2"/>
    </row>
    <row r="3839" spans="1:40" x14ac:dyDescent="0.3">
      <c r="A3839" t="s">
        <v>18077</v>
      </c>
      <c r="B3839" t="s">
        <v>1</v>
      </c>
      <c r="C3839" t="s">
        <v>18078</v>
      </c>
      <c r="E3839" t="s">
        <v>18079</v>
      </c>
      <c r="F3839" t="s">
        <v>5</v>
      </c>
      <c r="G3839" t="s">
        <v>6</v>
      </c>
      <c r="K3839" t="s">
        <v>18080</v>
      </c>
      <c r="L3839" t="s">
        <v>7</v>
      </c>
      <c r="M3839">
        <v>2024</v>
      </c>
      <c r="N3839" s="1">
        <v>45565</v>
      </c>
      <c r="O3839" t="s">
        <v>18081</v>
      </c>
      <c r="P3839">
        <v>1</v>
      </c>
      <c r="V3839" t="s">
        <v>79</v>
      </c>
      <c r="W3839" t="s">
        <v>123</v>
      </c>
      <c r="X3839" t="s">
        <v>123</v>
      </c>
      <c r="Y3839" t="s">
        <v>124</v>
      </c>
      <c r="AF3839" t="s">
        <v>13</v>
      </c>
      <c r="AH3839" t="str">
        <f>HYPERLINK("http://www.degruyter.com/isbn/9781399521178")</f>
        <v>http://www.degruyter.com/isbn/9781399521178</v>
      </c>
      <c r="AI3839" t="s">
        <v>17444</v>
      </c>
      <c r="AL3839" t="s">
        <v>638</v>
      </c>
      <c r="AM3839">
        <v>1</v>
      </c>
      <c r="AN3839" s="2"/>
    </row>
    <row r="3840" spans="1:40" x14ac:dyDescent="0.3">
      <c r="A3840" t="s">
        <v>18082</v>
      </c>
      <c r="B3840" t="s">
        <v>1</v>
      </c>
      <c r="C3840" t="s">
        <v>18083</v>
      </c>
      <c r="D3840" t="s">
        <v>18084</v>
      </c>
      <c r="E3840" t="s">
        <v>18085</v>
      </c>
      <c r="F3840" t="s">
        <v>5</v>
      </c>
      <c r="G3840" t="s">
        <v>6</v>
      </c>
      <c r="K3840" t="s">
        <v>17871</v>
      </c>
      <c r="L3840" t="s">
        <v>7</v>
      </c>
      <c r="M3840">
        <v>2024</v>
      </c>
      <c r="N3840" s="1">
        <v>45473</v>
      </c>
      <c r="O3840" t="s">
        <v>18086</v>
      </c>
      <c r="P3840">
        <v>1</v>
      </c>
      <c r="Q3840" t="s">
        <v>13125</v>
      </c>
      <c r="V3840" t="s">
        <v>89</v>
      </c>
      <c r="W3840" t="s">
        <v>90</v>
      </c>
      <c r="X3840" t="s">
        <v>9894</v>
      </c>
      <c r="Y3840" t="s">
        <v>18087</v>
      </c>
      <c r="AF3840" t="s">
        <v>13</v>
      </c>
      <c r="AH3840" t="str">
        <f>HYPERLINK("http://www.degruyter.com/isbn/9781399515870")</f>
        <v>http://www.degruyter.com/isbn/9781399515870</v>
      </c>
      <c r="AI3840" t="s">
        <v>17511</v>
      </c>
      <c r="AL3840" t="s">
        <v>638</v>
      </c>
      <c r="AM3840">
        <v>1</v>
      </c>
      <c r="AN3840" s="2"/>
    </row>
    <row r="3841" spans="1:40" x14ac:dyDescent="0.3">
      <c r="A3841" t="s">
        <v>18088</v>
      </c>
      <c r="B3841" t="s">
        <v>1</v>
      </c>
      <c r="C3841" t="s">
        <v>18089</v>
      </c>
      <c r="E3841" t="s">
        <v>18090</v>
      </c>
      <c r="F3841" t="s">
        <v>5</v>
      </c>
      <c r="G3841" t="s">
        <v>6</v>
      </c>
      <c r="L3841" t="s">
        <v>7</v>
      </c>
      <c r="M3841">
        <v>2024</v>
      </c>
      <c r="N3841" s="1">
        <v>45535</v>
      </c>
      <c r="O3841" t="s">
        <v>18091</v>
      </c>
      <c r="P3841">
        <v>1</v>
      </c>
      <c r="Q3841" t="s">
        <v>18092</v>
      </c>
      <c r="S3841">
        <v>191.95</v>
      </c>
      <c r="T3841">
        <v>220</v>
      </c>
      <c r="U3841">
        <v>170</v>
      </c>
      <c r="V3841" t="s">
        <v>9</v>
      </c>
      <c r="W3841" t="s">
        <v>10</v>
      </c>
      <c r="X3841" t="s">
        <v>596</v>
      </c>
      <c r="Y3841" t="s">
        <v>14878</v>
      </c>
      <c r="AF3841" t="s">
        <v>13</v>
      </c>
      <c r="AH3841" t="str">
        <f>HYPERLINK("http://www.degruyter.com/isbn/9781399503037")</f>
        <v>http://www.degruyter.com/isbn/9781399503037</v>
      </c>
      <c r="AI3841" t="s">
        <v>17506</v>
      </c>
      <c r="AL3841" t="s">
        <v>638</v>
      </c>
      <c r="AM3841">
        <v>1</v>
      </c>
      <c r="AN3841" s="2"/>
    </row>
    <row r="3842" spans="1:40" x14ac:dyDescent="0.3">
      <c r="A3842" t="s">
        <v>18093</v>
      </c>
      <c r="B3842" t="s">
        <v>1</v>
      </c>
      <c r="C3842" t="s">
        <v>18094</v>
      </c>
      <c r="E3842" t="s">
        <v>18095</v>
      </c>
      <c r="F3842" t="s">
        <v>5</v>
      </c>
      <c r="G3842" t="s">
        <v>6</v>
      </c>
      <c r="L3842" t="s">
        <v>7</v>
      </c>
      <c r="M3842">
        <v>2024</v>
      </c>
      <c r="N3842" s="1">
        <v>45535</v>
      </c>
      <c r="O3842" t="s">
        <v>18096</v>
      </c>
      <c r="P3842">
        <v>1</v>
      </c>
      <c r="Q3842" t="s">
        <v>13309</v>
      </c>
      <c r="S3842">
        <v>339.95</v>
      </c>
      <c r="T3842">
        <v>390</v>
      </c>
      <c r="U3842">
        <v>300</v>
      </c>
      <c r="V3842" t="s">
        <v>187</v>
      </c>
      <c r="W3842" t="s">
        <v>187</v>
      </c>
      <c r="X3842" t="s">
        <v>187</v>
      </c>
      <c r="Y3842" t="s">
        <v>9727</v>
      </c>
      <c r="AF3842" t="s">
        <v>13</v>
      </c>
      <c r="AH3842" t="str">
        <f>HYPERLINK("http://www.degruyter.com/isbn/9781399500647")</f>
        <v>http://www.degruyter.com/isbn/9781399500647</v>
      </c>
      <c r="AI3842" t="s">
        <v>17450</v>
      </c>
      <c r="AL3842" t="s">
        <v>638</v>
      </c>
      <c r="AM3842">
        <v>1</v>
      </c>
      <c r="AN3842" s="2"/>
    </row>
    <row r="3843" spans="1:40" x14ac:dyDescent="0.3">
      <c r="A3843" t="s">
        <v>18097</v>
      </c>
      <c r="B3843" t="s">
        <v>1</v>
      </c>
      <c r="C3843" t="s">
        <v>18098</v>
      </c>
      <c r="D3843" t="s">
        <v>18099</v>
      </c>
      <c r="E3843" t="s">
        <v>18100</v>
      </c>
      <c r="F3843" t="s">
        <v>5</v>
      </c>
      <c r="G3843" t="s">
        <v>6</v>
      </c>
      <c r="L3843" t="s">
        <v>7</v>
      </c>
      <c r="M3843">
        <v>2024</v>
      </c>
      <c r="N3843" s="1">
        <v>45535</v>
      </c>
      <c r="O3843" t="s">
        <v>18101</v>
      </c>
      <c r="P3843">
        <v>1</v>
      </c>
      <c r="Q3843" t="s">
        <v>15656</v>
      </c>
      <c r="S3843">
        <v>208.95</v>
      </c>
      <c r="T3843">
        <v>240</v>
      </c>
      <c r="U3843">
        <v>180</v>
      </c>
      <c r="V3843" t="s">
        <v>89</v>
      </c>
      <c r="W3843" t="s">
        <v>18102</v>
      </c>
      <c r="X3843" t="s">
        <v>18103</v>
      </c>
      <c r="Y3843" t="s">
        <v>18104</v>
      </c>
      <c r="AF3843" t="s">
        <v>13</v>
      </c>
      <c r="AH3843" t="str">
        <f>HYPERLINK("http://www.degruyter.com/isbn/9781399536318")</f>
        <v>http://www.degruyter.com/isbn/9781399536318</v>
      </c>
      <c r="AI3843" t="s">
        <v>17511</v>
      </c>
      <c r="AL3843" t="s">
        <v>638</v>
      </c>
      <c r="AM3843">
        <v>1</v>
      </c>
      <c r="AN3843" s="2"/>
    </row>
    <row r="3844" spans="1:40" x14ac:dyDescent="0.3">
      <c r="A3844" t="s">
        <v>18105</v>
      </c>
      <c r="B3844" t="s">
        <v>1</v>
      </c>
      <c r="C3844" t="s">
        <v>18106</v>
      </c>
      <c r="E3844" t="s">
        <v>18107</v>
      </c>
      <c r="F3844" t="s">
        <v>5</v>
      </c>
      <c r="G3844" t="s">
        <v>6</v>
      </c>
      <c r="L3844" t="s">
        <v>7</v>
      </c>
      <c r="M3844">
        <v>2024</v>
      </c>
      <c r="N3844" s="1">
        <v>45412</v>
      </c>
      <c r="O3844" t="s">
        <v>4272</v>
      </c>
      <c r="P3844">
        <v>1</v>
      </c>
      <c r="S3844">
        <v>217.95</v>
      </c>
      <c r="T3844">
        <v>250</v>
      </c>
      <c r="U3844">
        <v>190</v>
      </c>
      <c r="V3844" t="s">
        <v>42</v>
      </c>
      <c r="W3844" t="s">
        <v>290</v>
      </c>
      <c r="X3844" t="s">
        <v>290</v>
      </c>
      <c r="Y3844" t="s">
        <v>515</v>
      </c>
      <c r="AF3844" t="s">
        <v>13</v>
      </c>
      <c r="AH3844" t="str">
        <f>HYPERLINK("http://www.degruyter.com/isbn/9781399524346")</f>
        <v>http://www.degruyter.com/isbn/9781399524346</v>
      </c>
      <c r="AI3844" t="s">
        <v>17450</v>
      </c>
      <c r="AL3844" t="s">
        <v>638</v>
      </c>
      <c r="AM3844">
        <v>1</v>
      </c>
      <c r="AN3844" s="2">
        <v>9781399524322</v>
      </c>
    </row>
    <row r="3845" spans="1:40" x14ac:dyDescent="0.3">
      <c r="A3845" t="s">
        <v>18108</v>
      </c>
      <c r="B3845" t="s">
        <v>1</v>
      </c>
      <c r="C3845" t="s">
        <v>18109</v>
      </c>
      <c r="D3845" t="s">
        <v>18110</v>
      </c>
      <c r="E3845" t="s">
        <v>18111</v>
      </c>
      <c r="F3845" t="s">
        <v>5</v>
      </c>
      <c r="G3845" t="s">
        <v>6</v>
      </c>
      <c r="L3845" t="s">
        <v>7</v>
      </c>
      <c r="M3845">
        <v>2024</v>
      </c>
      <c r="N3845" s="1">
        <v>45443</v>
      </c>
      <c r="O3845" t="s">
        <v>18112</v>
      </c>
      <c r="P3845">
        <v>1</v>
      </c>
      <c r="Q3845" t="s">
        <v>7728</v>
      </c>
      <c r="S3845">
        <v>209.95</v>
      </c>
      <c r="T3845">
        <v>240</v>
      </c>
      <c r="U3845">
        <v>180</v>
      </c>
      <c r="V3845" t="s">
        <v>42</v>
      </c>
      <c r="W3845" t="s">
        <v>107</v>
      </c>
      <c r="X3845" t="s">
        <v>108</v>
      </c>
      <c r="Y3845" t="s">
        <v>952</v>
      </c>
      <c r="AF3845" t="s">
        <v>13</v>
      </c>
      <c r="AH3845" t="str">
        <f>HYPERLINK("http://www.degruyter.com/isbn/9781474483391")</f>
        <v>http://www.degruyter.com/isbn/9781474483391</v>
      </c>
      <c r="AI3845" t="s">
        <v>17450</v>
      </c>
      <c r="AL3845" t="s">
        <v>638</v>
      </c>
      <c r="AM3845">
        <v>1</v>
      </c>
      <c r="AN3845" s="2">
        <v>9781474483377</v>
      </c>
    </row>
    <row r="3846" spans="1:40" x14ac:dyDescent="0.3">
      <c r="A3846" t="s">
        <v>18113</v>
      </c>
      <c r="B3846" t="s">
        <v>1</v>
      </c>
      <c r="C3846" t="s">
        <v>18114</v>
      </c>
      <c r="D3846" t="s">
        <v>18115</v>
      </c>
      <c r="E3846" t="s">
        <v>18116</v>
      </c>
      <c r="F3846" t="s">
        <v>5</v>
      </c>
      <c r="G3846" t="s">
        <v>6</v>
      </c>
      <c r="L3846" t="s">
        <v>7</v>
      </c>
      <c r="M3846">
        <v>2024</v>
      </c>
      <c r="N3846" s="1">
        <v>45504</v>
      </c>
      <c r="O3846" t="s">
        <v>18117</v>
      </c>
      <c r="P3846">
        <v>1</v>
      </c>
      <c r="S3846">
        <v>191.95</v>
      </c>
      <c r="T3846">
        <v>220</v>
      </c>
      <c r="U3846">
        <v>170</v>
      </c>
      <c r="V3846" t="s">
        <v>9</v>
      </c>
      <c r="W3846" t="s">
        <v>10</v>
      </c>
      <c r="X3846" t="s">
        <v>11</v>
      </c>
      <c r="Y3846" t="s">
        <v>12</v>
      </c>
      <c r="AF3846" t="s">
        <v>13</v>
      </c>
      <c r="AH3846" t="str">
        <f>HYPERLINK("http://www.degruyter.com/isbn/9781399532112")</f>
        <v>http://www.degruyter.com/isbn/9781399532112</v>
      </c>
      <c r="AI3846" t="s">
        <v>17506</v>
      </c>
      <c r="AL3846" t="s">
        <v>638</v>
      </c>
      <c r="AM3846">
        <v>1</v>
      </c>
      <c r="AN3846" s="2"/>
    </row>
    <row r="3847" spans="1:40" x14ac:dyDescent="0.3">
      <c r="A3847" t="s">
        <v>18118</v>
      </c>
      <c r="B3847" t="s">
        <v>1</v>
      </c>
      <c r="C3847" t="s">
        <v>18119</v>
      </c>
      <c r="D3847" t="s">
        <v>18120</v>
      </c>
      <c r="E3847" t="s">
        <v>18121</v>
      </c>
      <c r="F3847" t="s">
        <v>5</v>
      </c>
      <c r="G3847" t="s">
        <v>6</v>
      </c>
      <c r="L3847" t="s">
        <v>7</v>
      </c>
      <c r="M3847">
        <v>2024</v>
      </c>
      <c r="N3847" s="1">
        <v>45473</v>
      </c>
      <c r="O3847" t="s">
        <v>18122</v>
      </c>
      <c r="P3847">
        <v>1</v>
      </c>
      <c r="Q3847" t="s">
        <v>8081</v>
      </c>
      <c r="S3847">
        <v>217.95</v>
      </c>
      <c r="T3847">
        <v>250</v>
      </c>
      <c r="U3847">
        <v>190</v>
      </c>
      <c r="V3847" t="s">
        <v>89</v>
      </c>
      <c r="W3847" t="s">
        <v>18123</v>
      </c>
      <c r="X3847" t="s">
        <v>18123</v>
      </c>
      <c r="Y3847" t="s">
        <v>18124</v>
      </c>
      <c r="AF3847" t="s">
        <v>13</v>
      </c>
      <c r="AH3847" t="str">
        <f>HYPERLINK("http://www.degruyter.com/isbn/9781399515917")</f>
        <v>http://www.degruyter.com/isbn/9781399515917</v>
      </c>
      <c r="AI3847" t="s">
        <v>17511</v>
      </c>
      <c r="AL3847" t="s">
        <v>638</v>
      </c>
      <c r="AM3847">
        <v>1</v>
      </c>
      <c r="AN3847" s="2"/>
    </row>
    <row r="3848" spans="1:40" x14ac:dyDescent="0.3">
      <c r="A3848" t="s">
        <v>18125</v>
      </c>
      <c r="B3848" t="s">
        <v>1</v>
      </c>
      <c r="C3848" t="s">
        <v>18126</v>
      </c>
      <c r="D3848" t="s">
        <v>18127</v>
      </c>
      <c r="E3848" t="s">
        <v>18128</v>
      </c>
      <c r="F3848" t="s">
        <v>5</v>
      </c>
      <c r="G3848" t="s">
        <v>6</v>
      </c>
      <c r="L3848" t="s">
        <v>7</v>
      </c>
      <c r="M3848">
        <v>2024</v>
      </c>
      <c r="N3848" s="1">
        <v>45535</v>
      </c>
      <c r="O3848" t="s">
        <v>18129</v>
      </c>
      <c r="P3848">
        <v>1</v>
      </c>
      <c r="Q3848" t="s">
        <v>7086</v>
      </c>
      <c r="S3848">
        <v>208.95</v>
      </c>
      <c r="T3848">
        <v>240</v>
      </c>
      <c r="U3848">
        <v>180</v>
      </c>
      <c r="V3848" t="s">
        <v>20</v>
      </c>
      <c r="W3848" t="s">
        <v>21</v>
      </c>
      <c r="X3848" t="s">
        <v>839</v>
      </c>
      <c r="Y3848" t="s">
        <v>13617</v>
      </c>
      <c r="AF3848" t="s">
        <v>13</v>
      </c>
      <c r="AH3848" t="str">
        <f>HYPERLINK("http://www.degruyter.com/isbn/9781399533263")</f>
        <v>http://www.degruyter.com/isbn/9781399533263</v>
      </c>
      <c r="AI3848" t="s">
        <v>17576</v>
      </c>
      <c r="AL3848" t="s">
        <v>638</v>
      </c>
      <c r="AM3848">
        <v>1</v>
      </c>
      <c r="AN3848" s="2"/>
    </row>
    <row r="3849" spans="1:40" x14ac:dyDescent="0.3">
      <c r="A3849" t="s">
        <v>18130</v>
      </c>
      <c r="B3849" t="s">
        <v>1</v>
      </c>
      <c r="C3849" t="s">
        <v>18131</v>
      </c>
      <c r="D3849" t="s">
        <v>18132</v>
      </c>
      <c r="E3849" t="s">
        <v>18133</v>
      </c>
      <c r="F3849" t="s">
        <v>5</v>
      </c>
      <c r="G3849" t="s">
        <v>6</v>
      </c>
      <c r="K3849" t="s">
        <v>16617</v>
      </c>
      <c r="L3849" t="s">
        <v>7</v>
      </c>
      <c r="M3849">
        <v>2024</v>
      </c>
      <c r="N3849" s="1">
        <v>45565</v>
      </c>
      <c r="O3849" t="s">
        <v>18134</v>
      </c>
      <c r="P3849">
        <v>1</v>
      </c>
      <c r="Q3849" t="s">
        <v>15481</v>
      </c>
      <c r="V3849" t="s">
        <v>297</v>
      </c>
      <c r="W3849" t="s">
        <v>20</v>
      </c>
      <c r="X3849" t="s">
        <v>20</v>
      </c>
      <c r="Y3849" t="s">
        <v>1914</v>
      </c>
      <c r="AF3849" t="s">
        <v>13</v>
      </c>
      <c r="AH3849" t="str">
        <f>HYPERLINK("http://www.degruyter.com/isbn/9781399536837")</f>
        <v>http://www.degruyter.com/isbn/9781399536837</v>
      </c>
      <c r="AI3849" t="s">
        <v>17511</v>
      </c>
      <c r="AL3849" t="s">
        <v>638</v>
      </c>
      <c r="AM3849">
        <v>1</v>
      </c>
      <c r="AN3849" s="2"/>
    </row>
    <row r="3850" spans="1:40" x14ac:dyDescent="0.3">
      <c r="A3850" t="s">
        <v>18135</v>
      </c>
      <c r="B3850" t="s">
        <v>1</v>
      </c>
      <c r="C3850" t="s">
        <v>18136</v>
      </c>
      <c r="D3850" t="s">
        <v>18137</v>
      </c>
      <c r="E3850" t="s">
        <v>18138</v>
      </c>
      <c r="F3850" t="s">
        <v>5</v>
      </c>
      <c r="G3850" t="s">
        <v>6</v>
      </c>
      <c r="L3850" t="s">
        <v>7</v>
      </c>
      <c r="M3850">
        <v>2024</v>
      </c>
      <c r="N3850" s="1">
        <v>45473</v>
      </c>
      <c r="O3850" t="s">
        <v>18139</v>
      </c>
      <c r="P3850">
        <v>1</v>
      </c>
      <c r="Q3850" t="s">
        <v>6858</v>
      </c>
      <c r="S3850">
        <v>191.95</v>
      </c>
      <c r="T3850">
        <v>220</v>
      </c>
      <c r="U3850">
        <v>170</v>
      </c>
      <c r="V3850" t="s">
        <v>58</v>
      </c>
      <c r="W3850" t="s">
        <v>59</v>
      </c>
      <c r="X3850" t="s">
        <v>60</v>
      </c>
      <c r="Y3850" t="s">
        <v>18140</v>
      </c>
      <c r="AF3850" t="s">
        <v>13</v>
      </c>
      <c r="AH3850" t="str">
        <f>HYPERLINK("http://www.degruyter.com/isbn/9781399525480")</f>
        <v>http://www.degruyter.com/isbn/9781399525480</v>
      </c>
      <c r="AI3850" t="s">
        <v>17501</v>
      </c>
      <c r="AL3850" t="s">
        <v>638</v>
      </c>
      <c r="AM3850">
        <v>1</v>
      </c>
      <c r="AN3850" s="2"/>
    </row>
    <row r="3851" spans="1:40" x14ac:dyDescent="0.3">
      <c r="A3851" t="s">
        <v>18141</v>
      </c>
      <c r="B3851" t="s">
        <v>1</v>
      </c>
      <c r="C3851" t="s">
        <v>18142</v>
      </c>
      <c r="D3851" t="s">
        <v>18143</v>
      </c>
      <c r="E3851" t="s">
        <v>18144</v>
      </c>
      <c r="F3851" t="s">
        <v>5</v>
      </c>
      <c r="G3851" t="s">
        <v>6</v>
      </c>
      <c r="L3851" t="s">
        <v>7</v>
      </c>
      <c r="M3851">
        <v>2024</v>
      </c>
      <c r="N3851" s="1">
        <v>45504</v>
      </c>
      <c r="O3851" t="s">
        <v>13089</v>
      </c>
      <c r="P3851">
        <v>1</v>
      </c>
      <c r="Q3851" t="s">
        <v>9122</v>
      </c>
      <c r="S3851">
        <v>286.95</v>
      </c>
      <c r="T3851">
        <v>330</v>
      </c>
      <c r="U3851">
        <v>250</v>
      </c>
      <c r="V3851" t="s">
        <v>305</v>
      </c>
      <c r="W3851" t="s">
        <v>306</v>
      </c>
      <c r="X3851" t="s">
        <v>306</v>
      </c>
      <c r="Y3851" t="s">
        <v>14022</v>
      </c>
      <c r="AF3851" t="s">
        <v>13</v>
      </c>
      <c r="AH3851" t="str">
        <f>HYPERLINK("http://www.degruyter.com/isbn/9781399507189")</f>
        <v>http://www.degruyter.com/isbn/9781399507189</v>
      </c>
      <c r="AI3851" t="s">
        <v>17511</v>
      </c>
      <c r="AL3851" t="s">
        <v>638</v>
      </c>
      <c r="AM3851">
        <v>1</v>
      </c>
      <c r="AN3851" s="2"/>
    </row>
    <row r="3852" spans="1:40" x14ac:dyDescent="0.3">
      <c r="A3852" t="s">
        <v>18145</v>
      </c>
      <c r="B3852" t="s">
        <v>1</v>
      </c>
      <c r="C3852" t="s">
        <v>18146</v>
      </c>
      <c r="D3852" t="s">
        <v>18147</v>
      </c>
      <c r="E3852" t="s">
        <v>18148</v>
      </c>
      <c r="F3852" t="s">
        <v>5</v>
      </c>
      <c r="G3852" t="s">
        <v>6</v>
      </c>
      <c r="L3852" t="s">
        <v>7</v>
      </c>
      <c r="M3852">
        <v>2024</v>
      </c>
      <c r="N3852" s="1">
        <v>45565</v>
      </c>
      <c r="O3852" t="s">
        <v>18149</v>
      </c>
      <c r="P3852">
        <v>1</v>
      </c>
      <c r="Q3852" t="s">
        <v>7019</v>
      </c>
      <c r="S3852">
        <v>191.95</v>
      </c>
      <c r="T3852">
        <v>220</v>
      </c>
      <c r="U3852">
        <v>170</v>
      </c>
      <c r="V3852" t="s">
        <v>42</v>
      </c>
      <c r="W3852" t="s">
        <v>43</v>
      </c>
      <c r="X3852" t="s">
        <v>178</v>
      </c>
      <c r="Y3852" t="s">
        <v>3750</v>
      </c>
      <c r="AF3852" t="s">
        <v>13</v>
      </c>
      <c r="AH3852" t="str">
        <f>HYPERLINK("http://www.degruyter.com/isbn/9781474483438")</f>
        <v>http://www.degruyter.com/isbn/9781474483438</v>
      </c>
      <c r="AI3852" t="s">
        <v>17450</v>
      </c>
      <c r="AL3852" t="s">
        <v>638</v>
      </c>
      <c r="AM3852">
        <v>1</v>
      </c>
      <c r="AN3852" s="2"/>
    </row>
    <row r="3853" spans="1:40" x14ac:dyDescent="0.3">
      <c r="A3853" t="s">
        <v>18150</v>
      </c>
      <c r="B3853" t="s">
        <v>1</v>
      </c>
      <c r="C3853" t="s">
        <v>18151</v>
      </c>
      <c r="E3853" t="s">
        <v>18152</v>
      </c>
      <c r="F3853" t="s">
        <v>5</v>
      </c>
      <c r="G3853" t="s">
        <v>6</v>
      </c>
      <c r="L3853" t="s">
        <v>7</v>
      </c>
      <c r="M3853">
        <v>2024</v>
      </c>
      <c r="N3853" s="1">
        <v>45473</v>
      </c>
      <c r="O3853" t="s">
        <v>18153</v>
      </c>
      <c r="P3853">
        <v>1</v>
      </c>
      <c r="S3853">
        <v>191.95</v>
      </c>
      <c r="T3853">
        <v>220</v>
      </c>
      <c r="U3853">
        <v>170</v>
      </c>
      <c r="V3853" t="s">
        <v>42</v>
      </c>
      <c r="W3853" t="s">
        <v>116</v>
      </c>
      <c r="X3853" t="s">
        <v>116</v>
      </c>
      <c r="Y3853" t="s">
        <v>5610</v>
      </c>
      <c r="AF3853" t="s">
        <v>13</v>
      </c>
      <c r="AH3853" t="str">
        <f>HYPERLINK("http://www.degruyter.com/isbn/9781399506526")</f>
        <v>http://www.degruyter.com/isbn/9781399506526</v>
      </c>
      <c r="AI3853" t="s">
        <v>17450</v>
      </c>
      <c r="AL3853" t="s">
        <v>638</v>
      </c>
      <c r="AM3853">
        <v>1</v>
      </c>
      <c r="AN3853" s="2"/>
    </row>
    <row r="3854" spans="1:40" x14ac:dyDescent="0.3">
      <c r="A3854" t="s">
        <v>18154</v>
      </c>
      <c r="B3854" t="s">
        <v>1</v>
      </c>
      <c r="C3854" t="s">
        <v>18155</v>
      </c>
      <c r="D3854" t="s">
        <v>18156</v>
      </c>
      <c r="E3854" t="s">
        <v>18157</v>
      </c>
      <c r="F3854" t="s">
        <v>5</v>
      </c>
      <c r="G3854" t="s">
        <v>6</v>
      </c>
      <c r="L3854" t="s">
        <v>7</v>
      </c>
      <c r="M3854">
        <v>2024</v>
      </c>
      <c r="N3854" s="1">
        <v>45504</v>
      </c>
      <c r="O3854" t="s">
        <v>18158</v>
      </c>
      <c r="P3854">
        <v>1</v>
      </c>
      <c r="Q3854" t="s">
        <v>6987</v>
      </c>
      <c r="S3854">
        <v>191.95</v>
      </c>
      <c r="T3854">
        <v>220</v>
      </c>
      <c r="U3854">
        <v>170</v>
      </c>
      <c r="V3854" t="s">
        <v>9</v>
      </c>
      <c r="W3854" t="s">
        <v>10</v>
      </c>
      <c r="X3854" t="s">
        <v>44</v>
      </c>
      <c r="Y3854" t="s">
        <v>7060</v>
      </c>
      <c r="AF3854" t="s">
        <v>13</v>
      </c>
      <c r="AH3854" t="str">
        <f>HYPERLINK("http://www.degruyter.com/isbn/9781399517140")</f>
        <v>http://www.degruyter.com/isbn/9781399517140</v>
      </c>
      <c r="AI3854" t="s">
        <v>17506</v>
      </c>
      <c r="AL3854" t="s">
        <v>638</v>
      </c>
      <c r="AM3854">
        <v>1</v>
      </c>
      <c r="AN3854" s="2"/>
    </row>
    <row r="3855" spans="1:40" x14ac:dyDescent="0.3">
      <c r="A3855" t="s">
        <v>18159</v>
      </c>
      <c r="B3855" t="s">
        <v>1</v>
      </c>
      <c r="C3855" t="s">
        <v>18160</v>
      </c>
      <c r="D3855" t="s">
        <v>18161</v>
      </c>
      <c r="E3855" t="s">
        <v>18162</v>
      </c>
      <c r="F3855" t="s">
        <v>5</v>
      </c>
      <c r="G3855" t="s">
        <v>6</v>
      </c>
      <c r="L3855" t="s">
        <v>7</v>
      </c>
      <c r="M3855">
        <v>2024</v>
      </c>
      <c r="N3855" s="1">
        <v>45504</v>
      </c>
      <c r="O3855" t="s">
        <v>18163</v>
      </c>
      <c r="P3855">
        <v>1</v>
      </c>
      <c r="Q3855" t="s">
        <v>15481</v>
      </c>
      <c r="S3855">
        <v>208.95</v>
      </c>
      <c r="T3855">
        <v>240</v>
      </c>
      <c r="U3855">
        <v>180</v>
      </c>
      <c r="V3855" t="s">
        <v>297</v>
      </c>
      <c r="W3855" t="s">
        <v>298</v>
      </c>
      <c r="X3855" t="s">
        <v>298</v>
      </c>
      <c r="Y3855" t="s">
        <v>299</v>
      </c>
      <c r="AF3855" t="s">
        <v>13</v>
      </c>
      <c r="AH3855" t="str">
        <f>HYPERLINK("http://www.degruyter.com/isbn/9781399536110")</f>
        <v>http://www.degruyter.com/isbn/9781399536110</v>
      </c>
      <c r="AI3855" t="s">
        <v>17511</v>
      </c>
      <c r="AL3855" t="s">
        <v>638</v>
      </c>
      <c r="AM3855">
        <v>1</v>
      </c>
      <c r="AN3855" s="2"/>
    </row>
    <row r="3856" spans="1:40" x14ac:dyDescent="0.3">
      <c r="A3856" t="s">
        <v>18164</v>
      </c>
      <c r="B3856" t="s">
        <v>1</v>
      </c>
      <c r="C3856" t="s">
        <v>18165</v>
      </c>
      <c r="D3856" t="s">
        <v>18166</v>
      </c>
      <c r="E3856" t="s">
        <v>18167</v>
      </c>
      <c r="F3856" t="s">
        <v>5</v>
      </c>
      <c r="G3856" t="s">
        <v>6</v>
      </c>
      <c r="L3856" t="s">
        <v>7</v>
      </c>
      <c r="M3856">
        <v>2024</v>
      </c>
      <c r="N3856" s="1">
        <v>45504</v>
      </c>
      <c r="O3856" t="s">
        <v>18168</v>
      </c>
      <c r="P3856">
        <v>1</v>
      </c>
      <c r="Q3856" t="s">
        <v>7973</v>
      </c>
      <c r="S3856">
        <v>226.95</v>
      </c>
      <c r="T3856">
        <v>260</v>
      </c>
      <c r="U3856">
        <v>200</v>
      </c>
      <c r="V3856" t="s">
        <v>20</v>
      </c>
      <c r="W3856" t="s">
        <v>470</v>
      </c>
      <c r="X3856" t="s">
        <v>1269</v>
      </c>
      <c r="Y3856" t="s">
        <v>1270</v>
      </c>
      <c r="AF3856" t="s">
        <v>13</v>
      </c>
      <c r="AH3856" t="str">
        <f>HYPERLINK("http://www.degruyter.com/isbn/9781399520652")</f>
        <v>http://www.degruyter.com/isbn/9781399520652</v>
      </c>
      <c r="AI3856" t="s">
        <v>17576</v>
      </c>
      <c r="AL3856" t="s">
        <v>638</v>
      </c>
      <c r="AM3856">
        <v>1</v>
      </c>
      <c r="AN3856" s="2"/>
    </row>
    <row r="3857" spans="1:40" x14ac:dyDescent="0.3">
      <c r="A3857" t="s">
        <v>18169</v>
      </c>
      <c r="B3857" t="s">
        <v>1</v>
      </c>
      <c r="C3857" t="s">
        <v>18170</v>
      </c>
      <c r="D3857" t="s">
        <v>18171</v>
      </c>
      <c r="E3857" t="s">
        <v>18172</v>
      </c>
      <c r="F3857" t="s">
        <v>5</v>
      </c>
      <c r="G3857" t="s">
        <v>6</v>
      </c>
      <c r="L3857" t="s">
        <v>7</v>
      </c>
      <c r="M3857">
        <v>2024</v>
      </c>
      <c r="N3857" s="1">
        <v>45535</v>
      </c>
      <c r="O3857" t="s">
        <v>18173</v>
      </c>
      <c r="P3857">
        <v>1</v>
      </c>
      <c r="Q3857" t="s">
        <v>6729</v>
      </c>
      <c r="S3857">
        <v>191.95</v>
      </c>
      <c r="T3857">
        <v>220</v>
      </c>
      <c r="U3857">
        <v>170</v>
      </c>
      <c r="V3857" t="s">
        <v>79</v>
      </c>
      <c r="W3857" t="s">
        <v>734</v>
      </c>
      <c r="X3857" t="s">
        <v>734</v>
      </c>
      <c r="Y3857" t="s">
        <v>735</v>
      </c>
      <c r="AF3857" t="s">
        <v>13</v>
      </c>
      <c r="AH3857" t="str">
        <f>HYPERLINK("http://www.degruyter.com/isbn/9781399529914")</f>
        <v>http://www.degruyter.com/isbn/9781399529914</v>
      </c>
      <c r="AI3857" t="s">
        <v>17444</v>
      </c>
      <c r="AL3857" t="s">
        <v>638</v>
      </c>
      <c r="AM3857">
        <v>1</v>
      </c>
      <c r="AN3857" s="2"/>
    </row>
    <row r="3858" spans="1:40" x14ac:dyDescent="0.3">
      <c r="A3858" t="s">
        <v>18174</v>
      </c>
      <c r="B3858" t="s">
        <v>1</v>
      </c>
      <c r="C3858" t="s">
        <v>18175</v>
      </c>
      <c r="E3858" t="s">
        <v>18176</v>
      </c>
      <c r="F3858" t="s">
        <v>5</v>
      </c>
      <c r="G3858" t="s">
        <v>6</v>
      </c>
      <c r="L3858" t="s">
        <v>7</v>
      </c>
      <c r="M3858">
        <v>2024</v>
      </c>
      <c r="N3858" s="1">
        <v>45565</v>
      </c>
      <c r="O3858" t="s">
        <v>18177</v>
      </c>
      <c r="P3858">
        <v>1</v>
      </c>
      <c r="S3858">
        <v>191.95</v>
      </c>
      <c r="T3858">
        <v>220</v>
      </c>
      <c r="U3858">
        <v>170</v>
      </c>
      <c r="V3858" t="s">
        <v>42</v>
      </c>
      <c r="W3858" t="s">
        <v>107</v>
      </c>
      <c r="X3858" t="s">
        <v>108</v>
      </c>
      <c r="Y3858" t="s">
        <v>109</v>
      </c>
      <c r="AF3858" t="s">
        <v>13</v>
      </c>
      <c r="AH3858" t="str">
        <f>HYPERLINK("http://www.degruyter.com/isbn/9781399529457")</f>
        <v>http://www.degruyter.com/isbn/9781399529457</v>
      </c>
      <c r="AI3858" t="s">
        <v>17450</v>
      </c>
      <c r="AL3858" t="s">
        <v>638</v>
      </c>
      <c r="AM3858">
        <v>1</v>
      </c>
      <c r="AN3858" s="2"/>
    </row>
    <row r="3859" spans="1:40" x14ac:dyDescent="0.3">
      <c r="A3859" t="s">
        <v>18178</v>
      </c>
      <c r="B3859" t="s">
        <v>1</v>
      </c>
      <c r="C3859" t="s">
        <v>18179</v>
      </c>
      <c r="D3859" t="s">
        <v>18180</v>
      </c>
      <c r="E3859" t="s">
        <v>18181</v>
      </c>
      <c r="F3859" t="s">
        <v>5</v>
      </c>
      <c r="G3859" t="s">
        <v>6</v>
      </c>
      <c r="L3859" t="s">
        <v>7</v>
      </c>
      <c r="M3859">
        <v>2024</v>
      </c>
      <c r="N3859" s="1">
        <v>45473</v>
      </c>
      <c r="O3859" t="s">
        <v>18182</v>
      </c>
      <c r="P3859">
        <v>1</v>
      </c>
      <c r="Q3859" t="s">
        <v>14959</v>
      </c>
      <c r="S3859">
        <v>208.95</v>
      </c>
      <c r="T3859">
        <v>240</v>
      </c>
      <c r="U3859">
        <v>180</v>
      </c>
      <c r="V3859" t="s">
        <v>42</v>
      </c>
      <c r="W3859" t="s">
        <v>116</v>
      </c>
      <c r="X3859" t="s">
        <v>116</v>
      </c>
      <c r="Y3859" t="s">
        <v>17995</v>
      </c>
      <c r="AF3859" t="s">
        <v>13</v>
      </c>
      <c r="AH3859" t="str">
        <f>HYPERLINK("http://www.degruyter.com/isbn/9781399532945")</f>
        <v>http://www.degruyter.com/isbn/9781399532945</v>
      </c>
      <c r="AI3859" t="s">
        <v>17450</v>
      </c>
      <c r="AL3859" t="s">
        <v>638</v>
      </c>
      <c r="AM3859">
        <v>1</v>
      </c>
      <c r="AN3859" s="2"/>
    </row>
    <row r="3860" spans="1:40" x14ac:dyDescent="0.3">
      <c r="A3860" t="s">
        <v>18183</v>
      </c>
      <c r="B3860" t="s">
        <v>1</v>
      </c>
      <c r="C3860" t="s">
        <v>18184</v>
      </c>
      <c r="D3860" t="s">
        <v>18185</v>
      </c>
      <c r="E3860" t="s">
        <v>18186</v>
      </c>
      <c r="F3860" t="s">
        <v>5</v>
      </c>
      <c r="G3860" t="s">
        <v>6</v>
      </c>
      <c r="L3860" t="s">
        <v>7</v>
      </c>
      <c r="M3860">
        <v>2024</v>
      </c>
      <c r="N3860" s="1">
        <v>45473</v>
      </c>
      <c r="O3860" t="s">
        <v>18187</v>
      </c>
      <c r="P3860">
        <v>1</v>
      </c>
      <c r="Q3860" t="s">
        <v>13444</v>
      </c>
      <c r="S3860">
        <v>191.95</v>
      </c>
      <c r="T3860">
        <v>220</v>
      </c>
      <c r="U3860">
        <v>170</v>
      </c>
      <c r="V3860" t="s">
        <v>268</v>
      </c>
      <c r="W3860" t="s">
        <v>269</v>
      </c>
      <c r="X3860" t="s">
        <v>269</v>
      </c>
      <c r="Y3860" t="s">
        <v>360</v>
      </c>
      <c r="AF3860" t="s">
        <v>13</v>
      </c>
      <c r="AH3860" t="str">
        <f>HYPERLINK("http://www.degruyter.com/isbn/9781399515337")</f>
        <v>http://www.degruyter.com/isbn/9781399515337</v>
      </c>
      <c r="AI3860" t="s">
        <v>17703</v>
      </c>
      <c r="AL3860" t="s">
        <v>638</v>
      </c>
      <c r="AM3860">
        <v>1</v>
      </c>
      <c r="AN3860" s="2"/>
    </row>
    <row r="3861" spans="1:40" x14ac:dyDescent="0.3">
      <c r="A3861" t="s">
        <v>18188</v>
      </c>
      <c r="B3861" t="s">
        <v>1</v>
      </c>
      <c r="C3861" t="s">
        <v>18189</v>
      </c>
      <c r="D3861" t="s">
        <v>18190</v>
      </c>
      <c r="E3861" t="s">
        <v>18191</v>
      </c>
      <c r="F3861" t="s">
        <v>5</v>
      </c>
      <c r="G3861" t="s">
        <v>6</v>
      </c>
      <c r="L3861" t="s">
        <v>7</v>
      </c>
      <c r="M3861">
        <v>2024</v>
      </c>
      <c r="N3861" s="1">
        <v>45504</v>
      </c>
      <c r="O3861" t="s">
        <v>18192</v>
      </c>
      <c r="P3861">
        <v>1</v>
      </c>
      <c r="Q3861" t="s">
        <v>18051</v>
      </c>
      <c r="S3861">
        <v>286.95</v>
      </c>
      <c r="T3861">
        <v>330</v>
      </c>
      <c r="U3861">
        <v>250</v>
      </c>
      <c r="V3861" t="s">
        <v>42</v>
      </c>
      <c r="W3861" t="s">
        <v>107</v>
      </c>
      <c r="X3861" t="s">
        <v>108</v>
      </c>
      <c r="Y3861" t="s">
        <v>18193</v>
      </c>
      <c r="AF3861" t="s">
        <v>13</v>
      </c>
      <c r="AH3861" t="str">
        <f>HYPERLINK("http://www.degruyter.com/isbn/9781399523615")</f>
        <v>http://www.degruyter.com/isbn/9781399523615</v>
      </c>
      <c r="AI3861" t="s">
        <v>17450</v>
      </c>
      <c r="AL3861" t="s">
        <v>638</v>
      </c>
      <c r="AM3861">
        <v>1</v>
      </c>
      <c r="AN3861" s="2"/>
    </row>
    <row r="3862" spans="1:40" x14ac:dyDescent="0.3">
      <c r="A3862" t="s">
        <v>18194</v>
      </c>
      <c r="B3862" t="s">
        <v>1</v>
      </c>
      <c r="C3862" t="s">
        <v>18195</v>
      </c>
      <c r="D3862" t="s">
        <v>18196</v>
      </c>
      <c r="E3862" t="s">
        <v>18197</v>
      </c>
      <c r="F3862" t="s">
        <v>5</v>
      </c>
      <c r="G3862" t="s">
        <v>6</v>
      </c>
      <c r="L3862" t="s">
        <v>7</v>
      </c>
      <c r="M3862">
        <v>2024</v>
      </c>
      <c r="N3862" s="1">
        <v>45473</v>
      </c>
      <c r="O3862" t="s">
        <v>18198</v>
      </c>
      <c r="P3862">
        <v>1</v>
      </c>
      <c r="S3862">
        <v>286.95</v>
      </c>
      <c r="T3862">
        <v>330</v>
      </c>
      <c r="U3862">
        <v>250</v>
      </c>
      <c r="V3862" t="s">
        <v>42</v>
      </c>
      <c r="W3862" t="s">
        <v>107</v>
      </c>
      <c r="X3862" t="s">
        <v>108</v>
      </c>
      <c r="Y3862" t="s">
        <v>952</v>
      </c>
      <c r="AF3862" t="s">
        <v>13</v>
      </c>
      <c r="AH3862" t="str">
        <f>HYPERLINK("http://www.degruyter.com/isbn/9781399533102")</f>
        <v>http://www.degruyter.com/isbn/9781399533102</v>
      </c>
      <c r="AI3862" t="s">
        <v>17450</v>
      </c>
      <c r="AL3862" t="s">
        <v>638</v>
      </c>
      <c r="AM3862">
        <v>1</v>
      </c>
      <c r="AN3862" s="2"/>
    </row>
    <row r="3863" spans="1:40" x14ac:dyDescent="0.3">
      <c r="A3863" t="s">
        <v>18199</v>
      </c>
      <c r="B3863" t="s">
        <v>1</v>
      </c>
      <c r="C3863" t="s">
        <v>18200</v>
      </c>
      <c r="D3863" t="s">
        <v>18201</v>
      </c>
      <c r="E3863" t="s">
        <v>18202</v>
      </c>
      <c r="F3863" t="s">
        <v>5</v>
      </c>
      <c r="G3863" t="s">
        <v>6</v>
      </c>
      <c r="L3863" t="s">
        <v>7</v>
      </c>
      <c r="M3863">
        <v>2024</v>
      </c>
      <c r="N3863" s="1">
        <v>45535</v>
      </c>
      <c r="O3863" t="s">
        <v>18203</v>
      </c>
      <c r="P3863">
        <v>1</v>
      </c>
      <c r="S3863">
        <v>191.95</v>
      </c>
      <c r="T3863">
        <v>220</v>
      </c>
      <c r="U3863">
        <v>170</v>
      </c>
      <c r="V3863" t="s">
        <v>58</v>
      </c>
      <c r="W3863" t="s">
        <v>59</v>
      </c>
      <c r="X3863" t="s">
        <v>60</v>
      </c>
      <c r="Y3863" t="s">
        <v>169</v>
      </c>
      <c r="AF3863" t="s">
        <v>13</v>
      </c>
      <c r="AH3863" t="str">
        <f>HYPERLINK("http://www.degruyter.com/isbn/9781399529877")</f>
        <v>http://www.degruyter.com/isbn/9781399529877</v>
      </c>
      <c r="AI3863" t="s">
        <v>17556</v>
      </c>
      <c r="AL3863" t="s">
        <v>638</v>
      </c>
      <c r="AM3863">
        <v>1</v>
      </c>
      <c r="AN3863" s="2"/>
    </row>
    <row r="3864" spans="1:40" x14ac:dyDescent="0.3">
      <c r="A3864" t="s">
        <v>18204</v>
      </c>
      <c r="B3864" t="s">
        <v>1</v>
      </c>
      <c r="C3864" t="s">
        <v>18205</v>
      </c>
      <c r="E3864" t="s">
        <v>18206</v>
      </c>
      <c r="F3864" t="s">
        <v>5</v>
      </c>
      <c r="G3864" t="s">
        <v>6</v>
      </c>
      <c r="L3864" t="s">
        <v>7</v>
      </c>
      <c r="M3864">
        <v>2024</v>
      </c>
      <c r="N3864" s="1">
        <v>45535</v>
      </c>
      <c r="O3864" t="s">
        <v>18207</v>
      </c>
      <c r="P3864">
        <v>1</v>
      </c>
      <c r="Q3864" t="s">
        <v>7810</v>
      </c>
      <c r="S3864">
        <v>243.95</v>
      </c>
      <c r="T3864">
        <v>280</v>
      </c>
      <c r="U3864">
        <v>210</v>
      </c>
      <c r="V3864" t="s">
        <v>79</v>
      </c>
      <c r="W3864" t="s">
        <v>16641</v>
      </c>
      <c r="X3864" t="s">
        <v>16642</v>
      </c>
      <c r="Y3864" t="s">
        <v>16643</v>
      </c>
      <c r="AF3864" t="s">
        <v>13</v>
      </c>
      <c r="AH3864" t="str">
        <f>HYPERLINK("http://www.degruyter.com/isbn/9781399512350")</f>
        <v>http://www.degruyter.com/isbn/9781399512350</v>
      </c>
      <c r="AI3864" t="s">
        <v>17444</v>
      </c>
      <c r="AL3864" t="s">
        <v>638</v>
      </c>
      <c r="AM3864">
        <v>1</v>
      </c>
      <c r="AN3864" s="2"/>
    </row>
    <row r="3865" spans="1:40" x14ac:dyDescent="0.3">
      <c r="A3865" t="s">
        <v>18208</v>
      </c>
      <c r="B3865" t="s">
        <v>1</v>
      </c>
      <c r="C3865" t="s">
        <v>18209</v>
      </c>
      <c r="E3865" t="s">
        <v>18210</v>
      </c>
      <c r="F3865" t="s">
        <v>5</v>
      </c>
      <c r="G3865" t="s">
        <v>6</v>
      </c>
      <c r="L3865" t="s">
        <v>7</v>
      </c>
      <c r="M3865">
        <v>2024</v>
      </c>
      <c r="N3865" s="1">
        <v>45473</v>
      </c>
      <c r="O3865" t="s">
        <v>18211</v>
      </c>
      <c r="P3865">
        <v>1</v>
      </c>
      <c r="S3865">
        <v>191.95</v>
      </c>
      <c r="T3865">
        <v>220</v>
      </c>
      <c r="U3865">
        <v>170</v>
      </c>
      <c r="V3865" t="s">
        <v>98</v>
      </c>
      <c r="W3865" t="s">
        <v>99</v>
      </c>
      <c r="X3865" t="s">
        <v>2010</v>
      </c>
      <c r="Y3865" t="s">
        <v>2011</v>
      </c>
      <c r="AF3865" t="s">
        <v>13</v>
      </c>
      <c r="AH3865" t="str">
        <f>HYPERLINK("http://www.degruyter.com/isbn/9781399520195")</f>
        <v>http://www.degruyter.com/isbn/9781399520195</v>
      </c>
      <c r="AI3865" t="s">
        <v>17570</v>
      </c>
      <c r="AL3865" t="s">
        <v>638</v>
      </c>
      <c r="AM3865">
        <v>1</v>
      </c>
      <c r="AN3865" s="2"/>
    </row>
    <row r="3866" spans="1:40" x14ac:dyDescent="0.3">
      <c r="A3866" t="s">
        <v>18212</v>
      </c>
      <c r="B3866" t="s">
        <v>1</v>
      </c>
      <c r="C3866" t="s">
        <v>18213</v>
      </c>
      <c r="E3866" t="s">
        <v>18214</v>
      </c>
      <c r="F3866" t="s">
        <v>5</v>
      </c>
      <c r="G3866" t="s">
        <v>6</v>
      </c>
      <c r="L3866" t="s">
        <v>7</v>
      </c>
      <c r="M3866">
        <v>2024</v>
      </c>
      <c r="N3866" s="1">
        <v>45473</v>
      </c>
      <c r="O3866" t="s">
        <v>18215</v>
      </c>
      <c r="P3866">
        <v>1</v>
      </c>
      <c r="Q3866" t="s">
        <v>9162</v>
      </c>
      <c r="S3866">
        <v>217.95</v>
      </c>
      <c r="T3866">
        <v>250</v>
      </c>
      <c r="U3866">
        <v>190</v>
      </c>
      <c r="V3866" t="s">
        <v>42</v>
      </c>
      <c r="W3866" t="s">
        <v>107</v>
      </c>
      <c r="X3866" t="s">
        <v>108</v>
      </c>
      <c r="Y3866" t="s">
        <v>952</v>
      </c>
      <c r="AF3866" t="s">
        <v>13</v>
      </c>
      <c r="AH3866" t="str">
        <f>HYPERLINK("http://www.degruyter.com/isbn/9781474443517")</f>
        <v>http://www.degruyter.com/isbn/9781474443517</v>
      </c>
      <c r="AI3866" t="s">
        <v>17450</v>
      </c>
      <c r="AL3866" t="s">
        <v>638</v>
      </c>
      <c r="AM3866">
        <v>1</v>
      </c>
      <c r="AN3866" s="2"/>
    </row>
    <row r="3867" spans="1:40" x14ac:dyDescent="0.3">
      <c r="A3867" t="s">
        <v>18216</v>
      </c>
      <c r="B3867" t="s">
        <v>1</v>
      </c>
      <c r="C3867" t="s">
        <v>18217</v>
      </c>
      <c r="E3867" t="s">
        <v>18218</v>
      </c>
      <c r="F3867" t="s">
        <v>5</v>
      </c>
      <c r="G3867" t="s">
        <v>6</v>
      </c>
      <c r="L3867" t="s">
        <v>7</v>
      </c>
      <c r="M3867">
        <v>2024</v>
      </c>
      <c r="N3867" s="1">
        <v>45504</v>
      </c>
      <c r="O3867" t="s">
        <v>18219</v>
      </c>
      <c r="P3867">
        <v>1</v>
      </c>
      <c r="Q3867" t="s">
        <v>13309</v>
      </c>
      <c r="S3867">
        <v>339.95</v>
      </c>
      <c r="T3867">
        <v>390</v>
      </c>
      <c r="U3867">
        <v>300</v>
      </c>
      <c r="V3867" t="s">
        <v>42</v>
      </c>
      <c r="W3867" t="s">
        <v>116</v>
      </c>
      <c r="X3867" t="s">
        <v>116</v>
      </c>
      <c r="Y3867" t="s">
        <v>810</v>
      </c>
      <c r="AF3867" t="s">
        <v>13</v>
      </c>
      <c r="AH3867" t="str">
        <f>HYPERLINK("http://www.degruyter.com/isbn/9781399506632")</f>
        <v>http://www.degruyter.com/isbn/9781399506632</v>
      </c>
      <c r="AI3867" t="s">
        <v>17556</v>
      </c>
      <c r="AL3867" t="s">
        <v>638</v>
      </c>
      <c r="AM3867">
        <v>1</v>
      </c>
      <c r="AN3867" s="2"/>
    </row>
    <row r="3868" spans="1:40" x14ac:dyDescent="0.3">
      <c r="A3868" t="s">
        <v>18220</v>
      </c>
      <c r="B3868" t="s">
        <v>1</v>
      </c>
      <c r="C3868" t="s">
        <v>18221</v>
      </c>
      <c r="E3868" t="s">
        <v>18222</v>
      </c>
      <c r="F3868" t="s">
        <v>5</v>
      </c>
      <c r="G3868" t="s">
        <v>6</v>
      </c>
      <c r="L3868" t="s">
        <v>7</v>
      </c>
      <c r="M3868">
        <v>2024</v>
      </c>
      <c r="N3868" s="1">
        <v>45626</v>
      </c>
      <c r="O3868" t="s">
        <v>17043</v>
      </c>
      <c r="P3868">
        <v>1</v>
      </c>
      <c r="S3868">
        <v>452.95</v>
      </c>
      <c r="T3868">
        <v>520</v>
      </c>
      <c r="U3868">
        <v>400</v>
      </c>
      <c r="V3868" t="s">
        <v>305</v>
      </c>
      <c r="W3868" t="s">
        <v>306</v>
      </c>
      <c r="X3868" t="s">
        <v>306</v>
      </c>
      <c r="Y3868" t="s">
        <v>307</v>
      </c>
      <c r="AF3868" t="s">
        <v>13</v>
      </c>
      <c r="AH3868" t="str">
        <f>HYPERLINK("http://www.degruyter.com/isbn/9781399518314")</f>
        <v>http://www.degruyter.com/isbn/9781399518314</v>
      </c>
      <c r="AI3868" t="s">
        <v>17506</v>
      </c>
      <c r="AL3868" t="s">
        <v>638</v>
      </c>
      <c r="AM3868">
        <v>1</v>
      </c>
      <c r="AN3868" s="2"/>
    </row>
    <row r="3869" spans="1:40" x14ac:dyDescent="0.3">
      <c r="A3869" t="s">
        <v>18223</v>
      </c>
      <c r="B3869" t="s">
        <v>1</v>
      </c>
      <c r="C3869" t="s">
        <v>18224</v>
      </c>
      <c r="D3869" t="s">
        <v>18225</v>
      </c>
      <c r="E3869" t="s">
        <v>18226</v>
      </c>
      <c r="F3869" t="s">
        <v>5</v>
      </c>
      <c r="G3869" t="s">
        <v>6</v>
      </c>
      <c r="L3869" t="s">
        <v>7</v>
      </c>
      <c r="M3869">
        <v>2024</v>
      </c>
      <c r="N3869" s="1">
        <v>45504</v>
      </c>
      <c r="O3869" t="s">
        <v>18227</v>
      </c>
      <c r="P3869">
        <v>1</v>
      </c>
      <c r="Q3869" t="s">
        <v>8607</v>
      </c>
      <c r="S3869">
        <v>191.95</v>
      </c>
      <c r="T3869">
        <v>220</v>
      </c>
      <c r="U3869">
        <v>170</v>
      </c>
      <c r="V3869" t="s">
        <v>58</v>
      </c>
      <c r="W3869" t="s">
        <v>59</v>
      </c>
      <c r="X3869" t="s">
        <v>60</v>
      </c>
      <c r="Y3869" t="s">
        <v>18228</v>
      </c>
      <c r="AF3869" t="s">
        <v>13</v>
      </c>
      <c r="AH3869" t="str">
        <f>HYPERLINK("http://www.degruyter.com/isbn/9781399533867")</f>
        <v>http://www.degruyter.com/isbn/9781399533867</v>
      </c>
      <c r="AI3869" t="s">
        <v>17501</v>
      </c>
      <c r="AL3869" t="s">
        <v>638</v>
      </c>
      <c r="AM3869">
        <v>1</v>
      </c>
      <c r="AN3869" s="2"/>
    </row>
    <row r="3870" spans="1:40" x14ac:dyDescent="0.3">
      <c r="A3870" t="s">
        <v>18229</v>
      </c>
      <c r="B3870" t="s">
        <v>1</v>
      </c>
      <c r="C3870" t="s">
        <v>18230</v>
      </c>
      <c r="D3870" t="s">
        <v>18231</v>
      </c>
      <c r="E3870" t="s">
        <v>18232</v>
      </c>
      <c r="F3870" t="s">
        <v>5</v>
      </c>
      <c r="G3870" t="s">
        <v>6</v>
      </c>
      <c r="L3870" t="s">
        <v>7</v>
      </c>
      <c r="M3870">
        <v>2024</v>
      </c>
      <c r="N3870" s="1">
        <v>45535</v>
      </c>
      <c r="O3870" t="s">
        <v>18233</v>
      </c>
      <c r="P3870">
        <v>1</v>
      </c>
      <c r="S3870">
        <v>191.95</v>
      </c>
      <c r="T3870">
        <v>220</v>
      </c>
      <c r="U3870">
        <v>170</v>
      </c>
      <c r="V3870" t="s">
        <v>9</v>
      </c>
      <c r="W3870" t="s">
        <v>10</v>
      </c>
      <c r="X3870" t="s">
        <v>596</v>
      </c>
      <c r="Y3870" t="s">
        <v>2473</v>
      </c>
      <c r="AF3870" t="s">
        <v>13</v>
      </c>
      <c r="AH3870" t="str">
        <f>HYPERLINK("http://www.degruyter.com/isbn/9781474496834")</f>
        <v>http://www.degruyter.com/isbn/9781474496834</v>
      </c>
      <c r="AI3870" t="s">
        <v>17506</v>
      </c>
      <c r="AL3870" t="s">
        <v>638</v>
      </c>
      <c r="AM3870">
        <v>1</v>
      </c>
      <c r="AN3870" s="2"/>
    </row>
    <row r="3871" spans="1:40" x14ac:dyDescent="0.3">
      <c r="A3871" t="s">
        <v>18234</v>
      </c>
      <c r="B3871" t="s">
        <v>1</v>
      </c>
      <c r="C3871" t="s">
        <v>18235</v>
      </c>
      <c r="D3871" t="s">
        <v>18236</v>
      </c>
      <c r="E3871" t="s">
        <v>18237</v>
      </c>
      <c r="F3871" t="s">
        <v>5</v>
      </c>
      <c r="G3871" t="s">
        <v>6</v>
      </c>
      <c r="L3871" t="s">
        <v>7</v>
      </c>
      <c r="M3871">
        <v>2024</v>
      </c>
      <c r="N3871" s="1">
        <v>45565</v>
      </c>
      <c r="O3871" t="s">
        <v>18238</v>
      </c>
      <c r="P3871">
        <v>1</v>
      </c>
      <c r="S3871">
        <v>217.95</v>
      </c>
      <c r="T3871">
        <v>250</v>
      </c>
      <c r="U3871">
        <v>190</v>
      </c>
      <c r="V3871" t="s">
        <v>268</v>
      </c>
      <c r="W3871" t="s">
        <v>269</v>
      </c>
      <c r="X3871" t="s">
        <v>269</v>
      </c>
      <c r="Y3871" t="s">
        <v>2528</v>
      </c>
      <c r="AF3871" t="s">
        <v>13</v>
      </c>
      <c r="AH3871" t="str">
        <f>HYPERLINK("http://www.degruyter.com/isbn/9781399517720")</f>
        <v>http://www.degruyter.com/isbn/9781399517720</v>
      </c>
      <c r="AI3871" t="s">
        <v>17703</v>
      </c>
      <c r="AL3871" t="s">
        <v>638</v>
      </c>
      <c r="AM3871">
        <v>1</v>
      </c>
      <c r="AN3871" s="2"/>
    </row>
    <row r="3872" spans="1:40" x14ac:dyDescent="0.3">
      <c r="A3872" t="s">
        <v>18239</v>
      </c>
      <c r="B3872" t="s">
        <v>1</v>
      </c>
      <c r="C3872" t="s">
        <v>18240</v>
      </c>
      <c r="E3872" t="s">
        <v>18241</v>
      </c>
      <c r="F3872" t="s">
        <v>5</v>
      </c>
      <c r="G3872" t="s">
        <v>6</v>
      </c>
      <c r="L3872" t="s">
        <v>7</v>
      </c>
      <c r="M3872">
        <v>2024</v>
      </c>
      <c r="N3872" s="1">
        <v>45443</v>
      </c>
      <c r="O3872" t="s">
        <v>18242</v>
      </c>
      <c r="P3872">
        <v>1</v>
      </c>
      <c r="Q3872" t="s">
        <v>13309</v>
      </c>
      <c r="S3872">
        <v>339.95</v>
      </c>
      <c r="T3872">
        <v>390</v>
      </c>
      <c r="U3872">
        <v>300</v>
      </c>
      <c r="V3872" t="s">
        <v>42</v>
      </c>
      <c r="W3872" t="s">
        <v>116</v>
      </c>
      <c r="X3872" t="s">
        <v>116</v>
      </c>
      <c r="Y3872" t="s">
        <v>3967</v>
      </c>
      <c r="AF3872" t="s">
        <v>13</v>
      </c>
      <c r="AH3872" t="str">
        <f>HYPERLINK("http://www.degruyter.com/isbn/9781399500425")</f>
        <v>http://www.degruyter.com/isbn/9781399500425</v>
      </c>
      <c r="AI3872" t="s">
        <v>17450</v>
      </c>
      <c r="AL3872" t="s">
        <v>638</v>
      </c>
      <c r="AM3872">
        <v>1</v>
      </c>
      <c r="AN3872" s="2">
        <v>9781399500418</v>
      </c>
    </row>
    <row r="3873" spans="1:40" x14ac:dyDescent="0.3">
      <c r="A3873" t="s">
        <v>18243</v>
      </c>
      <c r="B3873" t="s">
        <v>1</v>
      </c>
      <c r="C3873" t="s">
        <v>18244</v>
      </c>
      <c r="D3873" t="s">
        <v>18245</v>
      </c>
      <c r="E3873" t="s">
        <v>18246</v>
      </c>
      <c r="F3873" t="s">
        <v>5</v>
      </c>
      <c r="G3873" t="s">
        <v>6</v>
      </c>
      <c r="L3873" t="s">
        <v>7</v>
      </c>
      <c r="M3873">
        <v>2024</v>
      </c>
      <c r="N3873" s="1">
        <v>45231</v>
      </c>
      <c r="O3873" t="s">
        <v>18247</v>
      </c>
      <c r="P3873">
        <v>1</v>
      </c>
      <c r="Q3873" t="s">
        <v>18248</v>
      </c>
      <c r="S3873">
        <v>417.95</v>
      </c>
      <c r="T3873">
        <v>480</v>
      </c>
      <c r="U3873">
        <v>370</v>
      </c>
      <c r="V3873" t="s">
        <v>42</v>
      </c>
      <c r="W3873" t="s">
        <v>116</v>
      </c>
      <c r="X3873" t="s">
        <v>116</v>
      </c>
      <c r="Y3873" t="s">
        <v>9177</v>
      </c>
      <c r="AF3873" t="s">
        <v>13</v>
      </c>
      <c r="AH3873" t="str">
        <f>HYPERLINK("http://www.degruyter.com/isbn/9781474445542")</f>
        <v>http://www.degruyter.com/isbn/9781474445542</v>
      </c>
      <c r="AI3873" t="s">
        <v>16980</v>
      </c>
      <c r="AL3873" t="s">
        <v>638</v>
      </c>
      <c r="AM3873">
        <v>1</v>
      </c>
      <c r="AN3873" s="2">
        <v>9781474445528</v>
      </c>
    </row>
    <row r="3874" spans="1:40" x14ac:dyDescent="0.3">
      <c r="A3874" t="s">
        <v>18249</v>
      </c>
      <c r="B3874" t="s">
        <v>1</v>
      </c>
      <c r="C3874" t="s">
        <v>18250</v>
      </c>
      <c r="E3874" t="s">
        <v>18251</v>
      </c>
      <c r="F3874" t="s">
        <v>5</v>
      </c>
      <c r="G3874" t="s">
        <v>6</v>
      </c>
      <c r="L3874" t="s">
        <v>7</v>
      </c>
      <c r="M3874">
        <v>2024</v>
      </c>
      <c r="N3874" s="1">
        <v>45412</v>
      </c>
      <c r="O3874" t="s">
        <v>18252</v>
      </c>
      <c r="P3874">
        <v>1</v>
      </c>
      <c r="S3874">
        <v>191.95</v>
      </c>
      <c r="T3874">
        <v>220</v>
      </c>
      <c r="U3874">
        <v>170</v>
      </c>
      <c r="V3874" t="s">
        <v>9</v>
      </c>
      <c r="W3874" t="s">
        <v>10</v>
      </c>
      <c r="X3874" t="s">
        <v>11</v>
      </c>
      <c r="Y3874" t="s">
        <v>12</v>
      </c>
      <c r="AF3874" t="s">
        <v>13</v>
      </c>
      <c r="AH3874" t="str">
        <f>HYPERLINK("http://www.degruyter.com/isbn/9781474448604")</f>
        <v>http://www.degruyter.com/isbn/9781474448604</v>
      </c>
      <c r="AI3874" t="s">
        <v>17506</v>
      </c>
      <c r="AL3874" t="s">
        <v>638</v>
      </c>
      <c r="AM3874">
        <v>1</v>
      </c>
      <c r="AN3874" s="2">
        <v>9781474448581</v>
      </c>
    </row>
    <row r="3875" spans="1:40" x14ac:dyDescent="0.3">
      <c r="A3875" t="s">
        <v>18253</v>
      </c>
      <c r="B3875" t="s">
        <v>1</v>
      </c>
      <c r="C3875" t="s">
        <v>18254</v>
      </c>
      <c r="E3875" t="s">
        <v>18255</v>
      </c>
      <c r="F3875" t="s">
        <v>5</v>
      </c>
      <c r="G3875" t="s">
        <v>6</v>
      </c>
      <c r="L3875" t="s">
        <v>7</v>
      </c>
      <c r="M3875">
        <v>2024</v>
      </c>
      <c r="N3875" s="1">
        <v>45443</v>
      </c>
      <c r="O3875" t="s">
        <v>18256</v>
      </c>
      <c r="P3875">
        <v>1</v>
      </c>
      <c r="Q3875" t="s">
        <v>8081</v>
      </c>
      <c r="S3875">
        <v>191.95</v>
      </c>
      <c r="T3875">
        <v>220</v>
      </c>
      <c r="U3875">
        <v>170</v>
      </c>
      <c r="V3875" t="s">
        <v>89</v>
      </c>
      <c r="W3875" t="s">
        <v>90</v>
      </c>
      <c r="X3875" t="s">
        <v>1210</v>
      </c>
      <c r="Y3875" t="s">
        <v>18257</v>
      </c>
      <c r="AF3875" t="s">
        <v>13</v>
      </c>
      <c r="AH3875" t="str">
        <f>HYPERLINK("http://www.degruyter.com/isbn/9781399510257")</f>
        <v>http://www.degruyter.com/isbn/9781399510257</v>
      </c>
      <c r="AI3875" t="s">
        <v>17511</v>
      </c>
      <c r="AL3875" t="s">
        <v>638</v>
      </c>
      <c r="AM3875">
        <v>1</v>
      </c>
      <c r="AN3875" s="2">
        <v>9781399510226</v>
      </c>
    </row>
    <row r="3876" spans="1:40" x14ac:dyDescent="0.3">
      <c r="A3876" t="s">
        <v>18258</v>
      </c>
      <c r="B3876" t="s">
        <v>1</v>
      </c>
      <c r="C3876" t="s">
        <v>18259</v>
      </c>
      <c r="D3876" t="s">
        <v>18260</v>
      </c>
      <c r="E3876" t="s">
        <v>18261</v>
      </c>
      <c r="F3876" t="s">
        <v>5</v>
      </c>
      <c r="G3876" t="s">
        <v>6</v>
      </c>
      <c r="K3876" t="s">
        <v>17554</v>
      </c>
      <c r="L3876" t="s">
        <v>7</v>
      </c>
      <c r="M3876">
        <v>2024</v>
      </c>
      <c r="N3876" s="1">
        <v>45412</v>
      </c>
      <c r="O3876" t="s">
        <v>18262</v>
      </c>
      <c r="P3876">
        <v>1</v>
      </c>
      <c r="V3876" t="s">
        <v>9</v>
      </c>
      <c r="W3876" t="s">
        <v>10</v>
      </c>
      <c r="X3876" t="s">
        <v>11</v>
      </c>
      <c r="Y3876" t="s">
        <v>12</v>
      </c>
      <c r="AF3876" t="s">
        <v>13</v>
      </c>
      <c r="AH3876" t="str">
        <f>HYPERLINK("http://www.degruyter.com/isbn/9781399523288")</f>
        <v>http://www.degruyter.com/isbn/9781399523288</v>
      </c>
      <c r="AI3876" t="s">
        <v>17506</v>
      </c>
      <c r="AL3876" t="s">
        <v>638</v>
      </c>
      <c r="AM3876">
        <v>1</v>
      </c>
      <c r="AN3876" s="2"/>
    </row>
    <row r="3877" spans="1:40" x14ac:dyDescent="0.3">
      <c r="A3877" t="s">
        <v>18263</v>
      </c>
      <c r="B3877" t="s">
        <v>1</v>
      </c>
      <c r="C3877" t="s">
        <v>18264</v>
      </c>
      <c r="D3877" t="s">
        <v>18265</v>
      </c>
      <c r="E3877" t="s">
        <v>18266</v>
      </c>
      <c r="F3877" t="s">
        <v>5</v>
      </c>
      <c r="G3877" t="s">
        <v>6</v>
      </c>
      <c r="K3877" t="s">
        <v>17554</v>
      </c>
      <c r="L3877" t="s">
        <v>7</v>
      </c>
      <c r="M3877">
        <v>2024</v>
      </c>
      <c r="N3877" s="1">
        <v>45443</v>
      </c>
      <c r="O3877" t="s">
        <v>18267</v>
      </c>
      <c r="P3877">
        <v>1</v>
      </c>
      <c r="Q3877" t="s">
        <v>8587</v>
      </c>
      <c r="V3877" t="s">
        <v>297</v>
      </c>
      <c r="W3877" t="s">
        <v>4243</v>
      </c>
      <c r="X3877" t="s">
        <v>4243</v>
      </c>
      <c r="Y3877" t="s">
        <v>4244</v>
      </c>
      <c r="AF3877" t="s">
        <v>13</v>
      </c>
      <c r="AH3877" t="str">
        <f>HYPERLINK("http://www.degruyter.com/isbn/9781474482998")</f>
        <v>http://www.degruyter.com/isbn/9781474482998</v>
      </c>
      <c r="AI3877" t="s">
        <v>17511</v>
      </c>
      <c r="AL3877" t="s">
        <v>638</v>
      </c>
      <c r="AM3877">
        <v>1</v>
      </c>
      <c r="AN3877" s="2"/>
    </row>
    <row r="3878" spans="1:40" x14ac:dyDescent="0.3">
      <c r="A3878" t="s">
        <v>18268</v>
      </c>
      <c r="B3878" t="s">
        <v>1</v>
      </c>
      <c r="C3878" t="s">
        <v>18269</v>
      </c>
      <c r="D3878" t="s">
        <v>18270</v>
      </c>
      <c r="E3878" t="s">
        <v>18271</v>
      </c>
      <c r="F3878" t="s">
        <v>5</v>
      </c>
      <c r="G3878" t="s">
        <v>6</v>
      </c>
      <c r="L3878" t="s">
        <v>7</v>
      </c>
      <c r="M3878">
        <v>2024</v>
      </c>
      <c r="N3878" s="1">
        <v>45412</v>
      </c>
      <c r="O3878" t="s">
        <v>18272</v>
      </c>
      <c r="P3878">
        <v>1</v>
      </c>
      <c r="S3878">
        <v>191.95</v>
      </c>
      <c r="T3878">
        <v>220</v>
      </c>
      <c r="U3878">
        <v>170</v>
      </c>
      <c r="V3878" t="s">
        <v>58</v>
      </c>
      <c r="W3878" t="s">
        <v>59</v>
      </c>
      <c r="X3878" t="s">
        <v>60</v>
      </c>
      <c r="Y3878" t="s">
        <v>73</v>
      </c>
      <c r="AF3878" t="s">
        <v>13</v>
      </c>
      <c r="AH3878" t="str">
        <f>HYPERLINK("http://www.degruyter.com/isbn/9781474477246")</f>
        <v>http://www.degruyter.com/isbn/9781474477246</v>
      </c>
      <c r="AI3878" t="s">
        <v>17501</v>
      </c>
      <c r="AL3878" t="s">
        <v>638</v>
      </c>
      <c r="AM3878">
        <v>1</v>
      </c>
      <c r="AN3878" s="2">
        <v>9781474477222</v>
      </c>
    </row>
    <row r="3879" spans="1:40" x14ac:dyDescent="0.3">
      <c r="A3879" t="s">
        <v>18273</v>
      </c>
      <c r="B3879" t="s">
        <v>1</v>
      </c>
      <c r="C3879" t="s">
        <v>18274</v>
      </c>
      <c r="D3879" t="s">
        <v>18275</v>
      </c>
      <c r="E3879" t="s">
        <v>18276</v>
      </c>
      <c r="F3879" t="s">
        <v>5</v>
      </c>
      <c r="G3879" t="s">
        <v>6</v>
      </c>
      <c r="L3879" t="s">
        <v>7</v>
      </c>
      <c r="M3879">
        <v>2024</v>
      </c>
      <c r="N3879" s="1">
        <v>45412</v>
      </c>
      <c r="O3879" t="s">
        <v>18277</v>
      </c>
      <c r="P3879">
        <v>1</v>
      </c>
      <c r="S3879">
        <v>209.95</v>
      </c>
      <c r="T3879">
        <v>240</v>
      </c>
      <c r="U3879">
        <v>180</v>
      </c>
      <c r="V3879" t="s">
        <v>9</v>
      </c>
      <c r="W3879" t="s">
        <v>10</v>
      </c>
      <c r="X3879" t="s">
        <v>44</v>
      </c>
      <c r="Y3879" t="s">
        <v>6325</v>
      </c>
      <c r="AF3879" t="s">
        <v>13</v>
      </c>
      <c r="AH3879" t="str">
        <f>HYPERLINK("http://www.degruyter.com/isbn/9781399511674")</f>
        <v>http://www.degruyter.com/isbn/9781399511674</v>
      </c>
      <c r="AI3879" t="s">
        <v>17506</v>
      </c>
      <c r="AL3879" t="s">
        <v>638</v>
      </c>
      <c r="AM3879">
        <v>1</v>
      </c>
      <c r="AN3879" s="2">
        <v>9781399511650</v>
      </c>
    </row>
    <row r="3880" spans="1:40" x14ac:dyDescent="0.3">
      <c r="A3880" t="s">
        <v>18278</v>
      </c>
      <c r="B3880" t="s">
        <v>1</v>
      </c>
      <c r="C3880" t="s">
        <v>18279</v>
      </c>
      <c r="D3880" t="s">
        <v>18280</v>
      </c>
      <c r="E3880" t="s">
        <v>18281</v>
      </c>
      <c r="F3880" t="s">
        <v>5</v>
      </c>
      <c r="G3880" t="s">
        <v>6</v>
      </c>
      <c r="L3880" t="s">
        <v>7</v>
      </c>
      <c r="M3880">
        <v>2024</v>
      </c>
      <c r="N3880" s="1">
        <v>45443</v>
      </c>
      <c r="O3880" t="s">
        <v>18282</v>
      </c>
      <c r="P3880">
        <v>1</v>
      </c>
      <c r="S3880">
        <v>191.95</v>
      </c>
      <c r="T3880">
        <v>220</v>
      </c>
      <c r="U3880">
        <v>170</v>
      </c>
      <c r="V3880" t="s">
        <v>42</v>
      </c>
      <c r="W3880" t="s">
        <v>43</v>
      </c>
      <c r="X3880" t="s">
        <v>178</v>
      </c>
      <c r="Y3880" t="s">
        <v>1602</v>
      </c>
      <c r="AF3880" t="s">
        <v>13</v>
      </c>
      <c r="AH3880" t="str">
        <f>HYPERLINK("http://www.degruyter.com/isbn/9781399520812")</f>
        <v>http://www.degruyter.com/isbn/9781399520812</v>
      </c>
      <c r="AI3880" t="s">
        <v>17450</v>
      </c>
      <c r="AL3880" t="s">
        <v>638</v>
      </c>
      <c r="AM3880">
        <v>1</v>
      </c>
      <c r="AN3880" s="2">
        <v>9781399520799</v>
      </c>
    </row>
    <row r="3881" spans="1:40" x14ac:dyDescent="0.3">
      <c r="A3881" t="s">
        <v>18283</v>
      </c>
      <c r="B3881" t="s">
        <v>1</v>
      </c>
      <c r="C3881" t="s">
        <v>18284</v>
      </c>
      <c r="E3881" t="s">
        <v>18285</v>
      </c>
      <c r="F3881" t="s">
        <v>5</v>
      </c>
      <c r="G3881" t="s">
        <v>6</v>
      </c>
      <c r="L3881" t="s">
        <v>7</v>
      </c>
      <c r="M3881">
        <v>2024</v>
      </c>
      <c r="N3881" s="1">
        <v>45412</v>
      </c>
      <c r="O3881" t="s">
        <v>18286</v>
      </c>
      <c r="P3881">
        <v>1</v>
      </c>
      <c r="Q3881" t="s">
        <v>8994</v>
      </c>
      <c r="S3881">
        <v>331.95</v>
      </c>
      <c r="T3881">
        <v>380</v>
      </c>
      <c r="U3881">
        <v>290</v>
      </c>
      <c r="V3881" t="s">
        <v>89</v>
      </c>
      <c r="W3881" t="s">
        <v>4664</v>
      </c>
      <c r="X3881" t="s">
        <v>4664</v>
      </c>
      <c r="Y3881" t="s">
        <v>18287</v>
      </c>
      <c r="AF3881" t="s">
        <v>13</v>
      </c>
      <c r="AH3881" t="str">
        <f>HYPERLINK("http://www.degruyter.com/isbn/9781399528184")</f>
        <v>http://www.degruyter.com/isbn/9781399528184</v>
      </c>
      <c r="AI3881" t="s">
        <v>17511</v>
      </c>
      <c r="AL3881" t="s">
        <v>638</v>
      </c>
      <c r="AM3881">
        <v>1</v>
      </c>
      <c r="AN3881" s="2">
        <v>9781399528160</v>
      </c>
    </row>
    <row r="3882" spans="1:40" x14ac:dyDescent="0.3">
      <c r="A3882" t="s">
        <v>18288</v>
      </c>
      <c r="B3882" t="s">
        <v>1</v>
      </c>
      <c r="C3882" t="s">
        <v>18289</v>
      </c>
      <c r="D3882" t="s">
        <v>18290</v>
      </c>
      <c r="E3882" t="s">
        <v>18291</v>
      </c>
      <c r="F3882" t="s">
        <v>5</v>
      </c>
      <c r="G3882" t="s">
        <v>6</v>
      </c>
      <c r="L3882" t="s">
        <v>7</v>
      </c>
      <c r="M3882">
        <v>2024</v>
      </c>
      <c r="N3882" s="1">
        <v>45535</v>
      </c>
      <c r="O3882" t="s">
        <v>18292</v>
      </c>
      <c r="P3882">
        <v>1</v>
      </c>
      <c r="Q3882" t="s">
        <v>18293</v>
      </c>
      <c r="S3882">
        <v>217.95</v>
      </c>
      <c r="T3882">
        <v>250</v>
      </c>
      <c r="U3882">
        <v>190</v>
      </c>
      <c r="V3882" t="s">
        <v>329</v>
      </c>
      <c r="W3882" t="s">
        <v>330</v>
      </c>
      <c r="X3882" t="s">
        <v>331</v>
      </c>
      <c r="Y3882" t="s">
        <v>4770</v>
      </c>
      <c r="AF3882" t="s">
        <v>13</v>
      </c>
      <c r="AH3882" t="str">
        <f>HYPERLINK("http://www.degruyter.com/isbn/9781399530408")</f>
        <v>http://www.degruyter.com/isbn/9781399530408</v>
      </c>
      <c r="AI3882" t="s">
        <v>18294</v>
      </c>
      <c r="AL3882" t="s">
        <v>638</v>
      </c>
      <c r="AM3882">
        <v>1</v>
      </c>
      <c r="AN3882" s="2"/>
    </row>
    <row r="3883" spans="1:40" x14ac:dyDescent="0.3">
      <c r="A3883" t="s">
        <v>18295</v>
      </c>
      <c r="B3883" t="s">
        <v>1</v>
      </c>
      <c r="C3883" t="s">
        <v>18296</v>
      </c>
      <c r="D3883" t="s">
        <v>18297</v>
      </c>
      <c r="E3883" t="s">
        <v>18298</v>
      </c>
      <c r="F3883" t="s">
        <v>5</v>
      </c>
      <c r="G3883" t="s">
        <v>6</v>
      </c>
      <c r="L3883" t="s">
        <v>7</v>
      </c>
      <c r="M3883">
        <v>2024</v>
      </c>
      <c r="N3883" s="1">
        <v>45596</v>
      </c>
      <c r="O3883" t="s">
        <v>18299</v>
      </c>
      <c r="P3883">
        <v>1</v>
      </c>
      <c r="Q3883" t="s">
        <v>8883</v>
      </c>
      <c r="S3883">
        <v>226.95</v>
      </c>
      <c r="T3883">
        <v>260</v>
      </c>
      <c r="U3883">
        <v>200</v>
      </c>
      <c r="V3883" t="s">
        <v>79</v>
      </c>
      <c r="W3883" t="s">
        <v>16641</v>
      </c>
      <c r="X3883" t="s">
        <v>16642</v>
      </c>
      <c r="Y3883" t="s">
        <v>16643</v>
      </c>
      <c r="AF3883" t="s">
        <v>13</v>
      </c>
      <c r="AH3883" t="str">
        <f>HYPERLINK("http://www.degruyter.com/isbn/9781399530521")</f>
        <v>http://www.degruyter.com/isbn/9781399530521</v>
      </c>
      <c r="AI3883" t="s">
        <v>17444</v>
      </c>
      <c r="AL3883" t="s">
        <v>638</v>
      </c>
      <c r="AM3883">
        <v>1</v>
      </c>
      <c r="AN3883" s="2"/>
    </row>
    <row r="3884" spans="1:40" x14ac:dyDescent="0.3">
      <c r="A3884" t="s">
        <v>18300</v>
      </c>
      <c r="B3884" t="s">
        <v>1</v>
      </c>
      <c r="C3884" t="s">
        <v>18301</v>
      </c>
      <c r="E3884" t="s">
        <v>18302</v>
      </c>
      <c r="F3884" t="s">
        <v>5</v>
      </c>
      <c r="G3884" t="s">
        <v>6</v>
      </c>
      <c r="L3884" t="s">
        <v>7</v>
      </c>
      <c r="M3884">
        <v>2024</v>
      </c>
      <c r="N3884" s="1">
        <v>45473</v>
      </c>
      <c r="O3884" t="s">
        <v>18303</v>
      </c>
      <c r="P3884">
        <v>1</v>
      </c>
      <c r="S3884">
        <v>217.95</v>
      </c>
      <c r="T3884">
        <v>250</v>
      </c>
      <c r="U3884">
        <v>190</v>
      </c>
      <c r="V3884" t="s">
        <v>42</v>
      </c>
      <c r="W3884" t="s">
        <v>107</v>
      </c>
      <c r="X3884" t="s">
        <v>108</v>
      </c>
      <c r="Y3884" t="s">
        <v>109</v>
      </c>
      <c r="AF3884" t="s">
        <v>13</v>
      </c>
      <c r="AH3884" t="str">
        <f>HYPERLINK("http://www.degruyter.com/isbn/9781399543842")</f>
        <v>http://www.degruyter.com/isbn/9781399543842</v>
      </c>
      <c r="AI3884" t="s">
        <v>17450</v>
      </c>
      <c r="AL3884" t="s">
        <v>638</v>
      </c>
      <c r="AM3884">
        <v>1</v>
      </c>
      <c r="AN3884" s="2"/>
    </row>
    <row r="3885" spans="1:40" x14ac:dyDescent="0.3">
      <c r="A3885" t="s">
        <v>18304</v>
      </c>
      <c r="B3885" t="s">
        <v>1</v>
      </c>
      <c r="C3885" t="s">
        <v>18305</v>
      </c>
      <c r="E3885" t="s">
        <v>18306</v>
      </c>
      <c r="F3885" t="s">
        <v>5</v>
      </c>
      <c r="G3885" t="s">
        <v>6</v>
      </c>
      <c r="L3885" t="s">
        <v>7</v>
      </c>
      <c r="M3885">
        <v>2024</v>
      </c>
      <c r="N3885" s="1">
        <v>45596</v>
      </c>
      <c r="O3885" t="s">
        <v>18307</v>
      </c>
      <c r="P3885">
        <v>1</v>
      </c>
      <c r="S3885">
        <v>191.95</v>
      </c>
      <c r="T3885">
        <v>220</v>
      </c>
      <c r="U3885">
        <v>170</v>
      </c>
      <c r="V3885" t="s">
        <v>42</v>
      </c>
      <c r="W3885" t="s">
        <v>107</v>
      </c>
      <c r="X3885" t="s">
        <v>108</v>
      </c>
      <c r="Y3885" t="s">
        <v>109</v>
      </c>
      <c r="AF3885" t="s">
        <v>13</v>
      </c>
      <c r="AH3885" t="str">
        <f>HYPERLINK("http://www.degruyter.com/isbn/9781399535878")</f>
        <v>http://www.degruyter.com/isbn/9781399535878</v>
      </c>
      <c r="AI3885" t="s">
        <v>17450</v>
      </c>
      <c r="AL3885" t="s">
        <v>638</v>
      </c>
      <c r="AM3885">
        <v>1</v>
      </c>
      <c r="AN3885" s="2"/>
    </row>
    <row r="3886" spans="1:40" x14ac:dyDescent="0.3">
      <c r="A3886" t="s">
        <v>18308</v>
      </c>
      <c r="B3886" t="s">
        <v>1</v>
      </c>
      <c r="C3886" t="s">
        <v>18309</v>
      </c>
      <c r="D3886" t="s">
        <v>18310</v>
      </c>
      <c r="E3886" t="s">
        <v>18311</v>
      </c>
      <c r="F3886" t="s">
        <v>5</v>
      </c>
      <c r="G3886" t="s">
        <v>6</v>
      </c>
      <c r="L3886" t="s">
        <v>7</v>
      </c>
      <c r="M3886">
        <v>2024</v>
      </c>
      <c r="N3886" s="1">
        <v>45596</v>
      </c>
      <c r="O3886" t="s">
        <v>18312</v>
      </c>
      <c r="P3886">
        <v>1</v>
      </c>
      <c r="S3886">
        <v>191.95</v>
      </c>
      <c r="T3886">
        <v>220</v>
      </c>
      <c r="U3886">
        <v>170</v>
      </c>
      <c r="V3886" t="s">
        <v>42</v>
      </c>
      <c r="W3886" t="s">
        <v>107</v>
      </c>
      <c r="X3886" t="s">
        <v>108</v>
      </c>
      <c r="Y3886" t="s">
        <v>109</v>
      </c>
      <c r="AF3886" t="s">
        <v>13</v>
      </c>
      <c r="AH3886" t="str">
        <f>HYPERLINK("http://www.degruyter.com/isbn/9781399526364")</f>
        <v>http://www.degruyter.com/isbn/9781399526364</v>
      </c>
      <c r="AI3886" t="s">
        <v>17450</v>
      </c>
      <c r="AL3886" t="s">
        <v>638</v>
      </c>
      <c r="AM3886">
        <v>1</v>
      </c>
      <c r="AN3886" s="2"/>
    </row>
    <row r="3887" spans="1:40" x14ac:dyDescent="0.3">
      <c r="A3887" t="s">
        <v>18313</v>
      </c>
      <c r="B3887" t="s">
        <v>1</v>
      </c>
      <c r="C3887" t="s">
        <v>18314</v>
      </c>
      <c r="D3887" t="s">
        <v>18315</v>
      </c>
      <c r="E3887" t="s">
        <v>18316</v>
      </c>
      <c r="F3887" t="s">
        <v>5</v>
      </c>
      <c r="G3887" t="s">
        <v>6</v>
      </c>
      <c r="L3887" t="s">
        <v>7</v>
      </c>
      <c r="M3887">
        <v>2025</v>
      </c>
      <c r="N3887" s="1">
        <v>45596</v>
      </c>
      <c r="O3887" t="s">
        <v>18317</v>
      </c>
      <c r="P3887">
        <v>1</v>
      </c>
      <c r="Q3887" t="s">
        <v>14688</v>
      </c>
      <c r="S3887">
        <v>217.95</v>
      </c>
      <c r="T3887">
        <v>250</v>
      </c>
      <c r="U3887">
        <v>190</v>
      </c>
      <c r="V3887" t="s">
        <v>58</v>
      </c>
      <c r="W3887" t="s">
        <v>129</v>
      </c>
      <c r="X3887" t="s">
        <v>18318</v>
      </c>
      <c r="Y3887" t="s">
        <v>1556</v>
      </c>
      <c r="AF3887" t="s">
        <v>13</v>
      </c>
      <c r="AH3887" t="str">
        <f>HYPERLINK("http://www.degruyter.com/isbn/9781399536912")</f>
        <v>http://www.degruyter.com/isbn/9781399536912</v>
      </c>
      <c r="AI3887" t="s">
        <v>18319</v>
      </c>
      <c r="AL3887" t="s">
        <v>638</v>
      </c>
      <c r="AM3887">
        <v>1</v>
      </c>
      <c r="AN3887" s="2"/>
    </row>
    <row r="3888" spans="1:40" x14ac:dyDescent="0.3">
      <c r="A3888" t="s">
        <v>18320</v>
      </c>
      <c r="B3888" t="s">
        <v>1</v>
      </c>
      <c r="C3888" t="s">
        <v>18321</v>
      </c>
      <c r="D3888" t="s">
        <v>18322</v>
      </c>
      <c r="E3888" t="s">
        <v>18323</v>
      </c>
      <c r="F3888" t="s">
        <v>5</v>
      </c>
      <c r="G3888" t="s">
        <v>6</v>
      </c>
      <c r="L3888" t="s">
        <v>7</v>
      </c>
      <c r="M3888">
        <v>2024</v>
      </c>
      <c r="N3888" s="1">
        <v>45626</v>
      </c>
      <c r="O3888" t="s">
        <v>18324</v>
      </c>
      <c r="P3888">
        <v>1</v>
      </c>
      <c r="S3888">
        <v>217.95</v>
      </c>
      <c r="T3888">
        <v>250</v>
      </c>
      <c r="U3888">
        <v>190</v>
      </c>
      <c r="V3888" t="s">
        <v>9</v>
      </c>
      <c r="W3888" t="s">
        <v>10</v>
      </c>
      <c r="X3888" t="s">
        <v>44</v>
      </c>
      <c r="Y3888" t="s">
        <v>7060</v>
      </c>
      <c r="AF3888" t="s">
        <v>13</v>
      </c>
      <c r="AH3888" t="str">
        <f>HYPERLINK("http://www.degruyter.com/isbn/9781399535199")</f>
        <v>http://www.degruyter.com/isbn/9781399535199</v>
      </c>
      <c r="AI3888" t="s">
        <v>17506</v>
      </c>
      <c r="AL3888" t="s">
        <v>638</v>
      </c>
      <c r="AM3888">
        <v>1</v>
      </c>
      <c r="AN3888" s="2"/>
    </row>
    <row r="3889" spans="1:40" x14ac:dyDescent="0.3">
      <c r="A3889" t="s">
        <v>18325</v>
      </c>
      <c r="B3889" t="s">
        <v>1</v>
      </c>
      <c r="C3889" t="s">
        <v>18326</v>
      </c>
      <c r="E3889" t="s">
        <v>18327</v>
      </c>
      <c r="F3889" t="s">
        <v>5</v>
      </c>
      <c r="G3889" t="s">
        <v>6</v>
      </c>
      <c r="L3889" t="s">
        <v>7</v>
      </c>
      <c r="M3889">
        <v>2025</v>
      </c>
      <c r="N3889" s="1">
        <v>45657</v>
      </c>
      <c r="O3889" t="s">
        <v>18328</v>
      </c>
      <c r="P3889">
        <v>1</v>
      </c>
      <c r="Q3889" t="s">
        <v>7655</v>
      </c>
      <c r="S3889">
        <v>191.95</v>
      </c>
      <c r="T3889">
        <v>220</v>
      </c>
      <c r="U3889">
        <v>170</v>
      </c>
      <c r="V3889" t="s">
        <v>9</v>
      </c>
      <c r="W3889" t="s">
        <v>10</v>
      </c>
      <c r="X3889" t="s">
        <v>44</v>
      </c>
      <c r="Y3889" t="s">
        <v>7060</v>
      </c>
      <c r="AF3889" t="s">
        <v>13</v>
      </c>
      <c r="AH3889" t="str">
        <f>HYPERLINK("http://www.degruyter.com/isbn/9781399520119")</f>
        <v>http://www.degruyter.com/isbn/9781399520119</v>
      </c>
      <c r="AI3889" t="s">
        <v>18329</v>
      </c>
      <c r="AL3889" t="s">
        <v>638</v>
      </c>
      <c r="AM3889">
        <v>1</v>
      </c>
      <c r="AN3889" s="2"/>
    </row>
    <row r="3890" spans="1:40" x14ac:dyDescent="0.3">
      <c r="A3890" t="s">
        <v>18330</v>
      </c>
      <c r="B3890" t="s">
        <v>1</v>
      </c>
      <c r="C3890" t="s">
        <v>18331</v>
      </c>
      <c r="E3890" t="s">
        <v>18332</v>
      </c>
      <c r="F3890" t="s">
        <v>5</v>
      </c>
      <c r="G3890" t="s">
        <v>6</v>
      </c>
      <c r="L3890" t="s">
        <v>7</v>
      </c>
      <c r="M3890">
        <v>2024</v>
      </c>
      <c r="N3890" s="1">
        <v>45596</v>
      </c>
      <c r="O3890" t="s">
        <v>18333</v>
      </c>
      <c r="P3890">
        <v>1</v>
      </c>
      <c r="Q3890" t="s">
        <v>8750</v>
      </c>
      <c r="S3890">
        <v>191.95</v>
      </c>
      <c r="T3890">
        <v>220</v>
      </c>
      <c r="U3890">
        <v>170</v>
      </c>
      <c r="V3890" t="s">
        <v>42</v>
      </c>
      <c r="W3890" t="s">
        <v>107</v>
      </c>
      <c r="X3890" t="s">
        <v>108</v>
      </c>
      <c r="Y3890" t="s">
        <v>952</v>
      </c>
      <c r="AF3890" t="s">
        <v>13</v>
      </c>
      <c r="AH3890" t="str">
        <f>HYPERLINK("http://www.degruyter.com/isbn/9781399539180")</f>
        <v>http://www.degruyter.com/isbn/9781399539180</v>
      </c>
      <c r="AI3890" t="s">
        <v>17450</v>
      </c>
      <c r="AL3890" t="s">
        <v>638</v>
      </c>
      <c r="AM3890">
        <v>1</v>
      </c>
      <c r="AN3890" s="2"/>
    </row>
    <row r="3891" spans="1:40" x14ac:dyDescent="0.3">
      <c r="A3891" t="s">
        <v>18334</v>
      </c>
      <c r="B3891" t="s">
        <v>1</v>
      </c>
      <c r="C3891" t="s">
        <v>18335</v>
      </c>
      <c r="E3891" t="s">
        <v>18336</v>
      </c>
      <c r="F3891" t="s">
        <v>5</v>
      </c>
      <c r="G3891" t="s">
        <v>6</v>
      </c>
      <c r="L3891" t="s">
        <v>7</v>
      </c>
      <c r="M3891">
        <v>2024</v>
      </c>
      <c r="N3891" s="1">
        <v>45596</v>
      </c>
      <c r="O3891" t="s">
        <v>18337</v>
      </c>
      <c r="P3891">
        <v>1</v>
      </c>
      <c r="S3891">
        <v>173.95</v>
      </c>
      <c r="T3891">
        <v>200</v>
      </c>
      <c r="U3891">
        <v>150</v>
      </c>
      <c r="V3891" t="s">
        <v>42</v>
      </c>
      <c r="W3891" t="s">
        <v>116</v>
      </c>
      <c r="X3891" t="s">
        <v>116</v>
      </c>
      <c r="Y3891" t="s">
        <v>810</v>
      </c>
      <c r="AF3891" t="s">
        <v>13</v>
      </c>
      <c r="AH3891" t="str">
        <f>HYPERLINK("http://www.degruyter.com/isbn/9781399538077")</f>
        <v>http://www.degruyter.com/isbn/9781399538077</v>
      </c>
      <c r="AI3891" t="s">
        <v>17556</v>
      </c>
      <c r="AL3891" t="s">
        <v>638</v>
      </c>
      <c r="AM3891">
        <v>1</v>
      </c>
      <c r="AN3891" s="2"/>
    </row>
    <row r="3892" spans="1:40" x14ac:dyDescent="0.3">
      <c r="A3892" t="s">
        <v>18338</v>
      </c>
      <c r="B3892" t="s">
        <v>1</v>
      </c>
      <c r="C3892" t="s">
        <v>18339</v>
      </c>
      <c r="E3892" t="s">
        <v>18340</v>
      </c>
      <c r="F3892" t="s">
        <v>5</v>
      </c>
      <c r="G3892" t="s">
        <v>6</v>
      </c>
      <c r="L3892" t="s">
        <v>7</v>
      </c>
      <c r="M3892">
        <v>2024</v>
      </c>
      <c r="N3892" s="1">
        <v>45596</v>
      </c>
      <c r="O3892" t="s">
        <v>18341</v>
      </c>
      <c r="P3892">
        <v>1</v>
      </c>
      <c r="S3892">
        <v>191.95</v>
      </c>
      <c r="T3892">
        <v>220</v>
      </c>
      <c r="U3892">
        <v>170</v>
      </c>
      <c r="V3892" t="s">
        <v>9</v>
      </c>
      <c r="W3892" t="s">
        <v>10</v>
      </c>
      <c r="X3892" t="s">
        <v>11</v>
      </c>
      <c r="Y3892" t="s">
        <v>12</v>
      </c>
      <c r="AF3892" t="s">
        <v>13</v>
      </c>
      <c r="AH3892" t="str">
        <f>HYPERLINK("http://www.degruyter.com/isbn/9781474497923")</f>
        <v>http://www.degruyter.com/isbn/9781474497923</v>
      </c>
      <c r="AI3892" t="s">
        <v>17506</v>
      </c>
      <c r="AL3892" t="s">
        <v>638</v>
      </c>
      <c r="AM3892">
        <v>1</v>
      </c>
      <c r="AN3892" s="2"/>
    </row>
    <row r="3893" spans="1:40" x14ac:dyDescent="0.3">
      <c r="A3893" t="s">
        <v>18342</v>
      </c>
      <c r="B3893" t="s">
        <v>1</v>
      </c>
      <c r="C3893" t="s">
        <v>18343</v>
      </c>
      <c r="D3893" t="s">
        <v>18344</v>
      </c>
      <c r="E3893" t="s">
        <v>18345</v>
      </c>
      <c r="F3893" t="s">
        <v>5</v>
      </c>
      <c r="G3893" t="s">
        <v>6</v>
      </c>
      <c r="L3893" t="s">
        <v>7</v>
      </c>
      <c r="M3893">
        <v>2024</v>
      </c>
      <c r="N3893" s="1">
        <v>45626</v>
      </c>
      <c r="O3893" t="s">
        <v>18346</v>
      </c>
      <c r="P3893">
        <v>1</v>
      </c>
      <c r="Q3893" t="s">
        <v>8883</v>
      </c>
      <c r="S3893">
        <v>339.95</v>
      </c>
      <c r="T3893">
        <v>390</v>
      </c>
      <c r="U3893">
        <v>300</v>
      </c>
      <c r="V3893" t="s">
        <v>79</v>
      </c>
      <c r="W3893" t="s">
        <v>16641</v>
      </c>
      <c r="X3893" t="s">
        <v>16642</v>
      </c>
      <c r="Y3893" t="s">
        <v>16643</v>
      </c>
      <c r="AF3893" t="s">
        <v>13</v>
      </c>
      <c r="AH3893" t="str">
        <f>HYPERLINK("http://www.degruyter.com/isbn/9781474489034")</f>
        <v>http://www.degruyter.com/isbn/9781474489034</v>
      </c>
      <c r="AI3893" t="s">
        <v>17444</v>
      </c>
      <c r="AL3893" t="s">
        <v>638</v>
      </c>
      <c r="AM3893">
        <v>1</v>
      </c>
      <c r="AN3893" s="2"/>
    </row>
    <row r="3894" spans="1:40" x14ac:dyDescent="0.3">
      <c r="A3894" t="s">
        <v>18347</v>
      </c>
      <c r="B3894" t="s">
        <v>1</v>
      </c>
      <c r="C3894" t="s">
        <v>18348</v>
      </c>
      <c r="D3894" t="s">
        <v>18349</v>
      </c>
      <c r="E3894" t="s">
        <v>18350</v>
      </c>
      <c r="F3894" t="s">
        <v>5</v>
      </c>
      <c r="G3894" t="s">
        <v>6</v>
      </c>
      <c r="L3894" t="s">
        <v>7</v>
      </c>
      <c r="M3894">
        <v>2024</v>
      </c>
      <c r="N3894" s="1">
        <v>45596</v>
      </c>
      <c r="O3894" t="s">
        <v>18351</v>
      </c>
      <c r="P3894">
        <v>1</v>
      </c>
      <c r="Q3894" t="s">
        <v>15661</v>
      </c>
      <c r="S3894">
        <v>208.95</v>
      </c>
      <c r="T3894">
        <v>240</v>
      </c>
      <c r="U3894">
        <v>180</v>
      </c>
      <c r="V3894" t="s">
        <v>42</v>
      </c>
      <c r="W3894" t="s">
        <v>43</v>
      </c>
      <c r="X3894" t="s">
        <v>178</v>
      </c>
      <c r="Y3894" t="s">
        <v>2453</v>
      </c>
      <c r="AF3894" t="s">
        <v>13</v>
      </c>
      <c r="AH3894" t="str">
        <f>HYPERLINK("http://www.degruyter.com/isbn/9781399521376")</f>
        <v>http://www.degruyter.com/isbn/9781399521376</v>
      </c>
      <c r="AI3894" t="s">
        <v>17450</v>
      </c>
      <c r="AL3894" t="s">
        <v>638</v>
      </c>
      <c r="AM3894">
        <v>1</v>
      </c>
      <c r="AN3894" s="2"/>
    </row>
    <row r="3895" spans="1:40" x14ac:dyDescent="0.3">
      <c r="A3895" t="s">
        <v>18352</v>
      </c>
      <c r="B3895" t="s">
        <v>1</v>
      </c>
      <c r="C3895" t="s">
        <v>18353</v>
      </c>
      <c r="D3895" t="s">
        <v>18354</v>
      </c>
      <c r="E3895" t="s">
        <v>18355</v>
      </c>
      <c r="F3895" t="s">
        <v>5</v>
      </c>
      <c r="G3895" t="s">
        <v>6</v>
      </c>
      <c r="L3895" t="s">
        <v>7</v>
      </c>
      <c r="M3895">
        <v>2024</v>
      </c>
      <c r="N3895" s="1">
        <v>45565</v>
      </c>
      <c r="O3895" t="s">
        <v>18356</v>
      </c>
      <c r="P3895">
        <v>1</v>
      </c>
      <c r="Q3895" t="s">
        <v>13880</v>
      </c>
      <c r="S3895">
        <v>208.95</v>
      </c>
      <c r="T3895">
        <v>240</v>
      </c>
      <c r="U3895">
        <v>180</v>
      </c>
      <c r="V3895" t="s">
        <v>79</v>
      </c>
      <c r="W3895" t="s">
        <v>16641</v>
      </c>
      <c r="X3895" t="s">
        <v>16642</v>
      </c>
      <c r="Y3895" t="s">
        <v>16643</v>
      </c>
      <c r="AF3895" t="s">
        <v>13</v>
      </c>
      <c r="AH3895" t="str">
        <f>HYPERLINK("http://www.degruyter.com/isbn/9781399536356")</f>
        <v>http://www.degruyter.com/isbn/9781399536356</v>
      </c>
      <c r="AI3895" t="s">
        <v>17444</v>
      </c>
      <c r="AL3895" t="s">
        <v>638</v>
      </c>
      <c r="AM3895">
        <v>1</v>
      </c>
      <c r="AN3895" s="2"/>
    </row>
    <row r="3896" spans="1:40" x14ac:dyDescent="0.3">
      <c r="A3896" t="s">
        <v>18357</v>
      </c>
      <c r="B3896" t="s">
        <v>1</v>
      </c>
      <c r="C3896" t="s">
        <v>18358</v>
      </c>
      <c r="D3896" t="s">
        <v>18359</v>
      </c>
      <c r="E3896" t="s">
        <v>18360</v>
      </c>
      <c r="F3896" t="s">
        <v>5</v>
      </c>
      <c r="G3896" t="s">
        <v>6</v>
      </c>
      <c r="L3896" t="s">
        <v>7</v>
      </c>
      <c r="M3896">
        <v>2024</v>
      </c>
      <c r="N3896" s="1">
        <v>45596</v>
      </c>
      <c r="O3896" t="s">
        <v>18361</v>
      </c>
      <c r="P3896">
        <v>1</v>
      </c>
      <c r="S3896">
        <v>217.95</v>
      </c>
      <c r="T3896">
        <v>250</v>
      </c>
      <c r="U3896">
        <v>190</v>
      </c>
      <c r="V3896" t="s">
        <v>42</v>
      </c>
      <c r="W3896" t="s">
        <v>161</v>
      </c>
      <c r="X3896" t="s">
        <v>162</v>
      </c>
      <c r="Y3896" t="s">
        <v>12859</v>
      </c>
      <c r="AF3896" t="s">
        <v>13</v>
      </c>
      <c r="AH3896" t="str">
        <f>HYPERLINK("http://www.degruyter.com/isbn/9781399534543")</f>
        <v>http://www.degruyter.com/isbn/9781399534543</v>
      </c>
      <c r="AI3896" t="s">
        <v>17450</v>
      </c>
      <c r="AL3896" t="s">
        <v>638</v>
      </c>
      <c r="AM3896">
        <v>1</v>
      </c>
      <c r="AN3896" s="2"/>
    </row>
    <row r="3897" spans="1:40" x14ac:dyDescent="0.3">
      <c r="A3897" t="s">
        <v>18362</v>
      </c>
      <c r="B3897" t="s">
        <v>1</v>
      </c>
      <c r="C3897" t="s">
        <v>18363</v>
      </c>
      <c r="D3897" t="s">
        <v>18364</v>
      </c>
      <c r="E3897" t="s">
        <v>18365</v>
      </c>
      <c r="F3897" t="s">
        <v>5</v>
      </c>
      <c r="G3897" t="s">
        <v>6</v>
      </c>
      <c r="L3897" t="s">
        <v>7</v>
      </c>
      <c r="M3897">
        <v>2024</v>
      </c>
      <c r="N3897" s="1">
        <v>45596</v>
      </c>
      <c r="O3897" t="s">
        <v>18366</v>
      </c>
      <c r="P3897">
        <v>1</v>
      </c>
      <c r="S3897">
        <v>217.95</v>
      </c>
      <c r="T3897">
        <v>250</v>
      </c>
      <c r="U3897">
        <v>190</v>
      </c>
      <c r="V3897" t="s">
        <v>42</v>
      </c>
      <c r="W3897" t="s">
        <v>107</v>
      </c>
      <c r="X3897" t="s">
        <v>108</v>
      </c>
      <c r="Y3897" t="s">
        <v>2244</v>
      </c>
      <c r="AF3897" t="s">
        <v>13</v>
      </c>
      <c r="AH3897" t="str">
        <f>HYPERLINK("http://www.degruyter.com/isbn/9781399516587")</f>
        <v>http://www.degruyter.com/isbn/9781399516587</v>
      </c>
      <c r="AI3897" t="s">
        <v>17450</v>
      </c>
      <c r="AL3897" t="s">
        <v>638</v>
      </c>
      <c r="AM3897">
        <v>1</v>
      </c>
      <c r="AN3897" s="2"/>
    </row>
    <row r="3898" spans="1:40" x14ac:dyDescent="0.3">
      <c r="A3898" t="s">
        <v>18367</v>
      </c>
      <c r="B3898" t="s">
        <v>1</v>
      </c>
      <c r="C3898" t="s">
        <v>18368</v>
      </c>
      <c r="E3898" t="s">
        <v>18369</v>
      </c>
      <c r="F3898" t="s">
        <v>5</v>
      </c>
      <c r="G3898" t="s">
        <v>6</v>
      </c>
      <c r="L3898" t="s">
        <v>7</v>
      </c>
      <c r="M3898">
        <v>2024</v>
      </c>
      <c r="N3898" s="1">
        <v>45596</v>
      </c>
      <c r="O3898" t="s">
        <v>18370</v>
      </c>
      <c r="P3898">
        <v>1</v>
      </c>
      <c r="Q3898" t="s">
        <v>14000</v>
      </c>
      <c r="S3898">
        <v>226.95</v>
      </c>
      <c r="T3898">
        <v>260</v>
      </c>
      <c r="U3898">
        <v>200</v>
      </c>
      <c r="V3898" t="s">
        <v>42</v>
      </c>
      <c r="W3898" t="s">
        <v>107</v>
      </c>
      <c r="X3898" t="s">
        <v>108</v>
      </c>
      <c r="Y3898" t="s">
        <v>952</v>
      </c>
      <c r="AF3898" t="s">
        <v>13</v>
      </c>
      <c r="AH3898" t="str">
        <f>HYPERLINK("http://www.degruyter.com/isbn/9781474487344")</f>
        <v>http://www.degruyter.com/isbn/9781474487344</v>
      </c>
      <c r="AI3898" t="s">
        <v>17450</v>
      </c>
      <c r="AL3898" t="s">
        <v>638</v>
      </c>
      <c r="AM3898">
        <v>1</v>
      </c>
      <c r="AN3898" s="2"/>
    </row>
    <row r="3899" spans="1:40" x14ac:dyDescent="0.3">
      <c r="A3899" t="s">
        <v>18371</v>
      </c>
      <c r="B3899" t="s">
        <v>1</v>
      </c>
      <c r="C3899" t="s">
        <v>18372</v>
      </c>
      <c r="E3899" t="s">
        <v>18373</v>
      </c>
      <c r="F3899" t="s">
        <v>5</v>
      </c>
      <c r="G3899" t="s">
        <v>6</v>
      </c>
      <c r="L3899" t="s">
        <v>7</v>
      </c>
      <c r="M3899">
        <v>2024</v>
      </c>
      <c r="N3899" s="1">
        <v>45596</v>
      </c>
      <c r="O3899" t="s">
        <v>18374</v>
      </c>
      <c r="P3899">
        <v>1</v>
      </c>
      <c r="Q3899" t="s">
        <v>6829</v>
      </c>
      <c r="S3899">
        <v>191.95</v>
      </c>
      <c r="T3899">
        <v>220</v>
      </c>
      <c r="U3899">
        <v>170</v>
      </c>
      <c r="V3899" t="s">
        <v>9</v>
      </c>
      <c r="W3899" t="s">
        <v>10</v>
      </c>
      <c r="X3899" t="s">
        <v>11</v>
      </c>
      <c r="Y3899" t="s">
        <v>52</v>
      </c>
      <c r="AF3899" t="s">
        <v>13</v>
      </c>
      <c r="AH3899" t="str">
        <f>HYPERLINK("http://www.degruyter.com/isbn/9781474482066")</f>
        <v>http://www.degruyter.com/isbn/9781474482066</v>
      </c>
      <c r="AI3899" t="s">
        <v>17506</v>
      </c>
      <c r="AL3899" t="s">
        <v>638</v>
      </c>
      <c r="AM3899">
        <v>1</v>
      </c>
      <c r="AN3899" s="2"/>
    </row>
    <row r="3900" spans="1:40" x14ac:dyDescent="0.3">
      <c r="A3900" t="s">
        <v>18375</v>
      </c>
      <c r="B3900" t="s">
        <v>1</v>
      </c>
      <c r="C3900" t="s">
        <v>18376</v>
      </c>
      <c r="D3900" t="s">
        <v>18377</v>
      </c>
      <c r="E3900" t="s">
        <v>18378</v>
      </c>
      <c r="F3900" t="s">
        <v>5</v>
      </c>
      <c r="G3900" t="s">
        <v>6</v>
      </c>
      <c r="L3900" t="s">
        <v>7</v>
      </c>
      <c r="M3900">
        <v>2024</v>
      </c>
      <c r="N3900" s="1">
        <v>45596</v>
      </c>
      <c r="O3900" t="s">
        <v>18379</v>
      </c>
      <c r="P3900">
        <v>1</v>
      </c>
      <c r="S3900">
        <v>191.95</v>
      </c>
      <c r="T3900">
        <v>220</v>
      </c>
      <c r="U3900">
        <v>170</v>
      </c>
      <c r="V3900" t="s">
        <v>58</v>
      </c>
      <c r="W3900" t="s">
        <v>59</v>
      </c>
      <c r="X3900" t="s">
        <v>60</v>
      </c>
      <c r="Y3900" t="s">
        <v>73</v>
      </c>
      <c r="AF3900" t="s">
        <v>13</v>
      </c>
      <c r="AH3900" t="str">
        <f>HYPERLINK("http://www.degruyter.com/isbn/9781399527743")</f>
        <v>http://www.degruyter.com/isbn/9781399527743</v>
      </c>
      <c r="AI3900" t="s">
        <v>17501</v>
      </c>
      <c r="AL3900" t="s">
        <v>638</v>
      </c>
      <c r="AM3900">
        <v>1</v>
      </c>
      <c r="AN3900" s="2"/>
    </row>
    <row r="3901" spans="1:40" x14ac:dyDescent="0.3">
      <c r="A3901" t="s">
        <v>18380</v>
      </c>
      <c r="B3901" t="s">
        <v>1</v>
      </c>
      <c r="C3901" t="s">
        <v>18381</v>
      </c>
      <c r="D3901" t="s">
        <v>18382</v>
      </c>
      <c r="E3901" t="s">
        <v>18383</v>
      </c>
      <c r="F3901" t="s">
        <v>5</v>
      </c>
      <c r="G3901" t="s">
        <v>6</v>
      </c>
      <c r="L3901" t="s">
        <v>7</v>
      </c>
      <c r="M3901">
        <v>2025</v>
      </c>
      <c r="N3901" s="1">
        <v>45596</v>
      </c>
      <c r="O3901" t="s">
        <v>18384</v>
      </c>
      <c r="P3901">
        <v>1</v>
      </c>
      <c r="Q3901" t="s">
        <v>9122</v>
      </c>
      <c r="S3901">
        <v>286.95</v>
      </c>
      <c r="T3901">
        <v>330</v>
      </c>
      <c r="U3901">
        <v>250</v>
      </c>
      <c r="V3901" t="s">
        <v>847</v>
      </c>
      <c r="W3901" t="s">
        <v>848</v>
      </c>
      <c r="X3901" t="s">
        <v>20</v>
      </c>
      <c r="Y3901" t="s">
        <v>2273</v>
      </c>
      <c r="AF3901" t="s">
        <v>13</v>
      </c>
      <c r="AH3901" t="str">
        <f>HYPERLINK("http://www.degruyter.com/isbn/9781399524278")</f>
        <v>http://www.degruyter.com/isbn/9781399524278</v>
      </c>
      <c r="AI3901" t="s">
        <v>18385</v>
      </c>
      <c r="AL3901" t="s">
        <v>638</v>
      </c>
      <c r="AM3901">
        <v>1</v>
      </c>
      <c r="AN3901" s="2"/>
    </row>
    <row r="3902" spans="1:40" x14ac:dyDescent="0.3">
      <c r="A3902" t="s">
        <v>18386</v>
      </c>
      <c r="B3902" t="s">
        <v>1</v>
      </c>
      <c r="C3902" t="s">
        <v>18387</v>
      </c>
      <c r="E3902" t="s">
        <v>18388</v>
      </c>
      <c r="F3902" t="s">
        <v>5</v>
      </c>
      <c r="G3902" t="s">
        <v>6</v>
      </c>
      <c r="L3902" t="s">
        <v>7</v>
      </c>
      <c r="M3902">
        <v>2024</v>
      </c>
      <c r="N3902" s="1">
        <v>45596</v>
      </c>
      <c r="O3902" t="s">
        <v>18389</v>
      </c>
      <c r="P3902">
        <v>1</v>
      </c>
      <c r="S3902">
        <v>191.95</v>
      </c>
      <c r="T3902">
        <v>220</v>
      </c>
      <c r="U3902">
        <v>170</v>
      </c>
      <c r="V3902" t="s">
        <v>9</v>
      </c>
      <c r="W3902" t="s">
        <v>10</v>
      </c>
      <c r="X3902" t="s">
        <v>11</v>
      </c>
      <c r="Y3902" t="s">
        <v>12</v>
      </c>
      <c r="AF3902" t="s">
        <v>13</v>
      </c>
      <c r="AH3902" t="str">
        <f>HYPERLINK("http://www.degruyter.com/isbn/9781399523325")</f>
        <v>http://www.degruyter.com/isbn/9781399523325</v>
      </c>
      <c r="AI3902" t="s">
        <v>17506</v>
      </c>
      <c r="AL3902" t="s">
        <v>638</v>
      </c>
      <c r="AM3902">
        <v>1</v>
      </c>
      <c r="AN3902" s="2"/>
    </row>
    <row r="3903" spans="1:40" x14ac:dyDescent="0.3">
      <c r="A3903" t="s">
        <v>18390</v>
      </c>
      <c r="B3903" t="s">
        <v>1</v>
      </c>
      <c r="C3903" t="s">
        <v>18391</v>
      </c>
      <c r="D3903" t="s">
        <v>18392</v>
      </c>
      <c r="E3903" t="s">
        <v>18393</v>
      </c>
      <c r="F3903" t="s">
        <v>5</v>
      </c>
      <c r="G3903" t="s">
        <v>6</v>
      </c>
      <c r="L3903" t="s">
        <v>7</v>
      </c>
      <c r="M3903">
        <v>2025</v>
      </c>
      <c r="N3903" s="1">
        <v>45596</v>
      </c>
      <c r="O3903" t="s">
        <v>18394</v>
      </c>
      <c r="P3903">
        <v>1</v>
      </c>
      <c r="Q3903" t="s">
        <v>18395</v>
      </c>
      <c r="S3903">
        <v>208.95</v>
      </c>
      <c r="T3903">
        <v>240</v>
      </c>
      <c r="U3903">
        <v>180</v>
      </c>
      <c r="V3903" t="s">
        <v>20</v>
      </c>
      <c r="W3903" t="s">
        <v>21</v>
      </c>
      <c r="X3903" t="s">
        <v>839</v>
      </c>
      <c r="Y3903" t="s">
        <v>1475</v>
      </c>
      <c r="AF3903" t="s">
        <v>13</v>
      </c>
      <c r="AH3903" t="str">
        <f>HYPERLINK("http://www.degruyter.com/isbn/9781399526487")</f>
        <v>http://www.degruyter.com/isbn/9781399526487</v>
      </c>
      <c r="AI3903" t="s">
        <v>18396</v>
      </c>
      <c r="AL3903" t="s">
        <v>638</v>
      </c>
      <c r="AM3903">
        <v>1</v>
      </c>
      <c r="AN3903" s="2"/>
    </row>
    <row r="3904" spans="1:40" x14ac:dyDescent="0.3">
      <c r="A3904" t="s">
        <v>18397</v>
      </c>
      <c r="B3904" t="s">
        <v>1</v>
      </c>
      <c r="C3904" t="s">
        <v>18398</v>
      </c>
      <c r="E3904" t="s">
        <v>18399</v>
      </c>
      <c r="F3904" t="s">
        <v>5</v>
      </c>
      <c r="G3904" t="s">
        <v>6</v>
      </c>
      <c r="L3904" t="s">
        <v>7</v>
      </c>
      <c r="M3904">
        <v>2024</v>
      </c>
      <c r="N3904" s="1">
        <v>45473</v>
      </c>
      <c r="O3904" t="s">
        <v>18400</v>
      </c>
      <c r="P3904">
        <v>1</v>
      </c>
      <c r="S3904">
        <v>191.95</v>
      </c>
      <c r="T3904">
        <v>220</v>
      </c>
      <c r="U3904">
        <v>170</v>
      </c>
      <c r="V3904" t="s">
        <v>42</v>
      </c>
      <c r="W3904" t="s">
        <v>116</v>
      </c>
      <c r="X3904" t="s">
        <v>116</v>
      </c>
      <c r="Y3904" t="s">
        <v>810</v>
      </c>
      <c r="AF3904" t="s">
        <v>13</v>
      </c>
      <c r="AH3904" t="str">
        <f>HYPERLINK("http://www.degruyter.com/isbn/9781399528382")</f>
        <v>http://www.degruyter.com/isbn/9781399528382</v>
      </c>
      <c r="AI3904" t="s">
        <v>17556</v>
      </c>
      <c r="AL3904" t="s">
        <v>638</v>
      </c>
      <c r="AM3904">
        <v>1</v>
      </c>
      <c r="AN3904" s="2"/>
    </row>
    <row r="3905" spans="1:40" x14ac:dyDescent="0.3">
      <c r="A3905" t="s">
        <v>18401</v>
      </c>
      <c r="B3905" t="s">
        <v>1</v>
      </c>
      <c r="C3905" t="s">
        <v>18402</v>
      </c>
      <c r="E3905" t="s">
        <v>18403</v>
      </c>
      <c r="F3905" t="s">
        <v>5</v>
      </c>
      <c r="G3905" t="s">
        <v>6</v>
      </c>
      <c r="L3905" t="s">
        <v>7</v>
      </c>
      <c r="M3905">
        <v>2024</v>
      </c>
      <c r="N3905" s="1">
        <v>45535</v>
      </c>
      <c r="O3905" t="s">
        <v>18404</v>
      </c>
      <c r="P3905">
        <v>1</v>
      </c>
      <c r="Q3905" t="s">
        <v>6876</v>
      </c>
      <c r="S3905">
        <v>191.95</v>
      </c>
      <c r="T3905">
        <v>220</v>
      </c>
      <c r="U3905">
        <v>170</v>
      </c>
      <c r="V3905" t="s">
        <v>42</v>
      </c>
      <c r="W3905" t="s">
        <v>161</v>
      </c>
      <c r="X3905" t="s">
        <v>4261</v>
      </c>
      <c r="Y3905" t="s">
        <v>393</v>
      </c>
      <c r="AF3905" t="s">
        <v>13</v>
      </c>
      <c r="AH3905" t="str">
        <f>HYPERLINK("http://www.degruyter.com/isbn/9781399504706")</f>
        <v>http://www.degruyter.com/isbn/9781399504706</v>
      </c>
      <c r="AI3905" t="s">
        <v>17511</v>
      </c>
      <c r="AL3905" t="s">
        <v>638</v>
      </c>
      <c r="AM3905">
        <v>1</v>
      </c>
      <c r="AN3905" s="2"/>
    </row>
    <row r="3906" spans="1:40" x14ac:dyDescent="0.3">
      <c r="A3906" t="s">
        <v>18405</v>
      </c>
      <c r="B3906" t="s">
        <v>1</v>
      </c>
      <c r="C3906" t="s">
        <v>18406</v>
      </c>
      <c r="D3906" t="s">
        <v>18407</v>
      </c>
      <c r="E3906" t="s">
        <v>18408</v>
      </c>
      <c r="F3906" t="s">
        <v>5</v>
      </c>
      <c r="G3906" t="s">
        <v>6</v>
      </c>
      <c r="L3906" t="s">
        <v>7</v>
      </c>
      <c r="M3906">
        <v>2024</v>
      </c>
      <c r="N3906" s="1">
        <v>45504</v>
      </c>
      <c r="O3906" t="s">
        <v>18409</v>
      </c>
      <c r="P3906">
        <v>1</v>
      </c>
      <c r="Q3906" t="s">
        <v>8607</v>
      </c>
      <c r="S3906">
        <v>191.95</v>
      </c>
      <c r="T3906">
        <v>220</v>
      </c>
      <c r="U3906">
        <v>170</v>
      </c>
      <c r="V3906" t="s">
        <v>20</v>
      </c>
      <c r="W3906" t="s">
        <v>21</v>
      </c>
      <c r="X3906" t="s">
        <v>839</v>
      </c>
      <c r="Y3906" t="s">
        <v>13617</v>
      </c>
      <c r="AF3906" t="s">
        <v>13</v>
      </c>
      <c r="AH3906" t="str">
        <f>HYPERLINK("http://www.degruyter.com/isbn/9781399525923")</f>
        <v>http://www.degruyter.com/isbn/9781399525923</v>
      </c>
      <c r="AI3906" t="s">
        <v>17576</v>
      </c>
      <c r="AL3906" t="s">
        <v>638</v>
      </c>
      <c r="AM3906">
        <v>1</v>
      </c>
      <c r="AN3906" s="2"/>
    </row>
    <row r="3907" spans="1:40" x14ac:dyDescent="0.3">
      <c r="A3907" t="s">
        <v>18410</v>
      </c>
      <c r="B3907" t="s">
        <v>1</v>
      </c>
      <c r="C3907" t="s">
        <v>18411</v>
      </c>
      <c r="D3907" t="s">
        <v>18412</v>
      </c>
      <c r="E3907" t="s">
        <v>18413</v>
      </c>
      <c r="F3907" t="s">
        <v>5</v>
      </c>
      <c r="G3907" t="s">
        <v>6</v>
      </c>
      <c r="L3907" t="s">
        <v>7</v>
      </c>
      <c r="M3907">
        <v>2024</v>
      </c>
      <c r="N3907" s="1">
        <v>45535</v>
      </c>
      <c r="O3907" t="s">
        <v>18414</v>
      </c>
      <c r="P3907">
        <v>1</v>
      </c>
      <c r="S3907">
        <v>173.95</v>
      </c>
      <c r="T3907">
        <v>200</v>
      </c>
      <c r="U3907">
        <v>150</v>
      </c>
      <c r="V3907" t="s">
        <v>9</v>
      </c>
      <c r="W3907" t="s">
        <v>10</v>
      </c>
      <c r="X3907" t="s">
        <v>11</v>
      </c>
      <c r="Y3907" t="s">
        <v>52</v>
      </c>
      <c r="AF3907" t="s">
        <v>13</v>
      </c>
      <c r="AH3907" t="str">
        <f>HYPERLINK("http://www.degruyter.com/isbn/9781474482660")</f>
        <v>http://www.degruyter.com/isbn/9781474482660</v>
      </c>
      <c r="AI3907" t="s">
        <v>17506</v>
      </c>
      <c r="AL3907" t="s">
        <v>638</v>
      </c>
      <c r="AM3907">
        <v>1</v>
      </c>
      <c r="AN3907" s="2"/>
    </row>
    <row r="3908" spans="1:40" x14ac:dyDescent="0.3">
      <c r="A3908" t="s">
        <v>18415</v>
      </c>
      <c r="B3908" t="s">
        <v>1</v>
      </c>
      <c r="C3908" t="s">
        <v>18416</v>
      </c>
      <c r="D3908" t="s">
        <v>18417</v>
      </c>
      <c r="E3908" t="s">
        <v>18418</v>
      </c>
      <c r="F3908" t="s">
        <v>5</v>
      </c>
      <c r="G3908" t="s">
        <v>6</v>
      </c>
      <c r="L3908" t="s">
        <v>7</v>
      </c>
      <c r="M3908">
        <v>2024</v>
      </c>
      <c r="N3908" s="1">
        <v>45535</v>
      </c>
      <c r="O3908" t="s">
        <v>18419</v>
      </c>
      <c r="P3908">
        <v>1</v>
      </c>
      <c r="S3908">
        <v>208.95</v>
      </c>
      <c r="T3908">
        <v>240</v>
      </c>
      <c r="U3908">
        <v>180</v>
      </c>
      <c r="V3908" t="s">
        <v>20</v>
      </c>
      <c r="W3908" t="s">
        <v>556</v>
      </c>
      <c r="X3908" t="s">
        <v>16663</v>
      </c>
      <c r="Y3908" t="s">
        <v>16664</v>
      </c>
      <c r="AF3908" t="s">
        <v>13</v>
      </c>
      <c r="AH3908" t="str">
        <f>HYPERLINK("http://www.degruyter.com/isbn/9781399513005")</f>
        <v>http://www.degruyter.com/isbn/9781399513005</v>
      </c>
      <c r="AI3908" t="s">
        <v>17576</v>
      </c>
      <c r="AL3908" t="s">
        <v>638</v>
      </c>
      <c r="AM3908">
        <v>1</v>
      </c>
      <c r="AN3908" s="2"/>
    </row>
    <row r="3909" spans="1:40" x14ac:dyDescent="0.3">
      <c r="A3909" t="s">
        <v>18420</v>
      </c>
      <c r="B3909" t="s">
        <v>1</v>
      </c>
      <c r="C3909" t="s">
        <v>18421</v>
      </c>
      <c r="E3909" t="s">
        <v>18422</v>
      </c>
      <c r="F3909" t="s">
        <v>5</v>
      </c>
      <c r="G3909" t="s">
        <v>6</v>
      </c>
      <c r="L3909" t="s">
        <v>7</v>
      </c>
      <c r="M3909">
        <v>2024</v>
      </c>
      <c r="N3909" s="1">
        <v>45443</v>
      </c>
      <c r="O3909" t="s">
        <v>18423</v>
      </c>
      <c r="P3909">
        <v>1</v>
      </c>
      <c r="Q3909" t="s">
        <v>6606</v>
      </c>
      <c r="S3909">
        <v>191.95</v>
      </c>
      <c r="T3909">
        <v>220</v>
      </c>
      <c r="U3909">
        <v>170</v>
      </c>
      <c r="V3909" t="s">
        <v>79</v>
      </c>
      <c r="W3909" t="s">
        <v>16641</v>
      </c>
      <c r="X3909" t="s">
        <v>16642</v>
      </c>
      <c r="Y3909" t="s">
        <v>16643</v>
      </c>
      <c r="AF3909" t="s">
        <v>13</v>
      </c>
      <c r="AH3909" t="str">
        <f>HYPERLINK("http://www.degruyter.com/isbn/9781399517270")</f>
        <v>http://www.degruyter.com/isbn/9781399517270</v>
      </c>
      <c r="AI3909" t="s">
        <v>17444</v>
      </c>
      <c r="AL3909" t="s">
        <v>638</v>
      </c>
      <c r="AM3909">
        <v>1</v>
      </c>
      <c r="AN3909" s="2">
        <v>9781399517256</v>
      </c>
    </row>
    <row r="3910" spans="1:40" x14ac:dyDescent="0.3">
      <c r="A3910" t="s">
        <v>18424</v>
      </c>
      <c r="B3910" t="s">
        <v>1</v>
      </c>
      <c r="C3910" t="s">
        <v>18425</v>
      </c>
      <c r="D3910" t="s">
        <v>18426</v>
      </c>
      <c r="E3910" t="s">
        <v>18427</v>
      </c>
      <c r="F3910" t="s">
        <v>5</v>
      </c>
      <c r="G3910" t="s">
        <v>6</v>
      </c>
      <c r="L3910" t="s">
        <v>7</v>
      </c>
      <c r="M3910">
        <v>2024</v>
      </c>
      <c r="N3910" s="1">
        <v>45535</v>
      </c>
      <c r="O3910" t="s">
        <v>767</v>
      </c>
      <c r="P3910">
        <v>1</v>
      </c>
      <c r="S3910">
        <v>191.95</v>
      </c>
      <c r="T3910">
        <v>220</v>
      </c>
      <c r="U3910">
        <v>170</v>
      </c>
      <c r="V3910" t="s">
        <v>20</v>
      </c>
      <c r="W3910" t="s">
        <v>21</v>
      </c>
      <c r="X3910" t="s">
        <v>22</v>
      </c>
      <c r="Y3910" t="s">
        <v>23</v>
      </c>
      <c r="AF3910" t="s">
        <v>13</v>
      </c>
      <c r="AH3910" t="str">
        <f>HYPERLINK("http://www.degruyter.com/isbn/9781399536516")</f>
        <v>http://www.degruyter.com/isbn/9781399536516</v>
      </c>
      <c r="AI3910" t="s">
        <v>17576</v>
      </c>
      <c r="AL3910" t="s">
        <v>638</v>
      </c>
      <c r="AM3910">
        <v>1</v>
      </c>
      <c r="AN3910" s="2"/>
    </row>
    <row r="3911" spans="1:40" x14ac:dyDescent="0.3">
      <c r="A3911" t="s">
        <v>18428</v>
      </c>
      <c r="B3911" t="s">
        <v>1</v>
      </c>
      <c r="C3911" t="s">
        <v>18429</v>
      </c>
      <c r="D3911" t="s">
        <v>18430</v>
      </c>
      <c r="E3911" t="s">
        <v>18431</v>
      </c>
      <c r="F3911" t="s">
        <v>5</v>
      </c>
      <c r="G3911" t="s">
        <v>6</v>
      </c>
      <c r="K3911" t="s">
        <v>17871</v>
      </c>
      <c r="L3911" t="s">
        <v>7</v>
      </c>
      <c r="M3911">
        <v>2024</v>
      </c>
      <c r="N3911" s="1">
        <v>45504</v>
      </c>
      <c r="O3911" t="s">
        <v>18432</v>
      </c>
      <c r="P3911">
        <v>1</v>
      </c>
      <c r="Q3911" t="s">
        <v>13125</v>
      </c>
      <c r="V3911" t="s">
        <v>297</v>
      </c>
      <c r="W3911" t="s">
        <v>1925</v>
      </c>
      <c r="X3911" t="s">
        <v>1925</v>
      </c>
      <c r="Y3911" t="s">
        <v>1926</v>
      </c>
      <c r="AF3911" t="s">
        <v>13</v>
      </c>
      <c r="AH3911" t="str">
        <f>HYPERLINK("http://www.degruyter.com/isbn/9781399520737")</f>
        <v>http://www.degruyter.com/isbn/9781399520737</v>
      </c>
      <c r="AI3911" t="s">
        <v>17511</v>
      </c>
      <c r="AL3911" t="s">
        <v>638</v>
      </c>
      <c r="AM3911">
        <v>1</v>
      </c>
      <c r="AN3911" s="2"/>
    </row>
    <row r="3912" spans="1:40" x14ac:dyDescent="0.3">
      <c r="A3912" t="s">
        <v>18433</v>
      </c>
      <c r="B3912" t="s">
        <v>1</v>
      </c>
      <c r="C3912" t="s">
        <v>18434</v>
      </c>
      <c r="D3912" t="s">
        <v>18435</v>
      </c>
      <c r="E3912" t="s">
        <v>18436</v>
      </c>
      <c r="F3912" t="s">
        <v>5</v>
      </c>
      <c r="G3912" t="s">
        <v>6</v>
      </c>
      <c r="L3912" t="s">
        <v>7</v>
      </c>
      <c r="M3912">
        <v>2024</v>
      </c>
      <c r="N3912" s="1">
        <v>45473</v>
      </c>
      <c r="O3912" t="s">
        <v>18437</v>
      </c>
      <c r="P3912">
        <v>1</v>
      </c>
      <c r="S3912">
        <v>252.95</v>
      </c>
      <c r="T3912">
        <v>290</v>
      </c>
      <c r="U3912">
        <v>220</v>
      </c>
      <c r="V3912" t="s">
        <v>9</v>
      </c>
      <c r="W3912" t="s">
        <v>10</v>
      </c>
      <c r="X3912" t="s">
        <v>11</v>
      </c>
      <c r="Y3912" t="s">
        <v>12</v>
      </c>
      <c r="AF3912" t="s">
        <v>13</v>
      </c>
      <c r="AH3912" t="str">
        <f>HYPERLINK("http://www.degruyter.com/isbn/9781399520157")</f>
        <v>http://www.degruyter.com/isbn/9781399520157</v>
      </c>
      <c r="AI3912" t="s">
        <v>17506</v>
      </c>
      <c r="AL3912" t="s">
        <v>638</v>
      </c>
      <c r="AM3912">
        <v>1</v>
      </c>
      <c r="AN3912" s="2"/>
    </row>
    <row r="3913" spans="1:40" x14ac:dyDescent="0.3">
      <c r="A3913" t="s">
        <v>18438</v>
      </c>
      <c r="B3913" t="s">
        <v>1</v>
      </c>
      <c r="C3913" t="s">
        <v>18439</v>
      </c>
      <c r="D3913" t="s">
        <v>18440</v>
      </c>
      <c r="E3913" t="s">
        <v>18441</v>
      </c>
      <c r="F3913" t="s">
        <v>5</v>
      </c>
      <c r="G3913" t="s">
        <v>6</v>
      </c>
      <c r="L3913" t="s">
        <v>7</v>
      </c>
      <c r="M3913">
        <v>2024</v>
      </c>
      <c r="N3913" s="1">
        <v>45535</v>
      </c>
      <c r="O3913" t="s">
        <v>18442</v>
      </c>
      <c r="P3913">
        <v>1</v>
      </c>
      <c r="Q3913" t="s">
        <v>8607</v>
      </c>
      <c r="S3913">
        <v>191.95</v>
      </c>
      <c r="T3913">
        <v>220</v>
      </c>
      <c r="U3913">
        <v>170</v>
      </c>
      <c r="V3913" t="s">
        <v>58</v>
      </c>
      <c r="W3913" t="s">
        <v>59</v>
      </c>
      <c r="X3913" t="s">
        <v>60</v>
      </c>
      <c r="Y3913" t="s">
        <v>5149</v>
      </c>
      <c r="AF3913" t="s">
        <v>13</v>
      </c>
      <c r="AH3913" t="str">
        <f>HYPERLINK("http://www.degruyter.com/isbn/9781399526685")</f>
        <v>http://www.degruyter.com/isbn/9781399526685</v>
      </c>
      <c r="AI3913" t="s">
        <v>17501</v>
      </c>
      <c r="AL3913" t="s">
        <v>638</v>
      </c>
      <c r="AM3913">
        <v>1</v>
      </c>
      <c r="AN3913" s="2"/>
    </row>
    <row r="3914" spans="1:40" x14ac:dyDescent="0.3">
      <c r="A3914" t="s">
        <v>18443</v>
      </c>
      <c r="B3914" t="s">
        <v>1</v>
      </c>
      <c r="C3914" t="s">
        <v>18444</v>
      </c>
      <c r="D3914" t="s">
        <v>18445</v>
      </c>
      <c r="E3914" t="s">
        <v>18446</v>
      </c>
      <c r="F3914" t="s">
        <v>5</v>
      </c>
      <c r="G3914" t="s">
        <v>6</v>
      </c>
      <c r="K3914" t="s">
        <v>17871</v>
      </c>
      <c r="L3914" t="s">
        <v>7</v>
      </c>
      <c r="M3914">
        <v>2024</v>
      </c>
      <c r="N3914" s="1">
        <v>45504</v>
      </c>
      <c r="O3914" t="s">
        <v>18447</v>
      </c>
      <c r="P3914">
        <v>1</v>
      </c>
      <c r="Q3914" t="s">
        <v>6987</v>
      </c>
      <c r="V3914" t="s">
        <v>9</v>
      </c>
      <c r="W3914" t="s">
        <v>10</v>
      </c>
      <c r="X3914" t="s">
        <v>44</v>
      </c>
      <c r="Y3914" t="s">
        <v>7060</v>
      </c>
      <c r="AF3914" t="s">
        <v>13</v>
      </c>
      <c r="AH3914" t="str">
        <f>HYPERLINK("http://www.degruyter.com/isbn/9781399514699")</f>
        <v>http://www.degruyter.com/isbn/9781399514699</v>
      </c>
      <c r="AI3914" t="s">
        <v>17506</v>
      </c>
      <c r="AL3914" t="s">
        <v>638</v>
      </c>
      <c r="AM3914">
        <v>1</v>
      </c>
      <c r="AN3914" s="2"/>
    </row>
    <row r="3915" spans="1:40" x14ac:dyDescent="0.3">
      <c r="A3915" t="s">
        <v>18448</v>
      </c>
      <c r="B3915" t="s">
        <v>1</v>
      </c>
      <c r="C3915" t="s">
        <v>18449</v>
      </c>
      <c r="E3915" t="s">
        <v>18450</v>
      </c>
      <c r="F3915" t="s">
        <v>5</v>
      </c>
      <c r="G3915" t="s">
        <v>6</v>
      </c>
      <c r="L3915" t="s">
        <v>7</v>
      </c>
      <c r="M3915">
        <v>2024</v>
      </c>
      <c r="N3915" s="1">
        <v>45565</v>
      </c>
      <c r="O3915" t="s">
        <v>18451</v>
      </c>
      <c r="P3915">
        <v>1</v>
      </c>
      <c r="S3915">
        <v>208.95</v>
      </c>
      <c r="T3915">
        <v>240</v>
      </c>
      <c r="U3915">
        <v>180</v>
      </c>
      <c r="V3915" t="s">
        <v>42</v>
      </c>
      <c r="W3915" t="s">
        <v>116</v>
      </c>
      <c r="X3915" t="s">
        <v>116</v>
      </c>
      <c r="Y3915" t="s">
        <v>18452</v>
      </c>
      <c r="AF3915" t="s">
        <v>13</v>
      </c>
      <c r="AH3915" t="str">
        <f>HYPERLINK("http://www.degruyter.com/isbn/9781399524780")</f>
        <v>http://www.degruyter.com/isbn/9781399524780</v>
      </c>
      <c r="AI3915" t="s">
        <v>17450</v>
      </c>
      <c r="AL3915" t="s">
        <v>638</v>
      </c>
      <c r="AM3915">
        <v>1</v>
      </c>
      <c r="AN3915" s="2"/>
    </row>
    <row r="3916" spans="1:40" x14ac:dyDescent="0.3">
      <c r="A3916" t="s">
        <v>18453</v>
      </c>
      <c r="B3916" t="s">
        <v>1</v>
      </c>
      <c r="C3916" t="s">
        <v>18454</v>
      </c>
      <c r="E3916" t="s">
        <v>18455</v>
      </c>
      <c r="F3916" t="s">
        <v>5</v>
      </c>
      <c r="G3916" t="s">
        <v>6</v>
      </c>
      <c r="L3916" t="s">
        <v>7</v>
      </c>
      <c r="M3916">
        <v>2024</v>
      </c>
      <c r="N3916" s="1">
        <v>45504</v>
      </c>
      <c r="O3916" t="s">
        <v>18456</v>
      </c>
      <c r="P3916">
        <v>1</v>
      </c>
      <c r="Q3916" t="s">
        <v>6987</v>
      </c>
      <c r="S3916">
        <v>208.95</v>
      </c>
      <c r="T3916">
        <v>240</v>
      </c>
      <c r="U3916">
        <v>180</v>
      </c>
      <c r="V3916" t="s">
        <v>9</v>
      </c>
      <c r="W3916" t="s">
        <v>10</v>
      </c>
      <c r="X3916" t="s">
        <v>44</v>
      </c>
      <c r="Y3916" t="s">
        <v>7060</v>
      </c>
      <c r="AF3916" t="s">
        <v>13</v>
      </c>
      <c r="AH3916" t="str">
        <f>HYPERLINK("http://www.degruyter.com/isbn/9781399524056")</f>
        <v>http://www.degruyter.com/isbn/9781399524056</v>
      </c>
      <c r="AI3916" t="s">
        <v>17506</v>
      </c>
      <c r="AL3916" t="s">
        <v>638</v>
      </c>
      <c r="AM3916">
        <v>1</v>
      </c>
      <c r="AN3916" s="2"/>
    </row>
    <row r="3917" spans="1:40" x14ac:dyDescent="0.3">
      <c r="A3917" t="s">
        <v>18457</v>
      </c>
      <c r="B3917" t="s">
        <v>1</v>
      </c>
      <c r="C3917" t="s">
        <v>18458</v>
      </c>
      <c r="E3917" t="s">
        <v>18459</v>
      </c>
      <c r="F3917" t="s">
        <v>5</v>
      </c>
      <c r="G3917" t="s">
        <v>6</v>
      </c>
      <c r="L3917" t="s">
        <v>7</v>
      </c>
      <c r="M3917">
        <v>2024</v>
      </c>
      <c r="N3917" s="1">
        <v>45473</v>
      </c>
      <c r="O3917" t="s">
        <v>18460</v>
      </c>
      <c r="P3917">
        <v>1</v>
      </c>
      <c r="S3917">
        <v>191.95</v>
      </c>
      <c r="T3917">
        <v>220</v>
      </c>
      <c r="U3917">
        <v>170</v>
      </c>
      <c r="V3917" t="s">
        <v>42</v>
      </c>
      <c r="W3917" t="s">
        <v>43</v>
      </c>
      <c r="X3917" t="s">
        <v>178</v>
      </c>
      <c r="Y3917" t="s">
        <v>18461</v>
      </c>
      <c r="AF3917" t="s">
        <v>13</v>
      </c>
      <c r="AH3917" t="str">
        <f>HYPERLINK("http://www.degruyter.com/isbn/9781399511995")</f>
        <v>http://www.degruyter.com/isbn/9781399511995</v>
      </c>
      <c r="AI3917" t="s">
        <v>17450</v>
      </c>
      <c r="AL3917" t="s">
        <v>638</v>
      </c>
      <c r="AM3917">
        <v>1</v>
      </c>
      <c r="AN3917" s="2"/>
    </row>
    <row r="3918" spans="1:40" x14ac:dyDescent="0.3">
      <c r="A3918" t="s">
        <v>18462</v>
      </c>
      <c r="B3918" t="s">
        <v>1</v>
      </c>
      <c r="C3918" t="s">
        <v>18463</v>
      </c>
      <c r="D3918" t="s">
        <v>18464</v>
      </c>
      <c r="E3918" t="s">
        <v>18465</v>
      </c>
      <c r="F3918" t="s">
        <v>5</v>
      </c>
      <c r="G3918" t="s">
        <v>6</v>
      </c>
      <c r="L3918" t="s">
        <v>7</v>
      </c>
      <c r="M3918">
        <v>2024</v>
      </c>
      <c r="N3918" s="1">
        <v>45535</v>
      </c>
      <c r="O3918" t="s">
        <v>1725</v>
      </c>
      <c r="P3918">
        <v>1</v>
      </c>
      <c r="S3918">
        <v>217.95</v>
      </c>
      <c r="T3918">
        <v>250</v>
      </c>
      <c r="U3918">
        <v>190</v>
      </c>
      <c r="V3918" t="s">
        <v>79</v>
      </c>
      <c r="W3918" t="s">
        <v>227</v>
      </c>
      <c r="X3918" t="s">
        <v>3926</v>
      </c>
      <c r="Y3918" t="s">
        <v>699</v>
      </c>
      <c r="AF3918" t="s">
        <v>13</v>
      </c>
      <c r="AH3918" t="str">
        <f>HYPERLINK("http://www.degruyter.com/isbn/9781399535113")</f>
        <v>http://www.degruyter.com/isbn/9781399535113</v>
      </c>
      <c r="AI3918" t="s">
        <v>17444</v>
      </c>
      <c r="AL3918" t="s">
        <v>638</v>
      </c>
      <c r="AM3918">
        <v>1</v>
      </c>
      <c r="AN3918" s="2"/>
    </row>
    <row r="3919" spans="1:40" x14ac:dyDescent="0.3">
      <c r="A3919" t="s">
        <v>18466</v>
      </c>
      <c r="B3919" t="s">
        <v>1</v>
      </c>
      <c r="C3919" t="s">
        <v>18467</v>
      </c>
      <c r="D3919" t="s">
        <v>18468</v>
      </c>
      <c r="E3919" t="s">
        <v>18469</v>
      </c>
      <c r="F3919" t="s">
        <v>5</v>
      </c>
      <c r="G3919" t="s">
        <v>6</v>
      </c>
      <c r="L3919" t="s">
        <v>7</v>
      </c>
      <c r="M3919">
        <v>2024</v>
      </c>
      <c r="N3919" s="1">
        <v>45504</v>
      </c>
      <c r="O3919" t="s">
        <v>18470</v>
      </c>
      <c r="P3919">
        <v>1</v>
      </c>
      <c r="S3919">
        <v>191.95</v>
      </c>
      <c r="T3919">
        <v>220</v>
      </c>
      <c r="U3919">
        <v>170</v>
      </c>
      <c r="V3919" t="s">
        <v>42</v>
      </c>
      <c r="W3919" t="s">
        <v>43</v>
      </c>
      <c r="X3919" t="s">
        <v>15623</v>
      </c>
      <c r="Y3919" t="s">
        <v>1515</v>
      </c>
      <c r="AF3919" t="s">
        <v>13</v>
      </c>
      <c r="AH3919" t="str">
        <f>HYPERLINK("http://www.degruyter.com/isbn/9781399524421")</f>
        <v>http://www.degruyter.com/isbn/9781399524421</v>
      </c>
      <c r="AI3919" t="s">
        <v>17556</v>
      </c>
      <c r="AL3919" t="s">
        <v>638</v>
      </c>
      <c r="AM3919">
        <v>1</v>
      </c>
      <c r="AN3919" s="2"/>
    </row>
    <row r="3920" spans="1:40" x14ac:dyDescent="0.3">
      <c r="A3920" t="s">
        <v>18471</v>
      </c>
      <c r="B3920" t="s">
        <v>1</v>
      </c>
      <c r="C3920" t="s">
        <v>18472</v>
      </c>
      <c r="D3920" t="s">
        <v>18473</v>
      </c>
      <c r="E3920" t="s">
        <v>18474</v>
      </c>
      <c r="F3920" t="s">
        <v>5</v>
      </c>
      <c r="G3920" t="s">
        <v>6</v>
      </c>
      <c r="L3920" t="s">
        <v>7</v>
      </c>
      <c r="M3920">
        <v>2024</v>
      </c>
      <c r="N3920" s="1">
        <v>45535</v>
      </c>
      <c r="O3920" t="s">
        <v>18475</v>
      </c>
      <c r="P3920">
        <v>1</v>
      </c>
      <c r="Q3920" t="s">
        <v>6858</v>
      </c>
      <c r="S3920">
        <v>191.95</v>
      </c>
      <c r="T3920">
        <v>220</v>
      </c>
      <c r="U3920">
        <v>170</v>
      </c>
      <c r="V3920" t="s">
        <v>58</v>
      </c>
      <c r="W3920" t="s">
        <v>59</v>
      </c>
      <c r="X3920" t="s">
        <v>60</v>
      </c>
      <c r="Y3920" t="s">
        <v>17500</v>
      </c>
      <c r="AF3920" t="s">
        <v>13</v>
      </c>
      <c r="AH3920" t="str">
        <f>HYPERLINK("http://www.degruyter.com/isbn/9781399519434")</f>
        <v>http://www.degruyter.com/isbn/9781399519434</v>
      </c>
      <c r="AI3920" t="s">
        <v>17501</v>
      </c>
      <c r="AJ3920" t="s">
        <v>35</v>
      </c>
      <c r="AL3920" t="s">
        <v>638</v>
      </c>
      <c r="AM3920">
        <v>1</v>
      </c>
      <c r="AN3920" s="2"/>
    </row>
    <row r="3921" spans="1:40" x14ac:dyDescent="0.3">
      <c r="A3921" t="s">
        <v>18476</v>
      </c>
      <c r="B3921" t="s">
        <v>1</v>
      </c>
      <c r="C3921" t="s">
        <v>18477</v>
      </c>
      <c r="E3921" t="s">
        <v>18478</v>
      </c>
      <c r="F3921" t="s">
        <v>5</v>
      </c>
      <c r="G3921" t="s">
        <v>6</v>
      </c>
      <c r="L3921" t="s">
        <v>7</v>
      </c>
      <c r="M3921">
        <v>2024</v>
      </c>
      <c r="N3921" s="1">
        <v>45535</v>
      </c>
      <c r="O3921" t="s">
        <v>18479</v>
      </c>
      <c r="P3921">
        <v>1</v>
      </c>
      <c r="S3921">
        <v>217.95</v>
      </c>
      <c r="T3921">
        <v>250</v>
      </c>
      <c r="U3921">
        <v>190</v>
      </c>
      <c r="V3921" t="s">
        <v>42</v>
      </c>
      <c r="W3921" t="s">
        <v>107</v>
      </c>
      <c r="X3921" t="s">
        <v>108</v>
      </c>
      <c r="Y3921" t="s">
        <v>2244</v>
      </c>
      <c r="AF3921" t="s">
        <v>13</v>
      </c>
      <c r="AH3921" t="str">
        <f>HYPERLINK("http://www.degruyter.com/isbn/9781399534505")</f>
        <v>http://www.degruyter.com/isbn/9781399534505</v>
      </c>
      <c r="AI3921" t="s">
        <v>17450</v>
      </c>
      <c r="AL3921" t="s">
        <v>638</v>
      </c>
      <c r="AM3921">
        <v>1</v>
      </c>
      <c r="AN3921" s="2"/>
    </row>
    <row r="3922" spans="1:40" x14ac:dyDescent="0.3">
      <c r="A3922" t="s">
        <v>18480</v>
      </c>
      <c r="B3922" t="s">
        <v>1</v>
      </c>
      <c r="C3922" t="s">
        <v>18481</v>
      </c>
      <c r="D3922" t="s">
        <v>18482</v>
      </c>
      <c r="E3922" t="s">
        <v>18483</v>
      </c>
      <c r="F3922" t="s">
        <v>5</v>
      </c>
      <c r="G3922" t="s">
        <v>6</v>
      </c>
      <c r="L3922" t="s">
        <v>7</v>
      </c>
      <c r="M3922">
        <v>2024</v>
      </c>
      <c r="N3922" s="1">
        <v>45535</v>
      </c>
      <c r="O3922" t="s">
        <v>18484</v>
      </c>
      <c r="P3922">
        <v>1</v>
      </c>
      <c r="Q3922" t="s">
        <v>6858</v>
      </c>
      <c r="S3922">
        <v>191.95</v>
      </c>
      <c r="T3922">
        <v>220</v>
      </c>
      <c r="U3922">
        <v>170</v>
      </c>
      <c r="V3922" t="s">
        <v>58</v>
      </c>
      <c r="W3922" t="s">
        <v>59</v>
      </c>
      <c r="X3922" t="s">
        <v>60</v>
      </c>
      <c r="Y3922" t="s">
        <v>13256</v>
      </c>
      <c r="AF3922" t="s">
        <v>13</v>
      </c>
      <c r="AH3922" t="str">
        <f>HYPERLINK("http://www.degruyter.com/isbn/9781474492812")</f>
        <v>http://www.degruyter.com/isbn/9781474492812</v>
      </c>
      <c r="AI3922" t="s">
        <v>17501</v>
      </c>
      <c r="AL3922" t="s">
        <v>638</v>
      </c>
      <c r="AM3922">
        <v>1</v>
      </c>
      <c r="AN3922" s="2"/>
    </row>
    <row r="3923" spans="1:40" x14ac:dyDescent="0.3">
      <c r="A3923" t="s">
        <v>18485</v>
      </c>
      <c r="B3923" t="s">
        <v>1</v>
      </c>
      <c r="C3923" t="s">
        <v>18486</v>
      </c>
      <c r="D3923" t="s">
        <v>18487</v>
      </c>
      <c r="E3923" t="s">
        <v>18488</v>
      </c>
      <c r="F3923" t="s">
        <v>5</v>
      </c>
      <c r="G3923" t="s">
        <v>6</v>
      </c>
      <c r="L3923" t="s">
        <v>7</v>
      </c>
      <c r="M3923">
        <v>2024</v>
      </c>
      <c r="N3923" s="1">
        <v>45443</v>
      </c>
      <c r="O3923" t="s">
        <v>18489</v>
      </c>
      <c r="P3923">
        <v>1</v>
      </c>
      <c r="Q3923" t="s">
        <v>7622</v>
      </c>
      <c r="S3923">
        <v>217.95</v>
      </c>
      <c r="T3923">
        <v>250</v>
      </c>
      <c r="U3923">
        <v>190</v>
      </c>
      <c r="V3923" t="s">
        <v>98</v>
      </c>
      <c r="W3923" t="s">
        <v>6450</v>
      </c>
      <c r="X3923" t="s">
        <v>6451</v>
      </c>
      <c r="Y3923" t="s">
        <v>6452</v>
      </c>
      <c r="AF3923" t="s">
        <v>13</v>
      </c>
      <c r="AH3923" t="str">
        <f>HYPERLINK("http://www.degruyter.com/isbn/9781399522700")</f>
        <v>http://www.degruyter.com/isbn/9781399522700</v>
      </c>
      <c r="AI3923" t="s">
        <v>17570</v>
      </c>
      <c r="AL3923" t="s">
        <v>638</v>
      </c>
      <c r="AM3923">
        <v>1</v>
      </c>
      <c r="AN3923" s="2">
        <v>9781399522687</v>
      </c>
    </row>
    <row r="3924" spans="1:40" x14ac:dyDescent="0.3">
      <c r="A3924" t="s">
        <v>18490</v>
      </c>
      <c r="B3924" t="s">
        <v>1</v>
      </c>
      <c r="C3924" t="s">
        <v>18491</v>
      </c>
      <c r="E3924" t="s">
        <v>18492</v>
      </c>
      <c r="F3924" t="s">
        <v>5</v>
      </c>
      <c r="G3924" t="s">
        <v>6</v>
      </c>
      <c r="L3924" t="s">
        <v>7</v>
      </c>
      <c r="M3924">
        <v>2024</v>
      </c>
      <c r="N3924" s="1">
        <v>45473</v>
      </c>
      <c r="O3924" t="s">
        <v>6669</v>
      </c>
      <c r="P3924">
        <v>1</v>
      </c>
      <c r="Q3924" t="s">
        <v>15661</v>
      </c>
      <c r="S3924">
        <v>217.95</v>
      </c>
      <c r="T3924">
        <v>250</v>
      </c>
      <c r="U3924">
        <v>190</v>
      </c>
      <c r="V3924" t="s">
        <v>42</v>
      </c>
      <c r="W3924" t="s">
        <v>116</v>
      </c>
      <c r="X3924" t="s">
        <v>116</v>
      </c>
      <c r="Y3924" t="s">
        <v>5610</v>
      </c>
      <c r="AF3924" t="s">
        <v>13</v>
      </c>
      <c r="AH3924" t="str">
        <f>HYPERLINK("http://www.degruyter.com/isbn/9781399514026")</f>
        <v>http://www.degruyter.com/isbn/9781399514026</v>
      </c>
      <c r="AI3924" t="s">
        <v>17450</v>
      </c>
      <c r="AL3924" t="s">
        <v>638</v>
      </c>
      <c r="AM3924">
        <v>1</v>
      </c>
      <c r="AN3924" s="2"/>
    </row>
    <row r="3925" spans="1:40" x14ac:dyDescent="0.3">
      <c r="A3925" t="s">
        <v>18493</v>
      </c>
      <c r="B3925" t="s">
        <v>1</v>
      </c>
      <c r="C3925" t="s">
        <v>18494</v>
      </c>
      <c r="E3925" t="s">
        <v>18495</v>
      </c>
      <c r="F3925" t="s">
        <v>5</v>
      </c>
      <c r="G3925" t="s">
        <v>6</v>
      </c>
      <c r="L3925" t="s">
        <v>7</v>
      </c>
      <c r="M3925">
        <v>2025</v>
      </c>
      <c r="N3925" s="1">
        <v>45626</v>
      </c>
      <c r="O3925" t="s">
        <v>18496</v>
      </c>
      <c r="P3925">
        <v>1</v>
      </c>
      <c r="Q3925" t="s">
        <v>15661</v>
      </c>
      <c r="S3925">
        <v>208.95</v>
      </c>
      <c r="T3925">
        <v>240</v>
      </c>
      <c r="U3925">
        <v>180</v>
      </c>
      <c r="V3925" t="s">
        <v>42</v>
      </c>
      <c r="W3925" t="s">
        <v>107</v>
      </c>
      <c r="X3925" t="s">
        <v>108</v>
      </c>
      <c r="Y3925" t="s">
        <v>109</v>
      </c>
      <c r="AF3925" t="s">
        <v>13</v>
      </c>
      <c r="AH3925" t="str">
        <f>HYPERLINK("http://www.degruyter.com/isbn/9781399532860")</f>
        <v>http://www.degruyter.com/isbn/9781399532860</v>
      </c>
      <c r="AI3925" t="s">
        <v>18497</v>
      </c>
      <c r="AL3925" t="s">
        <v>638</v>
      </c>
      <c r="AM3925">
        <v>1</v>
      </c>
      <c r="AN3925" s="2"/>
    </row>
    <row r="3926" spans="1:40" x14ac:dyDescent="0.3">
      <c r="A3926" t="s">
        <v>18498</v>
      </c>
      <c r="B3926" t="s">
        <v>1</v>
      </c>
      <c r="C3926" t="s">
        <v>18499</v>
      </c>
      <c r="D3926" t="s">
        <v>18500</v>
      </c>
      <c r="E3926" t="s">
        <v>18501</v>
      </c>
      <c r="F3926" t="s">
        <v>5</v>
      </c>
      <c r="G3926" t="s">
        <v>6</v>
      </c>
      <c r="L3926" t="s">
        <v>7</v>
      </c>
      <c r="M3926">
        <v>2025</v>
      </c>
      <c r="N3926" s="1">
        <v>45686</v>
      </c>
      <c r="O3926" t="s">
        <v>13051</v>
      </c>
      <c r="P3926">
        <v>1</v>
      </c>
      <c r="Q3926" t="s">
        <v>5754</v>
      </c>
      <c r="S3926">
        <v>217.95</v>
      </c>
      <c r="T3926">
        <v>250</v>
      </c>
      <c r="U3926">
        <v>190</v>
      </c>
      <c r="V3926" t="s">
        <v>305</v>
      </c>
      <c r="W3926" t="s">
        <v>306</v>
      </c>
      <c r="X3926" t="s">
        <v>306</v>
      </c>
      <c r="Y3926" t="s">
        <v>3135</v>
      </c>
      <c r="AF3926" t="s">
        <v>13</v>
      </c>
      <c r="AH3926" t="str">
        <f>HYPERLINK("http://www.degruyter.com/isbn/9781399539715")</f>
        <v>http://www.degruyter.com/isbn/9781399539715</v>
      </c>
      <c r="AI3926" t="s">
        <v>15009</v>
      </c>
      <c r="AL3926" t="s">
        <v>638</v>
      </c>
      <c r="AM3926">
        <v>1</v>
      </c>
      <c r="AN3926" s="2"/>
    </row>
    <row r="3927" spans="1:40" x14ac:dyDescent="0.3">
      <c r="A3927" t="s">
        <v>18502</v>
      </c>
      <c r="B3927" t="s">
        <v>1</v>
      </c>
      <c r="C3927" t="s">
        <v>18503</v>
      </c>
      <c r="D3927" t="s">
        <v>18504</v>
      </c>
      <c r="E3927" t="s">
        <v>18505</v>
      </c>
      <c r="F3927" t="s">
        <v>5</v>
      </c>
      <c r="G3927" t="s">
        <v>6</v>
      </c>
      <c r="L3927" t="s">
        <v>7</v>
      </c>
      <c r="M3927">
        <v>2025</v>
      </c>
      <c r="N3927" s="1">
        <v>45716</v>
      </c>
      <c r="O3927" t="s">
        <v>18506</v>
      </c>
      <c r="P3927">
        <v>1</v>
      </c>
      <c r="S3927">
        <v>217.95</v>
      </c>
      <c r="T3927">
        <v>250</v>
      </c>
      <c r="U3927">
        <v>190</v>
      </c>
      <c r="V3927" t="s">
        <v>9</v>
      </c>
      <c r="W3927" t="s">
        <v>10</v>
      </c>
      <c r="X3927" t="s">
        <v>11</v>
      </c>
      <c r="Y3927" t="s">
        <v>12</v>
      </c>
      <c r="AF3927" t="s">
        <v>189</v>
      </c>
      <c r="AI3927" t="s">
        <v>15009</v>
      </c>
      <c r="AL3927" t="s">
        <v>638</v>
      </c>
      <c r="AM3927">
        <v>1</v>
      </c>
      <c r="AN3927" s="2"/>
    </row>
    <row r="3928" spans="1:40" x14ac:dyDescent="0.3">
      <c r="A3928" t="s">
        <v>18507</v>
      </c>
      <c r="B3928" t="s">
        <v>1</v>
      </c>
      <c r="C3928" t="s">
        <v>18508</v>
      </c>
      <c r="E3928" t="s">
        <v>18509</v>
      </c>
      <c r="F3928" t="s">
        <v>5</v>
      </c>
      <c r="G3928" t="s">
        <v>6</v>
      </c>
      <c r="L3928" t="s">
        <v>7</v>
      </c>
      <c r="M3928">
        <v>2024</v>
      </c>
      <c r="N3928" s="1">
        <v>45626</v>
      </c>
      <c r="O3928" t="s">
        <v>18510</v>
      </c>
      <c r="P3928">
        <v>1</v>
      </c>
      <c r="S3928">
        <v>208.95</v>
      </c>
      <c r="T3928">
        <v>240</v>
      </c>
      <c r="U3928">
        <v>180</v>
      </c>
      <c r="V3928" t="s">
        <v>58</v>
      </c>
      <c r="W3928" t="s">
        <v>59</v>
      </c>
      <c r="X3928" t="s">
        <v>60</v>
      </c>
      <c r="Y3928" t="s">
        <v>169</v>
      </c>
      <c r="AF3928" t="s">
        <v>13</v>
      </c>
      <c r="AH3928" t="str">
        <f>HYPERLINK("http://www.degruyter.com/isbn/9781399535038")</f>
        <v>http://www.degruyter.com/isbn/9781399535038</v>
      </c>
      <c r="AI3928" t="s">
        <v>17556</v>
      </c>
      <c r="AL3928" t="s">
        <v>638</v>
      </c>
      <c r="AM3928">
        <v>1</v>
      </c>
      <c r="AN3928" s="2"/>
    </row>
    <row r="3929" spans="1:40" x14ac:dyDescent="0.3">
      <c r="A3929" t="s">
        <v>18511</v>
      </c>
      <c r="B3929" t="s">
        <v>1</v>
      </c>
      <c r="C3929" t="s">
        <v>18512</v>
      </c>
      <c r="D3929" t="s">
        <v>18513</v>
      </c>
      <c r="E3929" t="s">
        <v>18514</v>
      </c>
      <c r="F3929" t="s">
        <v>5</v>
      </c>
      <c r="G3929" t="s">
        <v>6</v>
      </c>
      <c r="L3929" t="s">
        <v>7</v>
      </c>
      <c r="M3929">
        <v>2025</v>
      </c>
      <c r="N3929" s="1">
        <v>45686</v>
      </c>
      <c r="O3929" t="s">
        <v>14088</v>
      </c>
      <c r="P3929">
        <v>1</v>
      </c>
      <c r="S3929">
        <v>217.95</v>
      </c>
      <c r="T3929">
        <v>250</v>
      </c>
      <c r="U3929">
        <v>190</v>
      </c>
      <c r="V3929" t="s">
        <v>42</v>
      </c>
      <c r="W3929" t="s">
        <v>107</v>
      </c>
      <c r="X3929" t="s">
        <v>108</v>
      </c>
      <c r="Y3929" t="s">
        <v>109</v>
      </c>
      <c r="AF3929" t="s">
        <v>13</v>
      </c>
      <c r="AH3929" t="str">
        <f>HYPERLINK("http://www.degruyter.com/isbn/9781399541152")</f>
        <v>http://www.degruyter.com/isbn/9781399541152</v>
      </c>
      <c r="AI3929" t="s">
        <v>15009</v>
      </c>
      <c r="AL3929" t="s">
        <v>638</v>
      </c>
      <c r="AM3929">
        <v>1</v>
      </c>
      <c r="AN3929" s="2"/>
    </row>
    <row r="3930" spans="1:40" x14ac:dyDescent="0.3">
      <c r="A3930" t="s">
        <v>18515</v>
      </c>
      <c r="B3930" t="s">
        <v>1</v>
      </c>
      <c r="C3930" t="s">
        <v>18516</v>
      </c>
      <c r="D3930" t="s">
        <v>18517</v>
      </c>
      <c r="E3930" t="s">
        <v>18518</v>
      </c>
      <c r="F3930" t="s">
        <v>5</v>
      </c>
      <c r="G3930" t="s">
        <v>6</v>
      </c>
      <c r="L3930" t="s">
        <v>7</v>
      </c>
      <c r="M3930">
        <v>2025</v>
      </c>
      <c r="N3930" s="1">
        <v>45716</v>
      </c>
      <c r="O3930" t="s">
        <v>18519</v>
      </c>
      <c r="P3930">
        <v>1</v>
      </c>
      <c r="Q3930" t="s">
        <v>18520</v>
      </c>
      <c r="S3930">
        <v>286.95</v>
      </c>
      <c r="T3930">
        <v>330</v>
      </c>
      <c r="U3930">
        <v>250</v>
      </c>
      <c r="V3930" t="s">
        <v>98</v>
      </c>
      <c r="W3930" t="s">
        <v>256</v>
      </c>
      <c r="X3930" t="s">
        <v>16478</v>
      </c>
      <c r="Y3930" t="s">
        <v>387</v>
      </c>
      <c r="AF3930" t="s">
        <v>189</v>
      </c>
      <c r="AI3930" t="s">
        <v>15009</v>
      </c>
      <c r="AL3930" t="s">
        <v>638</v>
      </c>
      <c r="AM3930">
        <v>1</v>
      </c>
      <c r="AN3930" s="2"/>
    </row>
    <row r="3931" spans="1:40" x14ac:dyDescent="0.3">
      <c r="A3931" t="s">
        <v>18521</v>
      </c>
      <c r="B3931" t="s">
        <v>1</v>
      </c>
      <c r="C3931" t="s">
        <v>18522</v>
      </c>
      <c r="E3931" t="s">
        <v>18523</v>
      </c>
      <c r="F3931" t="s">
        <v>5</v>
      </c>
      <c r="G3931" t="s">
        <v>6</v>
      </c>
      <c r="K3931" t="s">
        <v>18524</v>
      </c>
      <c r="L3931" t="s">
        <v>7</v>
      </c>
      <c r="M3931">
        <v>2025</v>
      </c>
      <c r="N3931" s="1">
        <v>45659</v>
      </c>
      <c r="O3931" t="s">
        <v>18525</v>
      </c>
      <c r="P3931">
        <v>1</v>
      </c>
      <c r="V3931" t="s">
        <v>79</v>
      </c>
      <c r="W3931" t="s">
        <v>227</v>
      </c>
      <c r="X3931" t="s">
        <v>228</v>
      </c>
      <c r="Y3931" t="s">
        <v>229</v>
      </c>
      <c r="AF3931" t="s">
        <v>13</v>
      </c>
      <c r="AH3931" t="str">
        <f>HYPERLINK("http://www.degruyter.com/isbn/9781399505338")</f>
        <v>http://www.degruyter.com/isbn/9781399505338</v>
      </c>
      <c r="AI3931" t="s">
        <v>18526</v>
      </c>
      <c r="AL3931" t="s">
        <v>638</v>
      </c>
      <c r="AM3931">
        <v>1</v>
      </c>
      <c r="AN3931" s="2"/>
    </row>
    <row r="3932" spans="1:40" x14ac:dyDescent="0.3">
      <c r="A3932" t="s">
        <v>18527</v>
      </c>
      <c r="B3932" t="s">
        <v>1</v>
      </c>
      <c r="C3932" t="s">
        <v>18528</v>
      </c>
      <c r="D3932" t="s">
        <v>18529</v>
      </c>
      <c r="E3932" t="s">
        <v>18530</v>
      </c>
      <c r="F3932" t="s">
        <v>5</v>
      </c>
      <c r="G3932" t="s">
        <v>6</v>
      </c>
      <c r="L3932" t="s">
        <v>7</v>
      </c>
      <c r="M3932">
        <v>2025</v>
      </c>
      <c r="N3932" s="1">
        <v>45657</v>
      </c>
      <c r="O3932" t="s">
        <v>18531</v>
      </c>
      <c r="P3932">
        <v>1</v>
      </c>
      <c r="S3932">
        <v>243.95</v>
      </c>
      <c r="T3932">
        <v>280</v>
      </c>
      <c r="U3932">
        <v>210</v>
      </c>
      <c r="V3932" t="s">
        <v>268</v>
      </c>
      <c r="W3932" t="s">
        <v>269</v>
      </c>
      <c r="X3932" t="s">
        <v>269</v>
      </c>
      <c r="Y3932" t="s">
        <v>1095</v>
      </c>
      <c r="AF3932" t="s">
        <v>13</v>
      </c>
      <c r="AH3932" t="str">
        <f>HYPERLINK("http://www.degruyter.com/isbn/9781399535274")</f>
        <v>http://www.degruyter.com/isbn/9781399535274</v>
      </c>
      <c r="AI3932" t="s">
        <v>18532</v>
      </c>
      <c r="AL3932" t="s">
        <v>638</v>
      </c>
      <c r="AM3932">
        <v>1</v>
      </c>
      <c r="AN3932" s="2"/>
    </row>
    <row r="3933" spans="1:40" x14ac:dyDescent="0.3">
      <c r="A3933" t="s">
        <v>18533</v>
      </c>
      <c r="B3933" t="s">
        <v>1</v>
      </c>
      <c r="C3933" t="s">
        <v>18534</v>
      </c>
      <c r="D3933" t="s">
        <v>18535</v>
      </c>
      <c r="E3933" t="s">
        <v>18536</v>
      </c>
      <c r="F3933" t="s">
        <v>5</v>
      </c>
      <c r="G3933" t="s">
        <v>6</v>
      </c>
      <c r="K3933" t="s">
        <v>18537</v>
      </c>
      <c r="L3933" t="s">
        <v>7</v>
      </c>
      <c r="M3933">
        <v>2025</v>
      </c>
      <c r="N3933" s="1">
        <v>45686</v>
      </c>
      <c r="O3933" t="s">
        <v>18538</v>
      </c>
      <c r="P3933">
        <v>1</v>
      </c>
      <c r="Q3933" t="s">
        <v>18539</v>
      </c>
      <c r="V3933" t="s">
        <v>9</v>
      </c>
      <c r="W3933" t="s">
        <v>10</v>
      </c>
      <c r="X3933" t="s">
        <v>44</v>
      </c>
      <c r="Y3933" t="s">
        <v>7060</v>
      </c>
      <c r="AF3933" t="s">
        <v>13</v>
      </c>
      <c r="AH3933" t="str">
        <f>HYPERLINK("http://www.degruyter.com/isbn/9781399501453")</f>
        <v>http://www.degruyter.com/isbn/9781399501453</v>
      </c>
      <c r="AI3933" t="s">
        <v>15009</v>
      </c>
      <c r="AL3933" t="s">
        <v>638</v>
      </c>
      <c r="AM3933">
        <v>1</v>
      </c>
      <c r="AN3933" s="2"/>
    </row>
    <row r="3934" spans="1:40" x14ac:dyDescent="0.3">
      <c r="A3934" t="s">
        <v>18540</v>
      </c>
      <c r="B3934" t="s">
        <v>1</v>
      </c>
      <c r="C3934" t="s">
        <v>18541</v>
      </c>
      <c r="E3934" t="s">
        <v>18542</v>
      </c>
      <c r="F3934" t="s">
        <v>5</v>
      </c>
      <c r="G3934" t="s">
        <v>6</v>
      </c>
      <c r="L3934" t="s">
        <v>7</v>
      </c>
      <c r="M3934">
        <v>2024</v>
      </c>
      <c r="N3934" s="1">
        <v>45473</v>
      </c>
      <c r="O3934" t="s">
        <v>14986</v>
      </c>
      <c r="P3934">
        <v>1</v>
      </c>
      <c r="Q3934" t="s">
        <v>18543</v>
      </c>
      <c r="S3934">
        <v>208.95</v>
      </c>
      <c r="T3934">
        <v>240</v>
      </c>
      <c r="U3934">
        <v>180</v>
      </c>
      <c r="V3934" t="s">
        <v>42</v>
      </c>
      <c r="W3934" t="s">
        <v>116</v>
      </c>
      <c r="X3934" t="s">
        <v>116</v>
      </c>
      <c r="Y3934" t="s">
        <v>11160</v>
      </c>
      <c r="AF3934" t="s">
        <v>13</v>
      </c>
      <c r="AH3934" t="str">
        <f>HYPERLINK("http://www.degruyter.com/isbn/9781399516709")</f>
        <v>http://www.degruyter.com/isbn/9781399516709</v>
      </c>
      <c r="AI3934" t="s">
        <v>17450</v>
      </c>
      <c r="AL3934" t="s">
        <v>638</v>
      </c>
      <c r="AM3934">
        <v>1</v>
      </c>
      <c r="AN3934" s="2"/>
    </row>
    <row r="3935" spans="1:40" x14ac:dyDescent="0.3">
      <c r="A3935" t="s">
        <v>18544</v>
      </c>
      <c r="B3935" t="s">
        <v>1</v>
      </c>
      <c r="C3935" t="s">
        <v>18545</v>
      </c>
      <c r="E3935" t="s">
        <v>18546</v>
      </c>
      <c r="F3935" t="s">
        <v>5</v>
      </c>
      <c r="G3935" t="s">
        <v>6</v>
      </c>
      <c r="L3935" t="s">
        <v>7</v>
      </c>
      <c r="M3935">
        <v>2024</v>
      </c>
      <c r="N3935" s="1">
        <v>45473</v>
      </c>
      <c r="O3935" t="s">
        <v>4557</v>
      </c>
      <c r="P3935">
        <v>1</v>
      </c>
      <c r="Q3935" t="s">
        <v>18543</v>
      </c>
      <c r="S3935">
        <v>208.95</v>
      </c>
      <c r="T3935">
        <v>240</v>
      </c>
      <c r="U3935">
        <v>180</v>
      </c>
      <c r="V3935" t="s">
        <v>42</v>
      </c>
      <c r="W3935" t="s">
        <v>290</v>
      </c>
      <c r="X3935" t="s">
        <v>290</v>
      </c>
      <c r="Y3935" t="s">
        <v>291</v>
      </c>
      <c r="AF3935" t="s">
        <v>13</v>
      </c>
      <c r="AH3935" t="str">
        <f>HYPERLINK("http://www.degruyter.com/isbn/9781399514101")</f>
        <v>http://www.degruyter.com/isbn/9781399514101</v>
      </c>
      <c r="AI3935" t="s">
        <v>17450</v>
      </c>
      <c r="AL3935" t="s">
        <v>638</v>
      </c>
      <c r="AM3935">
        <v>1</v>
      </c>
      <c r="AN3935" s="2"/>
    </row>
    <row r="3936" spans="1:40" x14ac:dyDescent="0.3">
      <c r="A3936" t="s">
        <v>18547</v>
      </c>
      <c r="B3936" t="s">
        <v>1</v>
      </c>
      <c r="C3936" t="s">
        <v>18548</v>
      </c>
      <c r="D3936" t="s">
        <v>18549</v>
      </c>
      <c r="E3936" t="s">
        <v>18550</v>
      </c>
      <c r="F3936" t="s">
        <v>5</v>
      </c>
      <c r="G3936" t="s">
        <v>6</v>
      </c>
      <c r="L3936" t="s">
        <v>7</v>
      </c>
      <c r="M3936">
        <v>2024</v>
      </c>
      <c r="N3936" s="1">
        <v>45473</v>
      </c>
      <c r="O3936" t="s">
        <v>18551</v>
      </c>
      <c r="P3936">
        <v>1</v>
      </c>
      <c r="Q3936" t="s">
        <v>7289</v>
      </c>
      <c r="S3936">
        <v>208.95</v>
      </c>
      <c r="T3936">
        <v>240</v>
      </c>
      <c r="U3936">
        <v>180</v>
      </c>
      <c r="V3936" t="s">
        <v>42</v>
      </c>
      <c r="W3936" t="s">
        <v>161</v>
      </c>
      <c r="X3936" t="s">
        <v>162</v>
      </c>
      <c r="Y3936" t="s">
        <v>11937</v>
      </c>
      <c r="AF3936" t="s">
        <v>13</v>
      </c>
      <c r="AH3936" t="str">
        <f>HYPERLINK("http://www.degruyter.com/isbn/9781399524544")</f>
        <v>http://www.degruyter.com/isbn/9781399524544</v>
      </c>
      <c r="AI3936" t="s">
        <v>17450</v>
      </c>
      <c r="AL3936" t="s">
        <v>638</v>
      </c>
      <c r="AM3936">
        <v>1</v>
      </c>
      <c r="AN3936" s="2"/>
    </row>
    <row r="3937" spans="1:40" x14ac:dyDescent="0.3">
      <c r="A3937" t="s">
        <v>18552</v>
      </c>
      <c r="B3937" t="s">
        <v>1</v>
      </c>
      <c r="C3937" t="s">
        <v>18553</v>
      </c>
      <c r="D3937" t="s">
        <v>18554</v>
      </c>
      <c r="E3937" t="s">
        <v>18555</v>
      </c>
      <c r="F3937" t="s">
        <v>5</v>
      </c>
      <c r="G3937" t="s">
        <v>6</v>
      </c>
      <c r="L3937" t="s">
        <v>7</v>
      </c>
      <c r="M3937">
        <v>2024</v>
      </c>
      <c r="N3937" s="1">
        <v>45535</v>
      </c>
      <c r="O3937" t="s">
        <v>18556</v>
      </c>
      <c r="P3937">
        <v>1</v>
      </c>
      <c r="Q3937" t="s">
        <v>17292</v>
      </c>
      <c r="S3937">
        <v>52.95</v>
      </c>
      <c r="T3937">
        <v>60</v>
      </c>
      <c r="U3937">
        <v>50</v>
      </c>
      <c r="V3937" t="s">
        <v>268</v>
      </c>
      <c r="W3937" t="s">
        <v>705</v>
      </c>
      <c r="X3937" t="s">
        <v>8754</v>
      </c>
      <c r="Y3937" t="s">
        <v>17315</v>
      </c>
      <c r="AF3937" t="s">
        <v>13</v>
      </c>
      <c r="AH3937" t="str">
        <f>HYPERLINK("http://www.degruyter.com/isbn/9781399544474")</f>
        <v>http://www.degruyter.com/isbn/9781399544474</v>
      </c>
      <c r="AI3937" t="s">
        <v>17703</v>
      </c>
      <c r="AL3937" t="s">
        <v>638</v>
      </c>
      <c r="AM3937">
        <v>1</v>
      </c>
      <c r="AN3937" s="2"/>
    </row>
    <row r="3938" spans="1:40" x14ac:dyDescent="0.3">
      <c r="A3938" t="s">
        <v>18557</v>
      </c>
      <c r="B3938" t="s">
        <v>1</v>
      </c>
      <c r="C3938" t="s">
        <v>18558</v>
      </c>
      <c r="D3938" t="s">
        <v>18559</v>
      </c>
      <c r="E3938" t="s">
        <v>18560</v>
      </c>
      <c r="F3938" t="s">
        <v>5</v>
      </c>
      <c r="G3938" t="s">
        <v>6</v>
      </c>
      <c r="L3938" t="s">
        <v>7</v>
      </c>
      <c r="M3938">
        <v>2024</v>
      </c>
      <c r="N3938" s="1">
        <v>45596</v>
      </c>
      <c r="O3938" t="s">
        <v>18561</v>
      </c>
      <c r="P3938">
        <v>1</v>
      </c>
      <c r="Q3938" t="s">
        <v>9604</v>
      </c>
      <c r="S3938">
        <v>217.95</v>
      </c>
      <c r="T3938">
        <v>250</v>
      </c>
      <c r="U3938">
        <v>190</v>
      </c>
      <c r="V3938" t="s">
        <v>58</v>
      </c>
      <c r="W3938" t="s">
        <v>59</v>
      </c>
      <c r="X3938" t="s">
        <v>15839</v>
      </c>
      <c r="Y3938" t="s">
        <v>1171</v>
      </c>
      <c r="AF3938" t="s">
        <v>13</v>
      </c>
      <c r="AH3938" t="str">
        <f>HYPERLINK("http://www.degruyter.com/isbn/9781399543675")</f>
        <v>http://www.degruyter.com/isbn/9781399543675</v>
      </c>
      <c r="AI3938" t="s">
        <v>17501</v>
      </c>
      <c r="AL3938" t="s">
        <v>638</v>
      </c>
      <c r="AM3938">
        <v>1</v>
      </c>
      <c r="AN3938" s="2"/>
    </row>
    <row r="3939" spans="1:40" x14ac:dyDescent="0.3">
      <c r="A3939" t="s">
        <v>18562</v>
      </c>
      <c r="B3939" t="s">
        <v>1</v>
      </c>
      <c r="C3939" t="s">
        <v>18563</v>
      </c>
      <c r="D3939" t="s">
        <v>18564</v>
      </c>
      <c r="E3939" t="s">
        <v>18565</v>
      </c>
      <c r="F3939" t="s">
        <v>5</v>
      </c>
      <c r="G3939" t="s">
        <v>6</v>
      </c>
      <c r="L3939" t="s">
        <v>7</v>
      </c>
      <c r="M3939">
        <v>2025</v>
      </c>
      <c r="N3939" s="1">
        <v>45686</v>
      </c>
      <c r="O3939" t="s">
        <v>18566</v>
      </c>
      <c r="P3939">
        <v>1</v>
      </c>
      <c r="S3939">
        <v>208.95</v>
      </c>
      <c r="T3939">
        <v>240</v>
      </c>
      <c r="U3939">
        <v>180</v>
      </c>
      <c r="V3939" t="s">
        <v>58</v>
      </c>
      <c r="W3939" t="s">
        <v>59</v>
      </c>
      <c r="X3939" t="s">
        <v>60</v>
      </c>
      <c r="Y3939" t="s">
        <v>5536</v>
      </c>
      <c r="AF3939" t="s">
        <v>13</v>
      </c>
      <c r="AH3939" t="str">
        <f>HYPERLINK("http://www.degruyter.com/isbn/9781399537438")</f>
        <v>http://www.degruyter.com/isbn/9781399537438</v>
      </c>
      <c r="AI3939" t="s">
        <v>15009</v>
      </c>
      <c r="AL3939" t="s">
        <v>638</v>
      </c>
      <c r="AM3939">
        <v>1</v>
      </c>
      <c r="AN3939" s="2"/>
    </row>
    <row r="3940" spans="1:40" x14ac:dyDescent="0.3">
      <c r="A3940" t="s">
        <v>18567</v>
      </c>
      <c r="B3940" t="s">
        <v>1</v>
      </c>
      <c r="C3940" t="s">
        <v>18568</v>
      </c>
      <c r="E3940" t="s">
        <v>18569</v>
      </c>
      <c r="F3940" t="s">
        <v>5</v>
      </c>
      <c r="G3940" t="s">
        <v>6</v>
      </c>
      <c r="L3940" t="s">
        <v>7</v>
      </c>
      <c r="M3940">
        <v>2025</v>
      </c>
      <c r="N3940" s="1">
        <v>45626</v>
      </c>
      <c r="O3940" t="s">
        <v>18570</v>
      </c>
      <c r="P3940">
        <v>1</v>
      </c>
      <c r="Q3940" t="s">
        <v>15661</v>
      </c>
      <c r="S3940">
        <v>217.95</v>
      </c>
      <c r="T3940">
        <v>250</v>
      </c>
      <c r="U3940">
        <v>190</v>
      </c>
      <c r="V3940" t="s">
        <v>42</v>
      </c>
      <c r="W3940" t="s">
        <v>107</v>
      </c>
      <c r="X3940" t="s">
        <v>108</v>
      </c>
      <c r="Y3940" t="s">
        <v>109</v>
      </c>
      <c r="AF3940" t="s">
        <v>13</v>
      </c>
      <c r="AH3940" t="str">
        <f>HYPERLINK("http://www.degruyter.com/isbn/9781399506830")</f>
        <v>http://www.degruyter.com/isbn/9781399506830</v>
      </c>
      <c r="AI3940" t="s">
        <v>18497</v>
      </c>
      <c r="AL3940" t="s">
        <v>638</v>
      </c>
      <c r="AM3940">
        <v>1</v>
      </c>
      <c r="AN3940" s="2"/>
    </row>
    <row r="3941" spans="1:40" x14ac:dyDescent="0.3">
      <c r="A3941" t="s">
        <v>18571</v>
      </c>
      <c r="B3941" t="s">
        <v>1</v>
      </c>
      <c r="C3941" t="s">
        <v>18572</v>
      </c>
      <c r="D3941" t="s">
        <v>18573</v>
      </c>
      <c r="E3941" t="s">
        <v>18574</v>
      </c>
      <c r="F3941" t="s">
        <v>5</v>
      </c>
      <c r="G3941" t="s">
        <v>6</v>
      </c>
      <c r="K3941" t="s">
        <v>18537</v>
      </c>
      <c r="L3941" t="s">
        <v>7</v>
      </c>
      <c r="M3941">
        <v>2024</v>
      </c>
      <c r="N3941" s="1">
        <v>45626</v>
      </c>
      <c r="O3941" t="s">
        <v>18575</v>
      </c>
      <c r="P3941">
        <v>1</v>
      </c>
      <c r="V3941" t="s">
        <v>58</v>
      </c>
      <c r="W3941" t="s">
        <v>59</v>
      </c>
      <c r="X3941" t="s">
        <v>60</v>
      </c>
      <c r="Y3941" t="s">
        <v>169</v>
      </c>
      <c r="AF3941" t="s">
        <v>13</v>
      </c>
      <c r="AH3941" t="str">
        <f>HYPERLINK("http://www.degruyter.com/isbn/9781399534307")</f>
        <v>http://www.degruyter.com/isbn/9781399534307</v>
      </c>
      <c r="AI3941" t="s">
        <v>17556</v>
      </c>
      <c r="AL3941" t="s">
        <v>638</v>
      </c>
      <c r="AM3941">
        <v>1</v>
      </c>
      <c r="AN3941" s="2"/>
    </row>
    <row r="3942" spans="1:40" x14ac:dyDescent="0.3">
      <c r="A3942" t="s">
        <v>18576</v>
      </c>
      <c r="B3942" t="s">
        <v>1</v>
      </c>
      <c r="C3942" t="s">
        <v>18577</v>
      </c>
      <c r="E3942" t="s">
        <v>18578</v>
      </c>
      <c r="F3942" t="s">
        <v>5</v>
      </c>
      <c r="G3942" t="s">
        <v>6</v>
      </c>
      <c r="L3942" t="s">
        <v>7</v>
      </c>
      <c r="M3942">
        <v>2025</v>
      </c>
      <c r="N3942" s="1">
        <v>45686</v>
      </c>
      <c r="O3942" t="s">
        <v>18579</v>
      </c>
      <c r="P3942">
        <v>1</v>
      </c>
      <c r="S3942">
        <v>208.95</v>
      </c>
      <c r="T3942">
        <v>240</v>
      </c>
      <c r="U3942">
        <v>180</v>
      </c>
      <c r="V3942" t="s">
        <v>58</v>
      </c>
      <c r="W3942" t="s">
        <v>59</v>
      </c>
      <c r="X3942" t="s">
        <v>60</v>
      </c>
      <c r="Y3942" t="s">
        <v>3765</v>
      </c>
      <c r="AF3942" t="s">
        <v>13</v>
      </c>
      <c r="AH3942" t="str">
        <f>HYPERLINK("http://www.degruyter.com/isbn/9781399539029")</f>
        <v>http://www.degruyter.com/isbn/9781399539029</v>
      </c>
      <c r="AI3942" t="s">
        <v>15009</v>
      </c>
      <c r="AL3942" t="s">
        <v>638</v>
      </c>
      <c r="AM3942">
        <v>1</v>
      </c>
      <c r="AN3942" s="2"/>
    </row>
    <row r="3943" spans="1:40" x14ac:dyDescent="0.3">
      <c r="A3943" t="s">
        <v>18580</v>
      </c>
      <c r="B3943" t="s">
        <v>1</v>
      </c>
      <c r="C3943" t="s">
        <v>18581</v>
      </c>
      <c r="D3943" t="s">
        <v>18582</v>
      </c>
      <c r="E3943" t="s">
        <v>18583</v>
      </c>
      <c r="F3943" t="s">
        <v>5</v>
      </c>
      <c r="G3943" t="s">
        <v>6</v>
      </c>
      <c r="L3943" t="s">
        <v>7</v>
      </c>
      <c r="M3943">
        <v>2025</v>
      </c>
      <c r="N3943" s="1">
        <v>45686</v>
      </c>
      <c r="O3943" t="s">
        <v>18584</v>
      </c>
      <c r="P3943">
        <v>1</v>
      </c>
      <c r="Q3943" t="s">
        <v>7728</v>
      </c>
      <c r="S3943">
        <v>208.95</v>
      </c>
      <c r="T3943">
        <v>240</v>
      </c>
      <c r="U3943">
        <v>180</v>
      </c>
      <c r="V3943" t="s">
        <v>42</v>
      </c>
      <c r="W3943" t="s">
        <v>107</v>
      </c>
      <c r="X3943" t="s">
        <v>108</v>
      </c>
      <c r="Y3943" t="s">
        <v>2244</v>
      </c>
      <c r="AF3943" t="s">
        <v>13</v>
      </c>
      <c r="AH3943" t="str">
        <f>HYPERLINK("http://www.degruyter.com/isbn/9781399543712")</f>
        <v>http://www.degruyter.com/isbn/9781399543712</v>
      </c>
      <c r="AI3943" t="s">
        <v>15009</v>
      </c>
      <c r="AL3943" t="s">
        <v>638</v>
      </c>
      <c r="AM3943">
        <v>1</v>
      </c>
      <c r="AN3943" s="2"/>
    </row>
    <row r="3944" spans="1:40" x14ac:dyDescent="0.3">
      <c r="A3944" t="s">
        <v>18585</v>
      </c>
      <c r="B3944" t="s">
        <v>1</v>
      </c>
      <c r="C3944" t="s">
        <v>18586</v>
      </c>
      <c r="D3944" t="s">
        <v>18587</v>
      </c>
      <c r="E3944" t="s">
        <v>18588</v>
      </c>
      <c r="F3944" t="s">
        <v>5</v>
      </c>
      <c r="G3944" t="s">
        <v>6</v>
      </c>
      <c r="L3944" t="s">
        <v>7</v>
      </c>
      <c r="M3944">
        <v>2025</v>
      </c>
      <c r="N3944" s="1">
        <v>45686</v>
      </c>
      <c r="O3944" t="s">
        <v>18589</v>
      </c>
      <c r="P3944">
        <v>1</v>
      </c>
      <c r="Q3944" t="s">
        <v>11881</v>
      </c>
      <c r="S3944">
        <v>208.95</v>
      </c>
      <c r="T3944">
        <v>240</v>
      </c>
      <c r="U3944">
        <v>180</v>
      </c>
      <c r="V3944" t="s">
        <v>42</v>
      </c>
      <c r="W3944" t="s">
        <v>161</v>
      </c>
      <c r="X3944" t="s">
        <v>162</v>
      </c>
      <c r="Y3944" t="s">
        <v>18590</v>
      </c>
      <c r="AF3944" t="s">
        <v>13</v>
      </c>
      <c r="AH3944" t="str">
        <f>HYPERLINK("http://www.degruyter.com/isbn/9781399538893")</f>
        <v>http://www.degruyter.com/isbn/9781399538893</v>
      </c>
      <c r="AI3944" t="s">
        <v>15009</v>
      </c>
      <c r="AL3944" t="s">
        <v>638</v>
      </c>
      <c r="AM3944">
        <v>1</v>
      </c>
      <c r="AN3944" s="2"/>
    </row>
    <row r="3945" spans="1:40" x14ac:dyDescent="0.3">
      <c r="A3945" t="s">
        <v>18591</v>
      </c>
      <c r="B3945" t="s">
        <v>1</v>
      </c>
      <c r="C3945" t="s">
        <v>18592</v>
      </c>
      <c r="D3945" t="s">
        <v>18593</v>
      </c>
      <c r="E3945" t="s">
        <v>18594</v>
      </c>
      <c r="F3945" t="s">
        <v>5</v>
      </c>
      <c r="G3945" t="s">
        <v>6</v>
      </c>
      <c r="L3945" t="s">
        <v>7</v>
      </c>
      <c r="M3945">
        <v>2025</v>
      </c>
      <c r="N3945" s="1">
        <v>45716</v>
      </c>
      <c r="O3945" t="s">
        <v>18595</v>
      </c>
      <c r="P3945">
        <v>1</v>
      </c>
      <c r="S3945">
        <v>208.95</v>
      </c>
      <c r="T3945">
        <v>240</v>
      </c>
      <c r="U3945">
        <v>180</v>
      </c>
      <c r="V3945" t="s">
        <v>58</v>
      </c>
      <c r="W3945" t="s">
        <v>59</v>
      </c>
      <c r="X3945" t="s">
        <v>60</v>
      </c>
      <c r="Y3945" t="s">
        <v>73</v>
      </c>
      <c r="AF3945" t="s">
        <v>189</v>
      </c>
      <c r="AI3945" t="s">
        <v>15009</v>
      </c>
      <c r="AL3945" t="s">
        <v>638</v>
      </c>
      <c r="AM3945">
        <v>1</v>
      </c>
      <c r="AN3945" s="2"/>
    </row>
    <row r="3946" spans="1:40" x14ac:dyDescent="0.3">
      <c r="A3946" t="s">
        <v>18596</v>
      </c>
      <c r="B3946" t="s">
        <v>1</v>
      </c>
      <c r="C3946" t="s">
        <v>17072</v>
      </c>
      <c r="E3946" t="s">
        <v>17073</v>
      </c>
      <c r="F3946" t="s">
        <v>5</v>
      </c>
      <c r="G3946" t="s">
        <v>6</v>
      </c>
      <c r="L3946" t="s">
        <v>7</v>
      </c>
      <c r="M3946">
        <v>2024</v>
      </c>
      <c r="N3946" s="1">
        <v>45657</v>
      </c>
      <c r="O3946" t="s">
        <v>18597</v>
      </c>
      <c r="P3946">
        <v>3</v>
      </c>
      <c r="Q3946" t="s">
        <v>7481</v>
      </c>
      <c r="S3946">
        <v>278.95</v>
      </c>
      <c r="T3946">
        <v>320</v>
      </c>
      <c r="U3946">
        <v>240</v>
      </c>
      <c r="V3946" t="s">
        <v>268</v>
      </c>
      <c r="W3946" t="s">
        <v>269</v>
      </c>
      <c r="X3946" t="s">
        <v>269</v>
      </c>
      <c r="Y3946" t="s">
        <v>819</v>
      </c>
      <c r="AF3946" t="s">
        <v>13</v>
      </c>
      <c r="AH3946" t="str">
        <f>HYPERLINK("http://www.degruyter.com/isbn/9781399515092")</f>
        <v>http://www.degruyter.com/isbn/9781399515092</v>
      </c>
      <c r="AI3946" t="s">
        <v>17703</v>
      </c>
      <c r="AL3946" t="s">
        <v>638</v>
      </c>
      <c r="AM3946">
        <v>1</v>
      </c>
      <c r="AN3946" s="2"/>
    </row>
    <row r="3947" spans="1:40" x14ac:dyDescent="0.3">
      <c r="A3947" t="s">
        <v>18598</v>
      </c>
      <c r="B3947" t="s">
        <v>1</v>
      </c>
      <c r="C3947" t="s">
        <v>18599</v>
      </c>
      <c r="E3947" t="s">
        <v>18600</v>
      </c>
      <c r="F3947" t="s">
        <v>5</v>
      </c>
      <c r="G3947" t="s">
        <v>6</v>
      </c>
      <c r="L3947" t="s">
        <v>7</v>
      </c>
      <c r="M3947">
        <v>2025</v>
      </c>
      <c r="N3947" s="1">
        <v>45716</v>
      </c>
      <c r="O3947" t="s">
        <v>18601</v>
      </c>
      <c r="P3947">
        <v>1</v>
      </c>
      <c r="Q3947" t="s">
        <v>7086</v>
      </c>
      <c r="S3947">
        <v>217.95</v>
      </c>
      <c r="T3947">
        <v>250</v>
      </c>
      <c r="U3947">
        <v>190</v>
      </c>
      <c r="V3947" t="s">
        <v>20</v>
      </c>
      <c r="W3947" t="s">
        <v>21</v>
      </c>
      <c r="X3947" t="s">
        <v>839</v>
      </c>
      <c r="Y3947" t="s">
        <v>13617</v>
      </c>
      <c r="AF3947" t="s">
        <v>189</v>
      </c>
      <c r="AI3947" t="s">
        <v>15009</v>
      </c>
      <c r="AL3947" t="s">
        <v>638</v>
      </c>
      <c r="AM3947">
        <v>1</v>
      </c>
      <c r="AN3947" s="2"/>
    </row>
    <row r="3948" spans="1:40" x14ac:dyDescent="0.3">
      <c r="A3948" t="s">
        <v>18602</v>
      </c>
      <c r="B3948" t="s">
        <v>1</v>
      </c>
      <c r="C3948" t="s">
        <v>18603</v>
      </c>
      <c r="E3948" t="s">
        <v>18604</v>
      </c>
      <c r="F3948" t="s">
        <v>5</v>
      </c>
      <c r="G3948" t="s">
        <v>6</v>
      </c>
      <c r="L3948" t="s">
        <v>7</v>
      </c>
      <c r="M3948">
        <v>2025</v>
      </c>
      <c r="N3948" s="1">
        <v>45686</v>
      </c>
      <c r="O3948" t="s">
        <v>18605</v>
      </c>
      <c r="P3948">
        <v>1</v>
      </c>
      <c r="S3948">
        <v>208.95</v>
      </c>
      <c r="T3948">
        <v>240</v>
      </c>
      <c r="U3948">
        <v>180</v>
      </c>
      <c r="V3948" t="s">
        <v>268</v>
      </c>
      <c r="W3948" t="s">
        <v>963</v>
      </c>
      <c r="X3948" t="s">
        <v>964</v>
      </c>
      <c r="Y3948" t="s">
        <v>965</v>
      </c>
      <c r="AF3948" t="s">
        <v>13</v>
      </c>
      <c r="AH3948" t="str">
        <f>HYPERLINK("http://www.degruyter.com/isbn/9781399514811")</f>
        <v>http://www.degruyter.com/isbn/9781399514811</v>
      </c>
      <c r="AI3948" t="s">
        <v>15009</v>
      </c>
      <c r="AL3948" t="s">
        <v>638</v>
      </c>
      <c r="AM3948">
        <v>1</v>
      </c>
      <c r="AN3948" s="2"/>
    </row>
    <row r="3949" spans="1:40" x14ac:dyDescent="0.3">
      <c r="A3949" t="s">
        <v>18606</v>
      </c>
      <c r="B3949" t="s">
        <v>1</v>
      </c>
      <c r="C3949" t="s">
        <v>18607</v>
      </c>
      <c r="E3949" t="s">
        <v>18608</v>
      </c>
      <c r="F3949" t="s">
        <v>5</v>
      </c>
      <c r="G3949" t="s">
        <v>6</v>
      </c>
      <c r="K3949" t="s">
        <v>18080</v>
      </c>
      <c r="L3949" t="s">
        <v>7</v>
      </c>
      <c r="M3949">
        <v>2025</v>
      </c>
      <c r="N3949" s="1">
        <v>45657</v>
      </c>
      <c r="O3949" t="s">
        <v>18609</v>
      </c>
      <c r="P3949">
        <v>1</v>
      </c>
      <c r="Q3949" t="s">
        <v>7194</v>
      </c>
      <c r="V3949" t="s">
        <v>42</v>
      </c>
      <c r="W3949" t="s">
        <v>1379</v>
      </c>
      <c r="X3949" t="s">
        <v>17461</v>
      </c>
      <c r="Y3949" t="s">
        <v>1381</v>
      </c>
      <c r="AF3949" t="s">
        <v>13</v>
      </c>
      <c r="AH3949" t="str">
        <f>HYPERLINK("http://www.degruyter.com/isbn/9781399539838")</f>
        <v>http://www.degruyter.com/isbn/9781399539838</v>
      </c>
      <c r="AI3949" t="s">
        <v>18497</v>
      </c>
      <c r="AL3949" t="s">
        <v>638</v>
      </c>
      <c r="AM3949">
        <v>1</v>
      </c>
      <c r="AN3949" s="2"/>
    </row>
    <row r="3950" spans="1:40" x14ac:dyDescent="0.3">
      <c r="A3950" t="s">
        <v>18610</v>
      </c>
      <c r="B3950" t="s">
        <v>1</v>
      </c>
      <c r="C3950" t="s">
        <v>18611</v>
      </c>
      <c r="D3950" t="s">
        <v>18612</v>
      </c>
      <c r="E3950" t="s">
        <v>18613</v>
      </c>
      <c r="F3950" t="s">
        <v>5</v>
      </c>
      <c r="G3950" t="s">
        <v>6</v>
      </c>
      <c r="L3950" t="s">
        <v>7</v>
      </c>
      <c r="M3950">
        <v>2025</v>
      </c>
      <c r="N3950" s="1">
        <v>45716</v>
      </c>
      <c r="O3950" t="s">
        <v>18614</v>
      </c>
      <c r="P3950">
        <v>1</v>
      </c>
      <c r="Q3950" t="s">
        <v>6665</v>
      </c>
      <c r="S3950">
        <v>208.95</v>
      </c>
      <c r="T3950">
        <v>240</v>
      </c>
      <c r="U3950">
        <v>180</v>
      </c>
      <c r="V3950" t="s">
        <v>9</v>
      </c>
      <c r="W3950" t="s">
        <v>10</v>
      </c>
      <c r="X3950" t="s">
        <v>11</v>
      </c>
      <c r="Y3950" t="s">
        <v>12</v>
      </c>
      <c r="AF3950" t="s">
        <v>189</v>
      </c>
      <c r="AI3950" t="s">
        <v>15009</v>
      </c>
      <c r="AL3950" t="s">
        <v>638</v>
      </c>
      <c r="AM3950">
        <v>1</v>
      </c>
      <c r="AN3950" s="2"/>
    </row>
    <row r="3951" spans="1:40" x14ac:dyDescent="0.3">
      <c r="A3951" t="s">
        <v>18615</v>
      </c>
      <c r="B3951" t="s">
        <v>1</v>
      </c>
      <c r="C3951" t="s">
        <v>18616</v>
      </c>
      <c r="D3951" t="s">
        <v>18617</v>
      </c>
      <c r="E3951" t="s">
        <v>18618</v>
      </c>
      <c r="F3951" t="s">
        <v>5</v>
      </c>
      <c r="G3951" t="s">
        <v>6</v>
      </c>
      <c r="L3951" t="s">
        <v>7</v>
      </c>
      <c r="M3951">
        <v>2024</v>
      </c>
      <c r="N3951" s="1">
        <v>45626</v>
      </c>
      <c r="O3951" t="s">
        <v>18619</v>
      </c>
      <c r="P3951">
        <v>1</v>
      </c>
      <c r="S3951">
        <v>217.95</v>
      </c>
      <c r="T3951">
        <v>250</v>
      </c>
      <c r="U3951">
        <v>190</v>
      </c>
      <c r="V3951" t="s">
        <v>58</v>
      </c>
      <c r="W3951" t="s">
        <v>59</v>
      </c>
      <c r="X3951" t="s">
        <v>931</v>
      </c>
      <c r="Y3951" t="s">
        <v>932</v>
      </c>
      <c r="AF3951" t="s">
        <v>13</v>
      </c>
      <c r="AH3951" t="str">
        <f>HYPERLINK("http://www.degruyter.com/isbn/9781399534185")</f>
        <v>http://www.degruyter.com/isbn/9781399534185</v>
      </c>
      <c r="AI3951" t="s">
        <v>17501</v>
      </c>
      <c r="AL3951" t="s">
        <v>638</v>
      </c>
      <c r="AM3951">
        <v>1</v>
      </c>
      <c r="AN3951" s="2"/>
    </row>
    <row r="3952" spans="1:40" x14ac:dyDescent="0.3">
      <c r="A3952" t="s">
        <v>18620</v>
      </c>
      <c r="B3952" t="s">
        <v>1</v>
      </c>
      <c r="C3952" t="s">
        <v>18621</v>
      </c>
      <c r="E3952" t="s">
        <v>18622</v>
      </c>
      <c r="F3952" t="s">
        <v>5</v>
      </c>
      <c r="G3952" t="s">
        <v>6</v>
      </c>
      <c r="L3952" t="s">
        <v>7</v>
      </c>
      <c r="M3952">
        <v>2025</v>
      </c>
      <c r="N3952" s="1">
        <v>45626</v>
      </c>
      <c r="O3952" t="s">
        <v>18623</v>
      </c>
      <c r="P3952">
        <v>1</v>
      </c>
      <c r="Q3952" t="s">
        <v>7728</v>
      </c>
      <c r="S3952">
        <v>226.95</v>
      </c>
      <c r="T3952">
        <v>260</v>
      </c>
      <c r="U3952">
        <v>200</v>
      </c>
      <c r="V3952" t="s">
        <v>42</v>
      </c>
      <c r="W3952" t="s">
        <v>107</v>
      </c>
      <c r="X3952" t="s">
        <v>108</v>
      </c>
      <c r="Y3952" t="s">
        <v>2244</v>
      </c>
      <c r="AF3952" t="s">
        <v>13</v>
      </c>
      <c r="AH3952" t="str">
        <f>HYPERLINK("http://www.degruyter.com/isbn/9781399523165")</f>
        <v>http://www.degruyter.com/isbn/9781399523165</v>
      </c>
      <c r="AI3952" t="s">
        <v>18497</v>
      </c>
      <c r="AL3952" t="s">
        <v>638</v>
      </c>
      <c r="AM3952">
        <v>1</v>
      </c>
      <c r="AN3952" s="2"/>
    </row>
    <row r="3953" spans="1:40" x14ac:dyDescent="0.3">
      <c r="A3953" t="s">
        <v>18624</v>
      </c>
      <c r="B3953" t="s">
        <v>1</v>
      </c>
      <c r="C3953" t="s">
        <v>18625</v>
      </c>
      <c r="E3953" t="s">
        <v>18626</v>
      </c>
      <c r="F3953" t="s">
        <v>5</v>
      </c>
      <c r="G3953" t="s">
        <v>6</v>
      </c>
      <c r="L3953" t="s">
        <v>7</v>
      </c>
      <c r="M3953">
        <v>2024</v>
      </c>
      <c r="N3953" s="1">
        <v>45626</v>
      </c>
      <c r="O3953" t="s">
        <v>18627</v>
      </c>
      <c r="P3953">
        <v>1</v>
      </c>
      <c r="Q3953" t="s">
        <v>15497</v>
      </c>
      <c r="S3953">
        <v>208.95</v>
      </c>
      <c r="T3953">
        <v>240</v>
      </c>
      <c r="U3953">
        <v>180</v>
      </c>
      <c r="V3953" t="s">
        <v>9</v>
      </c>
      <c r="W3953" t="s">
        <v>10</v>
      </c>
      <c r="X3953" t="s">
        <v>11</v>
      </c>
      <c r="Y3953" t="s">
        <v>12</v>
      </c>
      <c r="AF3953" t="s">
        <v>13</v>
      </c>
      <c r="AH3953" t="str">
        <f>HYPERLINK("http://www.degruyter.com/isbn/9781399520355")</f>
        <v>http://www.degruyter.com/isbn/9781399520355</v>
      </c>
      <c r="AI3953" t="s">
        <v>17506</v>
      </c>
      <c r="AL3953" t="s">
        <v>638</v>
      </c>
      <c r="AM3953">
        <v>1</v>
      </c>
      <c r="AN3953" s="2"/>
    </row>
    <row r="3954" spans="1:40" x14ac:dyDescent="0.3">
      <c r="A3954" t="s">
        <v>18628</v>
      </c>
      <c r="B3954" t="s">
        <v>1</v>
      </c>
      <c r="C3954" t="s">
        <v>18629</v>
      </c>
      <c r="D3954" t="s">
        <v>18630</v>
      </c>
      <c r="E3954" t="s">
        <v>18631</v>
      </c>
      <c r="F3954" t="s">
        <v>5</v>
      </c>
      <c r="G3954" t="s">
        <v>6</v>
      </c>
      <c r="L3954" t="s">
        <v>7</v>
      </c>
      <c r="M3954">
        <v>2024</v>
      </c>
      <c r="N3954" s="1">
        <v>45626</v>
      </c>
      <c r="O3954" t="s">
        <v>18632</v>
      </c>
      <c r="P3954">
        <v>1</v>
      </c>
      <c r="S3954">
        <v>217.95</v>
      </c>
      <c r="T3954">
        <v>250</v>
      </c>
      <c r="U3954">
        <v>190</v>
      </c>
      <c r="V3954" t="s">
        <v>305</v>
      </c>
      <c r="W3954" t="s">
        <v>2129</v>
      </c>
      <c r="X3954" t="s">
        <v>9271</v>
      </c>
      <c r="Y3954" t="s">
        <v>9272</v>
      </c>
      <c r="AF3954" t="s">
        <v>13</v>
      </c>
      <c r="AH3954" t="str">
        <f>HYPERLINK("http://www.degruyter.com/isbn/9781399517393")</f>
        <v>http://www.degruyter.com/isbn/9781399517393</v>
      </c>
      <c r="AI3954" t="s">
        <v>17506</v>
      </c>
      <c r="AL3954" t="s">
        <v>638</v>
      </c>
      <c r="AM3954">
        <v>1</v>
      </c>
      <c r="AN3954" s="2"/>
    </row>
    <row r="3955" spans="1:40" x14ac:dyDescent="0.3">
      <c r="A3955" t="s">
        <v>18633</v>
      </c>
      <c r="B3955" t="s">
        <v>1</v>
      </c>
      <c r="C3955" t="s">
        <v>18634</v>
      </c>
      <c r="E3955" t="s">
        <v>18635</v>
      </c>
      <c r="F3955" t="s">
        <v>5</v>
      </c>
      <c r="G3955" t="s">
        <v>6</v>
      </c>
      <c r="L3955" t="s">
        <v>7</v>
      </c>
      <c r="M3955">
        <v>2024</v>
      </c>
      <c r="N3955" s="1">
        <v>45626</v>
      </c>
      <c r="O3955" t="s">
        <v>18636</v>
      </c>
      <c r="P3955">
        <v>1</v>
      </c>
      <c r="S3955">
        <v>208.95</v>
      </c>
      <c r="T3955">
        <v>240</v>
      </c>
      <c r="U3955">
        <v>180</v>
      </c>
      <c r="V3955" t="s">
        <v>58</v>
      </c>
      <c r="W3955" t="s">
        <v>59</v>
      </c>
      <c r="X3955" t="s">
        <v>60</v>
      </c>
      <c r="Y3955" t="s">
        <v>73</v>
      </c>
      <c r="AF3955" t="s">
        <v>13</v>
      </c>
      <c r="AH3955" t="str">
        <f>HYPERLINK("http://www.degruyter.com/isbn/9781399534703")</f>
        <v>http://www.degruyter.com/isbn/9781399534703</v>
      </c>
      <c r="AI3955" t="s">
        <v>17501</v>
      </c>
      <c r="AL3955" t="s">
        <v>638</v>
      </c>
      <c r="AM3955">
        <v>1</v>
      </c>
      <c r="AN3955" s="2"/>
    </row>
    <row r="3956" spans="1:40" x14ac:dyDescent="0.3">
      <c r="A3956" t="s">
        <v>18637</v>
      </c>
      <c r="B3956" t="s">
        <v>1</v>
      </c>
      <c r="C3956" t="s">
        <v>18638</v>
      </c>
      <c r="E3956" t="s">
        <v>18639</v>
      </c>
      <c r="F3956" t="s">
        <v>5</v>
      </c>
      <c r="G3956" t="s">
        <v>6</v>
      </c>
      <c r="L3956" t="s">
        <v>7</v>
      </c>
      <c r="M3956">
        <v>2024</v>
      </c>
      <c r="N3956" s="1">
        <v>45626</v>
      </c>
      <c r="O3956" t="s">
        <v>18640</v>
      </c>
      <c r="P3956">
        <v>1</v>
      </c>
      <c r="Q3956" t="s">
        <v>18092</v>
      </c>
      <c r="S3956">
        <v>208.95</v>
      </c>
      <c r="T3956">
        <v>240</v>
      </c>
      <c r="U3956">
        <v>180</v>
      </c>
      <c r="V3956" t="s">
        <v>9</v>
      </c>
      <c r="W3956" t="s">
        <v>10</v>
      </c>
      <c r="X3956" t="s">
        <v>596</v>
      </c>
      <c r="Y3956" t="s">
        <v>2473</v>
      </c>
      <c r="AF3956" t="s">
        <v>13</v>
      </c>
      <c r="AH3956" t="str">
        <f>HYPERLINK("http://www.degruyter.com/isbn/9781399511391")</f>
        <v>http://www.degruyter.com/isbn/9781399511391</v>
      </c>
      <c r="AI3956" t="s">
        <v>17506</v>
      </c>
      <c r="AL3956" t="s">
        <v>638</v>
      </c>
      <c r="AM3956">
        <v>1</v>
      </c>
      <c r="AN3956" s="2"/>
    </row>
    <row r="3957" spans="1:40" x14ac:dyDescent="0.3">
      <c r="A3957" t="s">
        <v>18641</v>
      </c>
      <c r="B3957" t="s">
        <v>1</v>
      </c>
      <c r="C3957" t="s">
        <v>18642</v>
      </c>
      <c r="D3957" t="s">
        <v>18643</v>
      </c>
      <c r="E3957" t="s">
        <v>18644</v>
      </c>
      <c r="F3957" t="s">
        <v>5</v>
      </c>
      <c r="G3957" t="s">
        <v>6</v>
      </c>
      <c r="L3957" t="s">
        <v>7</v>
      </c>
      <c r="M3957">
        <v>2025</v>
      </c>
      <c r="N3957" s="1">
        <v>45657</v>
      </c>
      <c r="O3957" t="s">
        <v>18645</v>
      </c>
      <c r="P3957">
        <v>1</v>
      </c>
      <c r="Q3957" t="s">
        <v>13324</v>
      </c>
      <c r="S3957">
        <v>208.95</v>
      </c>
      <c r="T3957">
        <v>240</v>
      </c>
      <c r="U3957">
        <v>180</v>
      </c>
      <c r="V3957" t="s">
        <v>297</v>
      </c>
      <c r="W3957" t="s">
        <v>7781</v>
      </c>
      <c r="X3957" t="s">
        <v>7781</v>
      </c>
      <c r="Y3957" t="s">
        <v>7782</v>
      </c>
      <c r="AF3957" t="s">
        <v>13</v>
      </c>
      <c r="AH3957" t="str">
        <f>HYPERLINK("http://www.degruyter.com/isbn/9781399510837")</f>
        <v>http://www.degruyter.com/isbn/9781399510837</v>
      </c>
      <c r="AI3957" t="s">
        <v>18646</v>
      </c>
      <c r="AL3957" t="s">
        <v>638</v>
      </c>
      <c r="AM3957">
        <v>1</v>
      </c>
      <c r="AN3957" s="2"/>
    </row>
    <row r="3958" spans="1:40" x14ac:dyDescent="0.3">
      <c r="A3958" t="s">
        <v>18647</v>
      </c>
      <c r="B3958" t="s">
        <v>1</v>
      </c>
      <c r="C3958" t="s">
        <v>18648</v>
      </c>
      <c r="D3958" t="s">
        <v>18649</v>
      </c>
      <c r="E3958" t="s">
        <v>18650</v>
      </c>
      <c r="F3958" t="s">
        <v>5</v>
      </c>
      <c r="G3958" t="s">
        <v>6</v>
      </c>
      <c r="L3958" t="s">
        <v>7</v>
      </c>
      <c r="M3958">
        <v>2024</v>
      </c>
      <c r="N3958" s="1">
        <v>45565</v>
      </c>
      <c r="O3958" t="s">
        <v>18651</v>
      </c>
      <c r="P3958">
        <v>1</v>
      </c>
      <c r="Q3958" t="s">
        <v>5754</v>
      </c>
      <c r="S3958">
        <v>191.95</v>
      </c>
      <c r="T3958">
        <v>220</v>
      </c>
      <c r="U3958">
        <v>170</v>
      </c>
      <c r="V3958" t="s">
        <v>79</v>
      </c>
      <c r="W3958" t="s">
        <v>123</v>
      </c>
      <c r="X3958" t="s">
        <v>123</v>
      </c>
      <c r="Y3958" t="s">
        <v>124</v>
      </c>
      <c r="AF3958" t="s">
        <v>13</v>
      </c>
      <c r="AH3958" t="str">
        <f>HYPERLINK("http://www.degruyter.com/isbn/9781399520478")</f>
        <v>http://www.degruyter.com/isbn/9781399520478</v>
      </c>
      <c r="AI3958" t="s">
        <v>17444</v>
      </c>
      <c r="AL3958" t="s">
        <v>638</v>
      </c>
      <c r="AM3958">
        <v>1</v>
      </c>
      <c r="AN3958" s="2"/>
    </row>
    <row r="3959" spans="1:40" x14ac:dyDescent="0.3">
      <c r="A3959" t="s">
        <v>18652</v>
      </c>
      <c r="B3959" t="s">
        <v>1</v>
      </c>
      <c r="C3959" t="s">
        <v>18653</v>
      </c>
      <c r="D3959" t="s">
        <v>18654</v>
      </c>
      <c r="E3959" t="s">
        <v>18655</v>
      </c>
      <c r="F3959" t="s">
        <v>5</v>
      </c>
      <c r="G3959" t="s">
        <v>6</v>
      </c>
      <c r="L3959" t="s">
        <v>7</v>
      </c>
      <c r="M3959">
        <v>2024</v>
      </c>
      <c r="N3959" s="1">
        <v>45535</v>
      </c>
      <c r="O3959" t="s">
        <v>18656</v>
      </c>
      <c r="P3959">
        <v>1</v>
      </c>
      <c r="Q3959" t="s">
        <v>17292</v>
      </c>
      <c r="S3959">
        <v>69.95</v>
      </c>
      <c r="T3959">
        <v>80</v>
      </c>
      <c r="U3959">
        <v>60</v>
      </c>
      <c r="V3959" t="s">
        <v>268</v>
      </c>
      <c r="W3959" t="s">
        <v>269</v>
      </c>
      <c r="X3959" t="s">
        <v>269</v>
      </c>
      <c r="Y3959" t="s">
        <v>15545</v>
      </c>
      <c r="AF3959" t="s">
        <v>13</v>
      </c>
      <c r="AH3959" t="str">
        <f>HYPERLINK("http://www.degruyter.com/isbn/9781399544627")</f>
        <v>http://www.degruyter.com/isbn/9781399544627</v>
      </c>
      <c r="AI3959" t="s">
        <v>17703</v>
      </c>
      <c r="AL3959" t="s">
        <v>638</v>
      </c>
      <c r="AM3959">
        <v>1</v>
      </c>
      <c r="AN3959" s="2"/>
    </row>
    <row r="3960" spans="1:40" x14ac:dyDescent="0.3">
      <c r="A3960" t="s">
        <v>18657</v>
      </c>
      <c r="B3960" t="s">
        <v>1</v>
      </c>
      <c r="C3960" t="s">
        <v>18658</v>
      </c>
      <c r="E3960" t="s">
        <v>18659</v>
      </c>
      <c r="F3960" t="s">
        <v>5</v>
      </c>
      <c r="G3960" t="s">
        <v>6</v>
      </c>
      <c r="L3960" t="s">
        <v>7</v>
      </c>
      <c r="M3960">
        <v>2025</v>
      </c>
      <c r="N3960" s="1">
        <v>45657</v>
      </c>
      <c r="O3960" t="s">
        <v>18660</v>
      </c>
      <c r="P3960">
        <v>1</v>
      </c>
      <c r="S3960">
        <v>226.95</v>
      </c>
      <c r="T3960">
        <v>260</v>
      </c>
      <c r="U3960">
        <v>200</v>
      </c>
      <c r="V3960" t="s">
        <v>847</v>
      </c>
      <c r="W3960" t="s">
        <v>3102</v>
      </c>
      <c r="X3960" t="s">
        <v>3102</v>
      </c>
      <c r="Y3960" t="s">
        <v>16880</v>
      </c>
      <c r="AF3960" t="s">
        <v>13</v>
      </c>
      <c r="AH3960" t="str">
        <f>HYPERLINK("http://www.degruyter.com/isbn/9781399521956")</f>
        <v>http://www.degruyter.com/isbn/9781399521956</v>
      </c>
      <c r="AI3960" t="s">
        <v>18385</v>
      </c>
      <c r="AL3960" t="s">
        <v>638</v>
      </c>
      <c r="AM3960">
        <v>1</v>
      </c>
      <c r="AN3960" s="2"/>
    </row>
    <row r="3961" spans="1:40" x14ac:dyDescent="0.3">
      <c r="A3961" t="s">
        <v>18661</v>
      </c>
      <c r="B3961" t="s">
        <v>1</v>
      </c>
      <c r="C3961" t="s">
        <v>18553</v>
      </c>
      <c r="D3961" t="s">
        <v>18662</v>
      </c>
      <c r="E3961" t="s">
        <v>18555</v>
      </c>
      <c r="F3961" t="s">
        <v>5</v>
      </c>
      <c r="G3961" t="s">
        <v>6</v>
      </c>
      <c r="L3961" t="s">
        <v>7</v>
      </c>
      <c r="M3961">
        <v>2024</v>
      </c>
      <c r="N3961" s="1">
        <v>45596</v>
      </c>
      <c r="O3961" t="s">
        <v>18556</v>
      </c>
      <c r="P3961">
        <v>1</v>
      </c>
      <c r="Q3961" t="s">
        <v>17292</v>
      </c>
      <c r="S3961">
        <v>226.95</v>
      </c>
      <c r="T3961">
        <v>260</v>
      </c>
      <c r="U3961">
        <v>200</v>
      </c>
      <c r="V3961" t="s">
        <v>268</v>
      </c>
      <c r="W3961" t="s">
        <v>705</v>
      </c>
      <c r="X3961" t="s">
        <v>8754</v>
      </c>
      <c r="Y3961" t="s">
        <v>18663</v>
      </c>
      <c r="AF3961" t="s">
        <v>13</v>
      </c>
      <c r="AH3961" t="str">
        <f>HYPERLINK("http://www.degruyter.com/isbn/9781399544931")</f>
        <v>http://www.degruyter.com/isbn/9781399544931</v>
      </c>
      <c r="AI3961" t="s">
        <v>17703</v>
      </c>
      <c r="AL3961" t="s">
        <v>638</v>
      </c>
      <c r="AM3961">
        <v>1</v>
      </c>
      <c r="AN3961" s="2"/>
    </row>
    <row r="3962" spans="1:40" x14ac:dyDescent="0.3">
      <c r="A3962" t="s">
        <v>18664</v>
      </c>
      <c r="B3962" t="s">
        <v>1</v>
      </c>
      <c r="C3962" t="s">
        <v>18665</v>
      </c>
      <c r="E3962" t="s">
        <v>18666</v>
      </c>
      <c r="F3962" t="s">
        <v>5</v>
      </c>
      <c r="G3962" t="s">
        <v>6</v>
      </c>
      <c r="L3962" t="s">
        <v>7</v>
      </c>
      <c r="M3962">
        <v>2024</v>
      </c>
      <c r="N3962" s="1">
        <v>45626</v>
      </c>
      <c r="O3962" t="s">
        <v>18667</v>
      </c>
      <c r="P3962">
        <v>1</v>
      </c>
      <c r="Q3962" t="s">
        <v>6606</v>
      </c>
      <c r="S3962">
        <v>217.95</v>
      </c>
      <c r="T3962">
        <v>250</v>
      </c>
      <c r="U3962">
        <v>190</v>
      </c>
      <c r="V3962" t="s">
        <v>79</v>
      </c>
      <c r="W3962" t="s">
        <v>16641</v>
      </c>
      <c r="X3962" t="s">
        <v>16642</v>
      </c>
      <c r="Y3962" t="s">
        <v>16643</v>
      </c>
      <c r="AF3962" t="s">
        <v>13</v>
      </c>
      <c r="AH3962" t="str">
        <f>HYPERLINK("http://www.degruyter.com/isbn/9781474489157")</f>
        <v>http://www.degruyter.com/isbn/9781474489157</v>
      </c>
      <c r="AI3962" t="s">
        <v>17444</v>
      </c>
      <c r="AL3962" t="s">
        <v>638</v>
      </c>
      <c r="AM3962">
        <v>1</v>
      </c>
      <c r="AN3962" s="2"/>
    </row>
    <row r="3963" spans="1:40" x14ac:dyDescent="0.3">
      <c r="A3963" t="s">
        <v>18668</v>
      </c>
      <c r="B3963" t="s">
        <v>1</v>
      </c>
      <c r="C3963" t="s">
        <v>18669</v>
      </c>
      <c r="E3963" t="s">
        <v>18670</v>
      </c>
      <c r="F3963" t="s">
        <v>5</v>
      </c>
      <c r="G3963" t="s">
        <v>6</v>
      </c>
      <c r="L3963" t="s">
        <v>7</v>
      </c>
      <c r="M3963">
        <v>2025</v>
      </c>
      <c r="N3963" s="1">
        <v>45657</v>
      </c>
      <c r="O3963" t="s">
        <v>18671</v>
      </c>
      <c r="P3963">
        <v>1</v>
      </c>
      <c r="Q3963" t="s">
        <v>13309</v>
      </c>
      <c r="S3963">
        <v>339.95</v>
      </c>
      <c r="T3963">
        <v>390</v>
      </c>
      <c r="U3963">
        <v>300</v>
      </c>
      <c r="V3963" t="s">
        <v>42</v>
      </c>
      <c r="W3963" t="s">
        <v>116</v>
      </c>
      <c r="X3963" t="s">
        <v>116</v>
      </c>
      <c r="Y3963" t="s">
        <v>3967</v>
      </c>
      <c r="AF3963" t="s">
        <v>13</v>
      </c>
      <c r="AH3963" t="str">
        <f>HYPERLINK("http://www.degruyter.com/isbn/9781474487627")</f>
        <v>http://www.degruyter.com/isbn/9781474487627</v>
      </c>
      <c r="AI3963" t="s">
        <v>18497</v>
      </c>
      <c r="AL3963" t="s">
        <v>638</v>
      </c>
      <c r="AM3963">
        <v>1</v>
      </c>
      <c r="AN3963" s="2"/>
    </row>
    <row r="3964" spans="1:40" x14ac:dyDescent="0.3">
      <c r="A3964" t="s">
        <v>18672</v>
      </c>
      <c r="B3964" t="s">
        <v>1</v>
      </c>
      <c r="C3964" t="s">
        <v>18673</v>
      </c>
      <c r="D3964" t="s">
        <v>18674</v>
      </c>
      <c r="E3964" t="s">
        <v>18675</v>
      </c>
      <c r="F3964" t="s">
        <v>5</v>
      </c>
      <c r="G3964" t="s">
        <v>6</v>
      </c>
      <c r="K3964" t="s">
        <v>18537</v>
      </c>
      <c r="L3964" t="s">
        <v>7</v>
      </c>
      <c r="M3964">
        <v>2024</v>
      </c>
      <c r="N3964" s="1">
        <v>45596</v>
      </c>
      <c r="O3964" t="s">
        <v>18676</v>
      </c>
      <c r="P3964">
        <v>1</v>
      </c>
      <c r="Q3964" t="s">
        <v>13843</v>
      </c>
      <c r="V3964" t="s">
        <v>58</v>
      </c>
      <c r="W3964" t="s">
        <v>59</v>
      </c>
      <c r="X3964" t="s">
        <v>3060</v>
      </c>
      <c r="Y3964" t="s">
        <v>3061</v>
      </c>
      <c r="AF3964" t="s">
        <v>13</v>
      </c>
      <c r="AH3964" t="str">
        <f>HYPERLINK("http://www.degruyter.com/isbn/9781474479189")</f>
        <v>http://www.degruyter.com/isbn/9781474479189</v>
      </c>
      <c r="AI3964" t="s">
        <v>17501</v>
      </c>
      <c r="AL3964" t="s">
        <v>638</v>
      </c>
      <c r="AM3964">
        <v>1</v>
      </c>
      <c r="AN3964" s="2"/>
    </row>
    <row r="3965" spans="1:40" x14ac:dyDescent="0.3">
      <c r="A3965" t="s">
        <v>18677</v>
      </c>
      <c r="B3965" t="s">
        <v>1</v>
      </c>
      <c r="C3965" t="s">
        <v>5437</v>
      </c>
      <c r="D3965" t="s">
        <v>18678</v>
      </c>
      <c r="E3965" t="s">
        <v>11850</v>
      </c>
      <c r="F3965" t="s">
        <v>5</v>
      </c>
      <c r="G3965" t="s">
        <v>6</v>
      </c>
      <c r="L3965" t="s">
        <v>7</v>
      </c>
      <c r="M3965">
        <v>2025</v>
      </c>
      <c r="N3965" s="1">
        <v>45686</v>
      </c>
      <c r="O3965" t="s">
        <v>18679</v>
      </c>
      <c r="P3965">
        <v>2</v>
      </c>
      <c r="Q3965" t="s">
        <v>6912</v>
      </c>
      <c r="S3965">
        <v>208.95</v>
      </c>
      <c r="T3965">
        <v>240</v>
      </c>
      <c r="U3965">
        <v>180</v>
      </c>
      <c r="V3965" t="s">
        <v>98</v>
      </c>
      <c r="W3965" t="s">
        <v>2283</v>
      </c>
      <c r="X3965" t="s">
        <v>5437</v>
      </c>
      <c r="Y3965" t="s">
        <v>5438</v>
      </c>
      <c r="AF3965" t="s">
        <v>13</v>
      </c>
      <c r="AH3965" t="str">
        <f>HYPERLINK("http://www.degruyter.com/isbn/9781399529730")</f>
        <v>http://www.degruyter.com/isbn/9781399529730</v>
      </c>
      <c r="AI3965" t="s">
        <v>15009</v>
      </c>
      <c r="AL3965" t="s">
        <v>638</v>
      </c>
      <c r="AM3965">
        <v>1</v>
      </c>
      <c r="AN3965" s="2"/>
    </row>
    <row r="3966" spans="1:40" x14ac:dyDescent="0.3">
      <c r="A3966" t="s">
        <v>18680</v>
      </c>
      <c r="B3966" t="s">
        <v>1</v>
      </c>
      <c r="C3966" t="s">
        <v>18681</v>
      </c>
      <c r="D3966" t="s">
        <v>18682</v>
      </c>
      <c r="E3966" t="s">
        <v>18683</v>
      </c>
      <c r="F3966" t="s">
        <v>5</v>
      </c>
      <c r="G3966" t="s">
        <v>6</v>
      </c>
      <c r="L3966" t="s">
        <v>7</v>
      </c>
      <c r="M3966">
        <v>2025</v>
      </c>
      <c r="N3966" s="1">
        <v>45686</v>
      </c>
      <c r="O3966" t="s">
        <v>18684</v>
      </c>
      <c r="P3966">
        <v>1</v>
      </c>
      <c r="Q3966" t="s">
        <v>14307</v>
      </c>
      <c r="S3966">
        <v>226.95</v>
      </c>
      <c r="T3966">
        <v>260</v>
      </c>
      <c r="U3966">
        <v>200</v>
      </c>
      <c r="V3966" t="s">
        <v>329</v>
      </c>
      <c r="W3966" t="s">
        <v>330</v>
      </c>
      <c r="X3966" t="s">
        <v>331</v>
      </c>
      <c r="Y3966" t="s">
        <v>332</v>
      </c>
      <c r="AF3966" t="s">
        <v>13</v>
      </c>
      <c r="AH3966" t="str">
        <f>HYPERLINK("http://www.degruyter.com/isbn/9781399523899")</f>
        <v>http://www.degruyter.com/isbn/9781399523899</v>
      </c>
      <c r="AI3966" t="s">
        <v>15009</v>
      </c>
      <c r="AL3966" t="s">
        <v>638</v>
      </c>
      <c r="AM3966">
        <v>1</v>
      </c>
      <c r="AN3966" s="2"/>
    </row>
    <row r="3967" spans="1:40" x14ac:dyDescent="0.3">
      <c r="A3967" t="s">
        <v>18685</v>
      </c>
      <c r="B3967" t="s">
        <v>1</v>
      </c>
      <c r="C3967" t="s">
        <v>18686</v>
      </c>
      <c r="D3967" t="s">
        <v>18687</v>
      </c>
      <c r="E3967" t="s">
        <v>18688</v>
      </c>
      <c r="F3967" t="s">
        <v>5</v>
      </c>
      <c r="G3967" t="s">
        <v>6</v>
      </c>
      <c r="L3967" t="s">
        <v>7</v>
      </c>
      <c r="M3967">
        <v>2025</v>
      </c>
      <c r="N3967" s="1">
        <v>45716</v>
      </c>
      <c r="O3967" t="s">
        <v>18689</v>
      </c>
      <c r="P3967">
        <v>1</v>
      </c>
      <c r="Q3967" t="s">
        <v>14970</v>
      </c>
      <c r="S3967">
        <v>208.95</v>
      </c>
      <c r="T3967">
        <v>240</v>
      </c>
      <c r="U3967">
        <v>180</v>
      </c>
      <c r="V3967" t="s">
        <v>58</v>
      </c>
      <c r="W3967" t="s">
        <v>59</v>
      </c>
      <c r="X3967" t="s">
        <v>60</v>
      </c>
      <c r="Y3967" t="s">
        <v>169</v>
      </c>
      <c r="AF3967" t="s">
        <v>189</v>
      </c>
      <c r="AI3967" t="s">
        <v>15009</v>
      </c>
      <c r="AL3967" t="s">
        <v>638</v>
      </c>
      <c r="AM3967">
        <v>1</v>
      </c>
      <c r="AN3967" s="2"/>
    </row>
    <row r="3968" spans="1:40" x14ac:dyDescent="0.3">
      <c r="A3968" t="s">
        <v>18690</v>
      </c>
      <c r="B3968" t="s">
        <v>1</v>
      </c>
      <c r="C3968" t="s">
        <v>18691</v>
      </c>
      <c r="E3968" t="s">
        <v>18692</v>
      </c>
      <c r="F3968" t="s">
        <v>5</v>
      </c>
      <c r="G3968" t="s">
        <v>6</v>
      </c>
      <c r="L3968" t="s">
        <v>7</v>
      </c>
      <c r="M3968">
        <v>2025</v>
      </c>
      <c r="N3968" s="1">
        <v>45716</v>
      </c>
      <c r="O3968" t="s">
        <v>18693</v>
      </c>
      <c r="P3968">
        <v>1</v>
      </c>
      <c r="S3968">
        <v>208.95</v>
      </c>
      <c r="T3968">
        <v>240</v>
      </c>
      <c r="U3968">
        <v>180</v>
      </c>
      <c r="V3968" t="s">
        <v>42</v>
      </c>
      <c r="W3968" t="s">
        <v>116</v>
      </c>
      <c r="X3968" t="s">
        <v>116</v>
      </c>
      <c r="Y3968" t="s">
        <v>15123</v>
      </c>
      <c r="AF3968" t="s">
        <v>189</v>
      </c>
      <c r="AI3968" t="s">
        <v>15009</v>
      </c>
      <c r="AL3968" t="s">
        <v>638</v>
      </c>
      <c r="AM3968">
        <v>1</v>
      </c>
      <c r="AN3968" s="2"/>
    </row>
    <row r="3969" spans="1:40" x14ac:dyDescent="0.3">
      <c r="A3969" t="s">
        <v>18694</v>
      </c>
      <c r="B3969" t="s">
        <v>1</v>
      </c>
      <c r="C3969" t="s">
        <v>18695</v>
      </c>
      <c r="E3969" t="s">
        <v>18696</v>
      </c>
      <c r="F3969" t="s">
        <v>5</v>
      </c>
      <c r="G3969" t="s">
        <v>6</v>
      </c>
      <c r="L3969" t="s">
        <v>7</v>
      </c>
      <c r="M3969">
        <v>2025</v>
      </c>
      <c r="N3969" s="1">
        <v>45626</v>
      </c>
      <c r="O3969" t="s">
        <v>18697</v>
      </c>
      <c r="P3969">
        <v>1</v>
      </c>
      <c r="S3969">
        <v>217.95</v>
      </c>
      <c r="T3969">
        <v>250</v>
      </c>
      <c r="U3969">
        <v>190</v>
      </c>
      <c r="V3969" t="s">
        <v>42</v>
      </c>
      <c r="W3969" t="s">
        <v>290</v>
      </c>
      <c r="X3969" t="s">
        <v>290</v>
      </c>
      <c r="Y3969" t="s">
        <v>515</v>
      </c>
      <c r="AF3969" t="s">
        <v>13</v>
      </c>
      <c r="AH3969" t="str">
        <f>HYPERLINK("http://www.degruyter.com/isbn/9781399520935")</f>
        <v>http://www.degruyter.com/isbn/9781399520935</v>
      </c>
      <c r="AI3969" t="s">
        <v>18497</v>
      </c>
      <c r="AL3969" t="s">
        <v>638</v>
      </c>
      <c r="AM3969">
        <v>1</v>
      </c>
      <c r="AN3969" s="2"/>
    </row>
    <row r="3970" spans="1:40" x14ac:dyDescent="0.3">
      <c r="A3970" t="s">
        <v>18698</v>
      </c>
      <c r="B3970" t="s">
        <v>1</v>
      </c>
      <c r="C3970" t="s">
        <v>18699</v>
      </c>
      <c r="E3970" t="s">
        <v>18700</v>
      </c>
      <c r="F3970" t="s">
        <v>5</v>
      </c>
      <c r="G3970" t="s">
        <v>6</v>
      </c>
      <c r="L3970" t="s">
        <v>7</v>
      </c>
      <c r="M3970">
        <v>2025</v>
      </c>
      <c r="N3970" s="1">
        <v>45686</v>
      </c>
      <c r="O3970" t="s">
        <v>18701</v>
      </c>
      <c r="P3970">
        <v>1</v>
      </c>
      <c r="S3970">
        <v>208.95</v>
      </c>
      <c r="T3970">
        <v>240</v>
      </c>
      <c r="U3970">
        <v>180</v>
      </c>
      <c r="V3970" t="s">
        <v>42</v>
      </c>
      <c r="W3970" t="s">
        <v>116</v>
      </c>
      <c r="X3970" t="s">
        <v>116</v>
      </c>
      <c r="Y3970" t="s">
        <v>18702</v>
      </c>
      <c r="AF3970" t="s">
        <v>13</v>
      </c>
      <c r="AH3970" t="str">
        <f>HYPERLINK("http://www.degruyter.com/isbn/9781399543828")</f>
        <v>http://www.degruyter.com/isbn/9781399543828</v>
      </c>
      <c r="AI3970" t="s">
        <v>15009</v>
      </c>
      <c r="AL3970" t="s">
        <v>638</v>
      </c>
      <c r="AM3970">
        <v>1</v>
      </c>
      <c r="AN3970" s="2"/>
    </row>
    <row r="3971" spans="1:40" x14ac:dyDescent="0.3">
      <c r="A3971" t="s">
        <v>18703</v>
      </c>
      <c r="B3971" t="s">
        <v>1</v>
      </c>
      <c r="C3971" t="s">
        <v>18704</v>
      </c>
      <c r="E3971" t="s">
        <v>18705</v>
      </c>
      <c r="F3971" t="s">
        <v>5</v>
      </c>
      <c r="G3971" t="s">
        <v>6</v>
      </c>
      <c r="L3971" t="s">
        <v>7</v>
      </c>
      <c r="M3971">
        <v>2024</v>
      </c>
      <c r="N3971" s="1">
        <v>45626</v>
      </c>
      <c r="O3971" t="s">
        <v>3348</v>
      </c>
      <c r="P3971">
        <v>1</v>
      </c>
      <c r="S3971">
        <v>208.95</v>
      </c>
      <c r="T3971">
        <v>240</v>
      </c>
      <c r="U3971">
        <v>180</v>
      </c>
      <c r="V3971" t="s">
        <v>20</v>
      </c>
      <c r="W3971" t="s">
        <v>21</v>
      </c>
      <c r="X3971" t="s">
        <v>22</v>
      </c>
      <c r="Y3971" t="s">
        <v>23</v>
      </c>
      <c r="AF3971" t="s">
        <v>13</v>
      </c>
      <c r="AH3971" t="str">
        <f>HYPERLINK("http://www.degruyter.com/isbn/9781399528580")</f>
        <v>http://www.degruyter.com/isbn/9781399528580</v>
      </c>
      <c r="AI3971" t="s">
        <v>17576</v>
      </c>
      <c r="AL3971" t="s">
        <v>638</v>
      </c>
      <c r="AM3971">
        <v>1</v>
      </c>
      <c r="AN3971" s="2"/>
    </row>
    <row r="3972" spans="1:40" x14ac:dyDescent="0.3">
      <c r="A3972" t="s">
        <v>18706</v>
      </c>
      <c r="B3972" t="s">
        <v>1</v>
      </c>
      <c r="C3972" t="s">
        <v>18707</v>
      </c>
      <c r="D3972" t="s">
        <v>18708</v>
      </c>
      <c r="E3972" t="s">
        <v>18709</v>
      </c>
      <c r="F3972" t="s">
        <v>5</v>
      </c>
      <c r="G3972" t="s">
        <v>6</v>
      </c>
      <c r="L3972" t="s">
        <v>7</v>
      </c>
      <c r="M3972">
        <v>2025</v>
      </c>
      <c r="N3972" s="1">
        <v>45626</v>
      </c>
      <c r="O3972" t="s">
        <v>18710</v>
      </c>
      <c r="P3972">
        <v>1</v>
      </c>
      <c r="S3972">
        <v>217.95</v>
      </c>
      <c r="T3972">
        <v>250</v>
      </c>
      <c r="U3972">
        <v>190</v>
      </c>
      <c r="V3972" t="s">
        <v>20</v>
      </c>
      <c r="W3972" t="s">
        <v>21</v>
      </c>
      <c r="X3972" t="s">
        <v>458</v>
      </c>
      <c r="Y3972" t="s">
        <v>459</v>
      </c>
      <c r="AF3972" t="s">
        <v>13</v>
      </c>
      <c r="AH3972" t="str">
        <f>HYPERLINK("http://www.degruyter.com/isbn/9781399522038")</f>
        <v>http://www.degruyter.com/isbn/9781399522038</v>
      </c>
      <c r="AI3972" t="s">
        <v>18526</v>
      </c>
      <c r="AL3972" t="s">
        <v>638</v>
      </c>
      <c r="AM3972">
        <v>1</v>
      </c>
      <c r="AN3972" s="2"/>
    </row>
    <row r="3973" spans="1:40" x14ac:dyDescent="0.3">
      <c r="A3973" t="s">
        <v>18711</v>
      </c>
      <c r="B3973" t="s">
        <v>1</v>
      </c>
      <c r="C3973" t="s">
        <v>18712</v>
      </c>
      <c r="E3973" t="s">
        <v>18713</v>
      </c>
      <c r="F3973" t="s">
        <v>5</v>
      </c>
      <c r="G3973" t="s">
        <v>6</v>
      </c>
      <c r="L3973" t="s">
        <v>7</v>
      </c>
      <c r="M3973">
        <v>2025</v>
      </c>
      <c r="N3973" s="1">
        <v>45657</v>
      </c>
      <c r="O3973" t="s">
        <v>18714</v>
      </c>
      <c r="P3973">
        <v>1</v>
      </c>
      <c r="S3973">
        <v>217.95</v>
      </c>
      <c r="T3973">
        <v>250</v>
      </c>
      <c r="U3973">
        <v>190</v>
      </c>
      <c r="V3973" t="s">
        <v>42</v>
      </c>
      <c r="W3973" t="s">
        <v>107</v>
      </c>
      <c r="X3973" t="s">
        <v>108</v>
      </c>
      <c r="Y3973" t="s">
        <v>109</v>
      </c>
      <c r="AF3973" t="s">
        <v>13</v>
      </c>
      <c r="AH3973" t="str">
        <f>HYPERLINK("http://www.degruyter.com/isbn/9781399528306")</f>
        <v>http://www.degruyter.com/isbn/9781399528306</v>
      </c>
      <c r="AI3973" t="s">
        <v>18497</v>
      </c>
      <c r="AL3973" t="s">
        <v>638</v>
      </c>
      <c r="AM3973">
        <v>1</v>
      </c>
      <c r="AN3973" s="2"/>
    </row>
    <row r="3974" spans="1:40" x14ac:dyDescent="0.3">
      <c r="A3974" t="s">
        <v>18715</v>
      </c>
      <c r="B3974" t="s">
        <v>1</v>
      </c>
      <c r="C3974" t="s">
        <v>18716</v>
      </c>
      <c r="D3974" t="s">
        <v>18717</v>
      </c>
      <c r="E3974" t="s">
        <v>18718</v>
      </c>
      <c r="F3974" t="s">
        <v>5</v>
      </c>
      <c r="G3974" t="s">
        <v>6</v>
      </c>
      <c r="L3974" t="s">
        <v>7</v>
      </c>
      <c r="M3974">
        <v>2025</v>
      </c>
      <c r="N3974" s="1">
        <v>45686</v>
      </c>
      <c r="O3974" t="s">
        <v>18719</v>
      </c>
      <c r="P3974">
        <v>1</v>
      </c>
      <c r="Q3974" t="s">
        <v>8823</v>
      </c>
      <c r="S3974">
        <v>208.95</v>
      </c>
      <c r="T3974">
        <v>240</v>
      </c>
      <c r="U3974">
        <v>180</v>
      </c>
      <c r="V3974" t="s">
        <v>20</v>
      </c>
      <c r="W3974" t="s">
        <v>21</v>
      </c>
      <c r="X3974" t="s">
        <v>22</v>
      </c>
      <c r="Y3974" t="s">
        <v>23</v>
      </c>
      <c r="AF3974" t="s">
        <v>13</v>
      </c>
      <c r="AH3974" t="str">
        <f>HYPERLINK("http://www.degruyter.com/isbn/9781399518161")</f>
        <v>http://www.degruyter.com/isbn/9781399518161</v>
      </c>
      <c r="AI3974" t="s">
        <v>15009</v>
      </c>
      <c r="AL3974" t="s">
        <v>638</v>
      </c>
      <c r="AM3974">
        <v>1</v>
      </c>
      <c r="AN3974" s="2"/>
    </row>
    <row r="3975" spans="1:40" x14ac:dyDescent="0.3">
      <c r="A3975" t="s">
        <v>18720</v>
      </c>
      <c r="B3975" t="s">
        <v>1</v>
      </c>
      <c r="C3975" t="s">
        <v>18721</v>
      </c>
      <c r="E3975" t="s">
        <v>18722</v>
      </c>
      <c r="F3975" t="s">
        <v>5</v>
      </c>
      <c r="G3975" t="s">
        <v>6</v>
      </c>
      <c r="L3975" t="s">
        <v>7</v>
      </c>
      <c r="M3975">
        <v>2025</v>
      </c>
      <c r="N3975" s="1">
        <v>45657</v>
      </c>
      <c r="O3975" t="s">
        <v>18723</v>
      </c>
      <c r="P3975">
        <v>1</v>
      </c>
      <c r="Q3975" t="s">
        <v>7449</v>
      </c>
      <c r="R3975" s="3" t="s">
        <v>18724</v>
      </c>
      <c r="S3975">
        <v>208.95</v>
      </c>
      <c r="T3975">
        <v>240</v>
      </c>
      <c r="U3975">
        <v>180</v>
      </c>
      <c r="V3975" t="s">
        <v>58</v>
      </c>
      <c r="W3975" t="s">
        <v>59</v>
      </c>
      <c r="X3975" t="s">
        <v>60</v>
      </c>
      <c r="Y3975" t="s">
        <v>169</v>
      </c>
      <c r="AF3975" t="s">
        <v>13</v>
      </c>
      <c r="AH3975" t="str">
        <f>HYPERLINK("http://www.degruyter.com/isbn/9781399519595")</f>
        <v>http://www.degruyter.com/isbn/9781399519595</v>
      </c>
      <c r="AI3975" t="s">
        <v>18725</v>
      </c>
      <c r="AL3975" t="s">
        <v>638</v>
      </c>
      <c r="AM3975">
        <v>1</v>
      </c>
      <c r="AN3975" s="2"/>
    </row>
    <row r="3976" spans="1:40" x14ac:dyDescent="0.3">
      <c r="A3976" t="s">
        <v>18726</v>
      </c>
      <c r="B3976" t="s">
        <v>1</v>
      </c>
      <c r="C3976" t="s">
        <v>18727</v>
      </c>
      <c r="D3976" t="s">
        <v>18728</v>
      </c>
      <c r="E3976" t="s">
        <v>18729</v>
      </c>
      <c r="F3976" t="s">
        <v>5</v>
      </c>
      <c r="G3976" t="s">
        <v>6</v>
      </c>
      <c r="L3976" t="s">
        <v>7</v>
      </c>
      <c r="M3976">
        <v>2024</v>
      </c>
      <c r="N3976" s="1">
        <v>45535</v>
      </c>
      <c r="O3976" t="s">
        <v>18730</v>
      </c>
      <c r="P3976">
        <v>1</v>
      </c>
      <c r="Q3976" t="s">
        <v>17292</v>
      </c>
      <c r="S3976">
        <v>78.95</v>
      </c>
      <c r="T3976">
        <v>90</v>
      </c>
      <c r="U3976">
        <v>70</v>
      </c>
      <c r="V3976" t="s">
        <v>268</v>
      </c>
      <c r="W3976" t="s">
        <v>16321</v>
      </c>
      <c r="X3976" t="s">
        <v>16322</v>
      </c>
      <c r="Y3976" t="s">
        <v>9655</v>
      </c>
      <c r="AF3976" t="s">
        <v>13</v>
      </c>
      <c r="AH3976" t="str">
        <f>HYPERLINK("http://www.degruyter.com/isbn/9781399544245")</f>
        <v>http://www.degruyter.com/isbn/9781399544245</v>
      </c>
      <c r="AI3976" t="s">
        <v>17703</v>
      </c>
      <c r="AL3976" t="s">
        <v>638</v>
      </c>
      <c r="AM3976">
        <v>1</v>
      </c>
      <c r="AN3976" s="2"/>
    </row>
    <row r="3977" spans="1:40" x14ac:dyDescent="0.3">
      <c r="A3977" t="s">
        <v>18731</v>
      </c>
      <c r="B3977" t="s">
        <v>1</v>
      </c>
      <c r="C3977" t="s">
        <v>18732</v>
      </c>
      <c r="D3977" t="s">
        <v>18733</v>
      </c>
      <c r="E3977" t="s">
        <v>18734</v>
      </c>
      <c r="F3977" t="s">
        <v>5</v>
      </c>
      <c r="G3977" t="s">
        <v>6</v>
      </c>
      <c r="L3977" t="s">
        <v>7</v>
      </c>
      <c r="M3977">
        <v>2025</v>
      </c>
      <c r="N3977" s="1">
        <v>45716</v>
      </c>
      <c r="O3977" t="s">
        <v>18735</v>
      </c>
      <c r="P3977">
        <v>1</v>
      </c>
      <c r="Q3977" t="s">
        <v>18520</v>
      </c>
      <c r="S3977">
        <v>208.95</v>
      </c>
      <c r="T3977">
        <v>240</v>
      </c>
      <c r="U3977">
        <v>180</v>
      </c>
      <c r="V3977" t="s">
        <v>98</v>
      </c>
      <c r="W3977" t="s">
        <v>99</v>
      </c>
      <c r="X3977" t="s">
        <v>2010</v>
      </c>
      <c r="Y3977" t="s">
        <v>2011</v>
      </c>
      <c r="AF3977" t="s">
        <v>189</v>
      </c>
      <c r="AI3977" t="s">
        <v>15009</v>
      </c>
      <c r="AL3977" t="s">
        <v>638</v>
      </c>
      <c r="AM3977">
        <v>1</v>
      </c>
      <c r="AN3977" s="2"/>
    </row>
    <row r="3978" spans="1:40" x14ac:dyDescent="0.3">
      <c r="A3978" t="s">
        <v>18736</v>
      </c>
      <c r="B3978" t="s">
        <v>1</v>
      </c>
      <c r="C3978" t="s">
        <v>18737</v>
      </c>
      <c r="D3978" t="s">
        <v>18738</v>
      </c>
      <c r="E3978" t="s">
        <v>18739</v>
      </c>
      <c r="F3978" t="s">
        <v>5</v>
      </c>
      <c r="G3978" t="s">
        <v>6</v>
      </c>
      <c r="L3978" t="s">
        <v>7</v>
      </c>
      <c r="M3978">
        <v>2025</v>
      </c>
      <c r="N3978" s="1">
        <v>45693</v>
      </c>
      <c r="O3978" t="s">
        <v>18740</v>
      </c>
      <c r="P3978">
        <v>1</v>
      </c>
      <c r="Q3978" t="s">
        <v>12961</v>
      </c>
      <c r="S3978">
        <v>217.95</v>
      </c>
      <c r="T3978">
        <v>250</v>
      </c>
      <c r="U3978">
        <v>190</v>
      </c>
      <c r="V3978" t="s">
        <v>20</v>
      </c>
      <c r="W3978" t="s">
        <v>21</v>
      </c>
      <c r="X3978" t="s">
        <v>839</v>
      </c>
      <c r="Y3978" t="s">
        <v>840</v>
      </c>
      <c r="AF3978" t="s">
        <v>13</v>
      </c>
      <c r="AH3978" t="str">
        <f>HYPERLINK("http://www.degruyter.com/isbn/9781399510417")</f>
        <v>http://www.degruyter.com/isbn/9781399510417</v>
      </c>
      <c r="AI3978" t="s">
        <v>15009</v>
      </c>
      <c r="AL3978" t="s">
        <v>638</v>
      </c>
      <c r="AM3978">
        <v>1</v>
      </c>
      <c r="AN3978" s="2"/>
    </row>
    <row r="3979" spans="1:40" x14ac:dyDescent="0.3">
      <c r="A3979" t="s">
        <v>18741</v>
      </c>
      <c r="B3979" t="s">
        <v>1</v>
      </c>
      <c r="C3979" t="s">
        <v>18742</v>
      </c>
      <c r="D3979" t="s">
        <v>18743</v>
      </c>
      <c r="E3979" t="s">
        <v>18744</v>
      </c>
      <c r="F3979" t="s">
        <v>5</v>
      </c>
      <c r="G3979" t="s">
        <v>6</v>
      </c>
      <c r="L3979" t="s">
        <v>7</v>
      </c>
      <c r="M3979">
        <v>2025</v>
      </c>
      <c r="N3979" s="1">
        <v>45693</v>
      </c>
      <c r="O3979" t="s">
        <v>18745</v>
      </c>
      <c r="P3979">
        <v>1</v>
      </c>
      <c r="Q3979" t="s">
        <v>18746</v>
      </c>
      <c r="S3979">
        <v>217.95</v>
      </c>
      <c r="T3979">
        <v>250</v>
      </c>
      <c r="U3979">
        <v>190</v>
      </c>
      <c r="V3979" t="s">
        <v>42</v>
      </c>
      <c r="W3979" t="s">
        <v>107</v>
      </c>
      <c r="X3979" t="s">
        <v>108</v>
      </c>
      <c r="Y3979" t="s">
        <v>952</v>
      </c>
      <c r="AF3979" t="s">
        <v>13</v>
      </c>
      <c r="AH3979" t="str">
        <f>HYPERLINK("http://www.degruyter.com/isbn/9781399531368")</f>
        <v>http://www.degruyter.com/isbn/9781399531368</v>
      </c>
      <c r="AI3979" t="s">
        <v>15009</v>
      </c>
      <c r="AL3979" t="s">
        <v>638</v>
      </c>
      <c r="AM3979">
        <v>1</v>
      </c>
      <c r="AN3979" s="2"/>
    </row>
    <row r="3980" spans="1:40" x14ac:dyDescent="0.3">
      <c r="A3980" t="s">
        <v>18747</v>
      </c>
      <c r="B3980" t="s">
        <v>1</v>
      </c>
      <c r="C3980" t="s">
        <v>18748</v>
      </c>
      <c r="D3980" t="s">
        <v>18749</v>
      </c>
      <c r="E3980" t="s">
        <v>18750</v>
      </c>
      <c r="F3980" t="s">
        <v>5</v>
      </c>
      <c r="G3980" t="s">
        <v>6</v>
      </c>
      <c r="L3980" t="s">
        <v>7</v>
      </c>
      <c r="M3980">
        <v>2025</v>
      </c>
      <c r="N3980" s="1">
        <v>45716</v>
      </c>
      <c r="O3980" t="s">
        <v>18751</v>
      </c>
      <c r="P3980">
        <v>1</v>
      </c>
      <c r="S3980">
        <v>208.95</v>
      </c>
      <c r="T3980">
        <v>240</v>
      </c>
      <c r="U3980">
        <v>180</v>
      </c>
      <c r="V3980" t="s">
        <v>58</v>
      </c>
      <c r="W3980" t="s">
        <v>59</v>
      </c>
      <c r="X3980" t="s">
        <v>60</v>
      </c>
      <c r="Y3980" t="s">
        <v>5536</v>
      </c>
      <c r="AF3980" t="s">
        <v>189</v>
      </c>
      <c r="AI3980" t="s">
        <v>15009</v>
      </c>
      <c r="AL3980" t="s">
        <v>638</v>
      </c>
      <c r="AM3980">
        <v>1</v>
      </c>
      <c r="AN3980" s="2"/>
    </row>
    <row r="3981" spans="1:40" x14ac:dyDescent="0.3">
      <c r="A3981" t="s">
        <v>18752</v>
      </c>
      <c r="B3981" t="s">
        <v>1</v>
      </c>
      <c r="C3981" t="s">
        <v>18753</v>
      </c>
      <c r="D3981" t="s">
        <v>18754</v>
      </c>
      <c r="E3981" t="s">
        <v>18755</v>
      </c>
      <c r="F3981" t="s">
        <v>5</v>
      </c>
      <c r="G3981" t="s">
        <v>6</v>
      </c>
      <c r="L3981" t="s">
        <v>7</v>
      </c>
      <c r="M3981">
        <v>2024</v>
      </c>
      <c r="N3981" s="1">
        <v>45626</v>
      </c>
      <c r="O3981" t="s">
        <v>3631</v>
      </c>
      <c r="P3981">
        <v>1</v>
      </c>
      <c r="S3981">
        <v>226.95</v>
      </c>
      <c r="T3981">
        <v>260</v>
      </c>
      <c r="U3981">
        <v>200</v>
      </c>
      <c r="V3981" t="s">
        <v>79</v>
      </c>
      <c r="W3981" t="s">
        <v>16641</v>
      </c>
      <c r="X3981" t="s">
        <v>16642</v>
      </c>
      <c r="Y3981" t="s">
        <v>16643</v>
      </c>
      <c r="AF3981" t="s">
        <v>13</v>
      </c>
      <c r="AH3981" t="str">
        <f>HYPERLINK("http://www.degruyter.com/isbn/9781399539753")</f>
        <v>http://www.degruyter.com/isbn/9781399539753</v>
      </c>
      <c r="AI3981" t="s">
        <v>17444</v>
      </c>
      <c r="AL3981" t="s">
        <v>638</v>
      </c>
      <c r="AM3981">
        <v>1</v>
      </c>
      <c r="AN3981" s="2"/>
    </row>
    <row r="3982" spans="1:40" x14ac:dyDescent="0.3">
      <c r="A3982" t="s">
        <v>18756</v>
      </c>
      <c r="B3982" t="s">
        <v>1</v>
      </c>
      <c r="C3982" t="s">
        <v>18757</v>
      </c>
      <c r="E3982" t="s">
        <v>18758</v>
      </c>
      <c r="F3982" t="s">
        <v>5</v>
      </c>
      <c r="G3982" t="s">
        <v>6</v>
      </c>
      <c r="L3982" t="s">
        <v>7</v>
      </c>
      <c r="M3982">
        <v>2025</v>
      </c>
      <c r="N3982" s="1">
        <v>45657</v>
      </c>
      <c r="O3982" t="s">
        <v>18759</v>
      </c>
      <c r="P3982">
        <v>1</v>
      </c>
      <c r="Q3982" t="s">
        <v>14065</v>
      </c>
      <c r="S3982">
        <v>217.95</v>
      </c>
      <c r="T3982">
        <v>250</v>
      </c>
      <c r="U3982">
        <v>190</v>
      </c>
      <c r="V3982" t="s">
        <v>42</v>
      </c>
      <c r="W3982" t="s">
        <v>107</v>
      </c>
      <c r="X3982" t="s">
        <v>108</v>
      </c>
      <c r="Y3982" t="s">
        <v>221</v>
      </c>
      <c r="AF3982" t="s">
        <v>13</v>
      </c>
      <c r="AH3982" t="str">
        <f>HYPERLINK("http://www.degruyter.com/isbn/9781399527248")</f>
        <v>http://www.degruyter.com/isbn/9781399527248</v>
      </c>
      <c r="AI3982" t="s">
        <v>18497</v>
      </c>
      <c r="AL3982" t="s">
        <v>638</v>
      </c>
      <c r="AM3982">
        <v>1</v>
      </c>
      <c r="AN3982" s="2"/>
    </row>
    <row r="3983" spans="1:40" x14ac:dyDescent="0.3">
      <c r="A3983" t="s">
        <v>18760</v>
      </c>
      <c r="B3983" t="s">
        <v>1</v>
      </c>
      <c r="C3983" t="s">
        <v>18761</v>
      </c>
      <c r="D3983" t="s">
        <v>18762</v>
      </c>
      <c r="E3983" t="s">
        <v>18763</v>
      </c>
      <c r="F3983" t="s">
        <v>5</v>
      </c>
      <c r="G3983" t="s">
        <v>6</v>
      </c>
      <c r="K3983" t="s">
        <v>18524</v>
      </c>
      <c r="L3983" t="s">
        <v>7</v>
      </c>
      <c r="M3983">
        <v>2025</v>
      </c>
      <c r="N3983" s="1">
        <v>45657</v>
      </c>
      <c r="O3983" t="s">
        <v>18764</v>
      </c>
      <c r="P3983">
        <v>1</v>
      </c>
      <c r="Q3983" t="s">
        <v>18765</v>
      </c>
      <c r="V3983" t="s">
        <v>58</v>
      </c>
      <c r="W3983" t="s">
        <v>59</v>
      </c>
      <c r="X3983" t="s">
        <v>15207</v>
      </c>
      <c r="Y3983" t="s">
        <v>17819</v>
      </c>
      <c r="AF3983" t="s">
        <v>13</v>
      </c>
      <c r="AH3983" t="str">
        <f>HYPERLINK("http://www.degruyter.com/isbn/9781399526524")</f>
        <v>http://www.degruyter.com/isbn/9781399526524</v>
      </c>
      <c r="AI3983" t="s">
        <v>18766</v>
      </c>
      <c r="AL3983" t="s">
        <v>638</v>
      </c>
      <c r="AM3983">
        <v>1</v>
      </c>
      <c r="AN3983" s="2"/>
    </row>
    <row r="3984" spans="1:40" x14ac:dyDescent="0.3">
      <c r="A3984" t="s">
        <v>18767</v>
      </c>
      <c r="B3984" t="s">
        <v>1</v>
      </c>
      <c r="C3984" t="s">
        <v>18768</v>
      </c>
      <c r="D3984" t="s">
        <v>18769</v>
      </c>
      <c r="E3984" t="s">
        <v>18770</v>
      </c>
      <c r="F3984" t="s">
        <v>5</v>
      </c>
      <c r="G3984" t="s">
        <v>6</v>
      </c>
      <c r="L3984" t="s">
        <v>7</v>
      </c>
      <c r="M3984">
        <v>2025</v>
      </c>
      <c r="N3984" s="1">
        <v>45657</v>
      </c>
      <c r="O3984" t="s">
        <v>18771</v>
      </c>
      <c r="P3984">
        <v>1</v>
      </c>
      <c r="S3984">
        <v>208.95</v>
      </c>
      <c r="T3984">
        <v>240</v>
      </c>
      <c r="U3984">
        <v>180</v>
      </c>
      <c r="V3984" t="s">
        <v>42</v>
      </c>
      <c r="W3984" t="s">
        <v>107</v>
      </c>
      <c r="X3984" t="s">
        <v>108</v>
      </c>
      <c r="Y3984" t="s">
        <v>2244</v>
      </c>
      <c r="AF3984" t="s">
        <v>13</v>
      </c>
      <c r="AH3984" t="str">
        <f>HYPERLINK("http://www.degruyter.com/isbn/9781399502283")</f>
        <v>http://www.degruyter.com/isbn/9781399502283</v>
      </c>
      <c r="AI3984" t="s">
        <v>18497</v>
      </c>
      <c r="AL3984" t="s">
        <v>638</v>
      </c>
      <c r="AM3984">
        <v>1</v>
      </c>
      <c r="AN3984" s="2"/>
    </row>
    <row r="3985" spans="1:40" x14ac:dyDescent="0.3">
      <c r="A3985" t="s">
        <v>18772</v>
      </c>
      <c r="B3985" t="s">
        <v>1</v>
      </c>
      <c r="C3985" t="s">
        <v>18773</v>
      </c>
      <c r="D3985" t="s">
        <v>18774</v>
      </c>
      <c r="E3985" t="s">
        <v>18775</v>
      </c>
      <c r="F3985" t="s">
        <v>5</v>
      </c>
      <c r="G3985" t="s">
        <v>6</v>
      </c>
      <c r="L3985" t="s">
        <v>7</v>
      </c>
      <c r="M3985">
        <v>2025</v>
      </c>
      <c r="N3985" s="1">
        <v>45686</v>
      </c>
      <c r="O3985" t="s">
        <v>18776</v>
      </c>
      <c r="P3985">
        <v>1</v>
      </c>
      <c r="Q3985" t="s">
        <v>8391</v>
      </c>
      <c r="S3985">
        <v>226.95</v>
      </c>
      <c r="T3985">
        <v>260</v>
      </c>
      <c r="U3985">
        <v>200</v>
      </c>
      <c r="V3985" t="s">
        <v>98</v>
      </c>
      <c r="W3985" t="s">
        <v>18777</v>
      </c>
      <c r="X3985" t="s">
        <v>18778</v>
      </c>
      <c r="Y3985" t="s">
        <v>18779</v>
      </c>
      <c r="AF3985" t="s">
        <v>13</v>
      </c>
      <c r="AH3985" t="str">
        <f>HYPERLINK("http://www.degruyter.com/isbn/9781474429115")</f>
        <v>http://www.degruyter.com/isbn/9781474429115</v>
      </c>
      <c r="AI3985" t="s">
        <v>15009</v>
      </c>
      <c r="AL3985" t="s">
        <v>638</v>
      </c>
      <c r="AM3985">
        <v>1</v>
      </c>
      <c r="AN3985" s="2"/>
    </row>
    <row r="3986" spans="1:40" x14ac:dyDescent="0.3">
      <c r="A3986" t="s">
        <v>18780</v>
      </c>
      <c r="B3986" t="s">
        <v>1</v>
      </c>
      <c r="C3986" t="s">
        <v>18781</v>
      </c>
      <c r="D3986" t="s">
        <v>18782</v>
      </c>
      <c r="E3986" t="s">
        <v>18783</v>
      </c>
      <c r="F3986" t="s">
        <v>5</v>
      </c>
      <c r="G3986" t="s">
        <v>6</v>
      </c>
      <c r="L3986" t="s">
        <v>7</v>
      </c>
      <c r="M3986">
        <v>2025</v>
      </c>
      <c r="N3986" s="1">
        <v>45716</v>
      </c>
      <c r="O3986" t="s">
        <v>18784</v>
      </c>
      <c r="P3986">
        <v>1</v>
      </c>
      <c r="S3986">
        <v>208.95</v>
      </c>
      <c r="T3986">
        <v>240</v>
      </c>
      <c r="U3986">
        <v>180</v>
      </c>
      <c r="V3986" t="s">
        <v>79</v>
      </c>
      <c r="W3986" t="s">
        <v>123</v>
      </c>
      <c r="X3986" t="s">
        <v>123</v>
      </c>
      <c r="Y3986" t="s">
        <v>124</v>
      </c>
      <c r="AF3986" t="s">
        <v>189</v>
      </c>
      <c r="AI3986" t="s">
        <v>15009</v>
      </c>
      <c r="AL3986" t="s">
        <v>638</v>
      </c>
      <c r="AM3986">
        <v>1</v>
      </c>
      <c r="AN3986" s="2"/>
    </row>
    <row r="3987" spans="1:40" x14ac:dyDescent="0.3">
      <c r="A3987" t="s">
        <v>18785</v>
      </c>
      <c r="B3987" t="s">
        <v>1</v>
      </c>
      <c r="C3987" t="s">
        <v>18786</v>
      </c>
      <c r="E3987" t="s">
        <v>18787</v>
      </c>
      <c r="F3987" t="s">
        <v>5</v>
      </c>
      <c r="G3987" t="s">
        <v>6</v>
      </c>
      <c r="L3987" t="s">
        <v>7</v>
      </c>
      <c r="M3987">
        <v>2024</v>
      </c>
      <c r="N3987" s="1">
        <v>45657</v>
      </c>
      <c r="O3987" t="s">
        <v>18788</v>
      </c>
      <c r="P3987">
        <v>1</v>
      </c>
      <c r="Q3987" t="s">
        <v>14000</v>
      </c>
      <c r="S3987">
        <v>226.95</v>
      </c>
      <c r="T3987">
        <v>260</v>
      </c>
      <c r="U3987">
        <v>200</v>
      </c>
      <c r="V3987" t="s">
        <v>42</v>
      </c>
      <c r="W3987" t="s">
        <v>107</v>
      </c>
      <c r="X3987" t="s">
        <v>108</v>
      </c>
      <c r="Y3987" t="s">
        <v>952</v>
      </c>
      <c r="AF3987" t="s">
        <v>13</v>
      </c>
      <c r="AH3987" t="str">
        <f>HYPERLINK("http://www.degruyter.com/isbn/9781399513944")</f>
        <v>http://www.degruyter.com/isbn/9781399513944</v>
      </c>
      <c r="AI3987" t="s">
        <v>17450</v>
      </c>
      <c r="AL3987" t="s">
        <v>638</v>
      </c>
      <c r="AM3987">
        <v>1</v>
      </c>
      <c r="AN3987" s="2"/>
    </row>
    <row r="3988" spans="1:40" x14ac:dyDescent="0.3">
      <c r="A3988" t="s">
        <v>18789</v>
      </c>
      <c r="B3988" t="s">
        <v>1</v>
      </c>
      <c r="C3988" t="s">
        <v>18790</v>
      </c>
      <c r="D3988" t="s">
        <v>18791</v>
      </c>
      <c r="E3988" t="s">
        <v>18792</v>
      </c>
      <c r="F3988" t="s">
        <v>5</v>
      </c>
      <c r="G3988" t="s">
        <v>6</v>
      </c>
      <c r="L3988" t="s">
        <v>7</v>
      </c>
      <c r="M3988">
        <v>2024</v>
      </c>
      <c r="N3988" s="1">
        <v>45626</v>
      </c>
      <c r="O3988" t="s">
        <v>13902</v>
      </c>
      <c r="P3988">
        <v>1</v>
      </c>
      <c r="Q3988" t="s">
        <v>6829</v>
      </c>
      <c r="S3988">
        <v>208.95</v>
      </c>
      <c r="T3988">
        <v>240</v>
      </c>
      <c r="U3988">
        <v>180</v>
      </c>
      <c r="V3988" t="s">
        <v>9</v>
      </c>
      <c r="W3988" t="s">
        <v>10</v>
      </c>
      <c r="X3988" t="s">
        <v>596</v>
      </c>
      <c r="Y3988" t="s">
        <v>2473</v>
      </c>
      <c r="AF3988" t="s">
        <v>13</v>
      </c>
      <c r="AH3988" t="str">
        <f>HYPERLINK("http://www.degruyter.com/isbn/9781399512923")</f>
        <v>http://www.degruyter.com/isbn/9781399512923</v>
      </c>
      <c r="AI3988" t="s">
        <v>17506</v>
      </c>
      <c r="AL3988" t="s">
        <v>638</v>
      </c>
      <c r="AM3988">
        <v>1</v>
      </c>
      <c r="AN3988" s="2"/>
    </row>
    <row r="3989" spans="1:40" x14ac:dyDescent="0.3">
      <c r="A3989" t="s">
        <v>18793</v>
      </c>
      <c r="B3989" t="s">
        <v>1</v>
      </c>
      <c r="C3989" t="s">
        <v>18794</v>
      </c>
      <c r="D3989" t="s">
        <v>18795</v>
      </c>
      <c r="E3989" t="s">
        <v>18796</v>
      </c>
      <c r="F3989" t="s">
        <v>5</v>
      </c>
      <c r="G3989" t="s">
        <v>6</v>
      </c>
      <c r="L3989" t="s">
        <v>7</v>
      </c>
      <c r="M3989">
        <v>2025</v>
      </c>
      <c r="N3989" s="1">
        <v>45657</v>
      </c>
      <c r="O3989" t="s">
        <v>18797</v>
      </c>
      <c r="P3989">
        <v>1</v>
      </c>
      <c r="Q3989" t="s">
        <v>7283</v>
      </c>
      <c r="S3989">
        <v>217.95</v>
      </c>
      <c r="T3989">
        <v>250</v>
      </c>
      <c r="U3989">
        <v>190</v>
      </c>
      <c r="V3989" t="s">
        <v>9</v>
      </c>
      <c r="W3989" t="s">
        <v>10</v>
      </c>
      <c r="X3989" t="s">
        <v>11</v>
      </c>
      <c r="Y3989" t="s">
        <v>12</v>
      </c>
      <c r="AF3989" t="s">
        <v>13</v>
      </c>
      <c r="AH3989" t="str">
        <f>HYPERLINK("http://www.degruyter.com/isbn/9781399536554")</f>
        <v>http://www.degruyter.com/isbn/9781399536554</v>
      </c>
      <c r="AI3989" t="s">
        <v>18329</v>
      </c>
      <c r="AL3989" t="s">
        <v>638</v>
      </c>
      <c r="AM3989">
        <v>1</v>
      </c>
      <c r="AN3989" s="2"/>
    </row>
    <row r="3990" spans="1:40" x14ac:dyDescent="0.3">
      <c r="A3990" t="s">
        <v>18798</v>
      </c>
      <c r="B3990" t="s">
        <v>1</v>
      </c>
      <c r="C3990" t="s">
        <v>18799</v>
      </c>
      <c r="E3990" t="s">
        <v>18800</v>
      </c>
      <c r="F3990" t="s">
        <v>5</v>
      </c>
      <c r="G3990" t="s">
        <v>6</v>
      </c>
      <c r="L3990" t="s">
        <v>7</v>
      </c>
      <c r="M3990">
        <v>2025</v>
      </c>
      <c r="N3990" s="1">
        <v>45716</v>
      </c>
      <c r="O3990" t="s">
        <v>18801</v>
      </c>
      <c r="P3990">
        <v>1</v>
      </c>
      <c r="Q3990" t="s">
        <v>7728</v>
      </c>
      <c r="S3990">
        <v>208.95</v>
      </c>
      <c r="T3990">
        <v>240</v>
      </c>
      <c r="U3990">
        <v>180</v>
      </c>
      <c r="V3990" t="s">
        <v>42</v>
      </c>
      <c r="W3990" t="s">
        <v>116</v>
      </c>
      <c r="X3990" t="s">
        <v>116</v>
      </c>
      <c r="Y3990" t="s">
        <v>18452</v>
      </c>
      <c r="AF3990" t="s">
        <v>189</v>
      </c>
      <c r="AI3990" t="s">
        <v>15009</v>
      </c>
      <c r="AL3990" t="s">
        <v>638</v>
      </c>
      <c r="AM3990">
        <v>1</v>
      </c>
      <c r="AN3990" s="2"/>
    </row>
    <row r="3991" spans="1:40" x14ac:dyDescent="0.3">
      <c r="A3991" t="s">
        <v>18802</v>
      </c>
      <c r="B3991" t="s">
        <v>1</v>
      </c>
      <c r="C3991" t="s">
        <v>18803</v>
      </c>
      <c r="D3991" t="s">
        <v>18804</v>
      </c>
      <c r="E3991" t="s">
        <v>18805</v>
      </c>
      <c r="F3991" t="s">
        <v>5</v>
      </c>
      <c r="G3991" t="s">
        <v>6</v>
      </c>
      <c r="L3991" t="s">
        <v>7</v>
      </c>
      <c r="M3991">
        <v>2025</v>
      </c>
      <c r="N3991" s="1">
        <v>45657</v>
      </c>
      <c r="O3991" t="s">
        <v>18806</v>
      </c>
      <c r="P3991">
        <v>1</v>
      </c>
      <c r="S3991">
        <v>217.95</v>
      </c>
      <c r="T3991">
        <v>250</v>
      </c>
      <c r="U3991">
        <v>190</v>
      </c>
      <c r="V3991" t="s">
        <v>58</v>
      </c>
      <c r="W3991" t="s">
        <v>59</v>
      </c>
      <c r="X3991" t="s">
        <v>60</v>
      </c>
      <c r="Y3991" t="s">
        <v>5149</v>
      </c>
      <c r="AF3991" t="s">
        <v>13</v>
      </c>
      <c r="AH3991" t="str">
        <f>HYPERLINK("http://www.degruyter.com/isbn/9781399528221")</f>
        <v>http://www.degruyter.com/isbn/9781399528221</v>
      </c>
      <c r="AI3991" t="s">
        <v>18766</v>
      </c>
      <c r="AL3991" t="s">
        <v>638</v>
      </c>
      <c r="AM3991">
        <v>1</v>
      </c>
      <c r="AN3991" s="2"/>
    </row>
    <row r="3992" spans="1:40" x14ac:dyDescent="0.3">
      <c r="A3992" t="s">
        <v>18807</v>
      </c>
      <c r="B3992" t="s">
        <v>1</v>
      </c>
      <c r="C3992" t="s">
        <v>18808</v>
      </c>
      <c r="E3992" t="s">
        <v>18809</v>
      </c>
      <c r="F3992" t="s">
        <v>5</v>
      </c>
      <c r="G3992" t="s">
        <v>6</v>
      </c>
      <c r="L3992" t="s">
        <v>7</v>
      </c>
      <c r="M3992">
        <v>2025</v>
      </c>
      <c r="N3992" s="1">
        <v>45716</v>
      </c>
      <c r="O3992" t="s">
        <v>18810</v>
      </c>
      <c r="P3992">
        <v>1</v>
      </c>
      <c r="S3992">
        <v>208.95</v>
      </c>
      <c r="T3992">
        <v>240</v>
      </c>
      <c r="U3992">
        <v>180</v>
      </c>
      <c r="V3992" t="s">
        <v>20</v>
      </c>
      <c r="W3992" t="s">
        <v>21</v>
      </c>
      <c r="X3992" t="s">
        <v>22</v>
      </c>
      <c r="Y3992" t="s">
        <v>23</v>
      </c>
      <c r="AF3992" t="s">
        <v>189</v>
      </c>
      <c r="AI3992" t="s">
        <v>15009</v>
      </c>
      <c r="AL3992" t="s">
        <v>638</v>
      </c>
      <c r="AM3992">
        <v>1</v>
      </c>
      <c r="AN3992" s="2"/>
    </row>
    <row r="3993" spans="1:40" x14ac:dyDescent="0.3">
      <c r="A3993" t="s">
        <v>18811</v>
      </c>
      <c r="B3993" t="s">
        <v>1</v>
      </c>
      <c r="C3993" t="s">
        <v>18812</v>
      </c>
      <c r="D3993" t="s">
        <v>18813</v>
      </c>
      <c r="E3993" t="s">
        <v>18814</v>
      </c>
      <c r="F3993" t="s">
        <v>5</v>
      </c>
      <c r="G3993" t="s">
        <v>6</v>
      </c>
      <c r="L3993" t="s">
        <v>7</v>
      </c>
      <c r="M3993">
        <v>2025</v>
      </c>
      <c r="N3993" s="1">
        <v>45716</v>
      </c>
      <c r="O3993" t="s">
        <v>18815</v>
      </c>
      <c r="P3993">
        <v>1</v>
      </c>
      <c r="Q3993" t="s">
        <v>8883</v>
      </c>
      <c r="S3993">
        <v>226.95</v>
      </c>
      <c r="T3993">
        <v>260</v>
      </c>
      <c r="U3993">
        <v>200</v>
      </c>
      <c r="V3993" t="s">
        <v>79</v>
      </c>
      <c r="W3993" t="s">
        <v>16641</v>
      </c>
      <c r="X3993" t="s">
        <v>16642</v>
      </c>
      <c r="Y3993" t="s">
        <v>16643</v>
      </c>
      <c r="AF3993" t="s">
        <v>189</v>
      </c>
      <c r="AI3993" t="s">
        <v>15009</v>
      </c>
      <c r="AL3993" t="s">
        <v>638</v>
      </c>
      <c r="AM3993">
        <v>1</v>
      </c>
      <c r="AN3993" s="2"/>
    </row>
    <row r="3994" spans="1:40" x14ac:dyDescent="0.3">
      <c r="A3994" t="s">
        <v>18816</v>
      </c>
      <c r="B3994" t="s">
        <v>1</v>
      </c>
      <c r="C3994" t="s">
        <v>18817</v>
      </c>
      <c r="D3994" t="s">
        <v>18818</v>
      </c>
      <c r="E3994" t="s">
        <v>18819</v>
      </c>
      <c r="F3994" t="s">
        <v>5</v>
      </c>
      <c r="G3994" t="s">
        <v>6</v>
      </c>
      <c r="L3994" t="s">
        <v>7</v>
      </c>
      <c r="M3994">
        <v>2025</v>
      </c>
      <c r="N3994" s="1">
        <v>45686</v>
      </c>
      <c r="O3994" t="s">
        <v>18820</v>
      </c>
      <c r="P3994">
        <v>1</v>
      </c>
      <c r="S3994">
        <v>339.95</v>
      </c>
      <c r="T3994">
        <v>390</v>
      </c>
      <c r="U3994">
        <v>300</v>
      </c>
      <c r="V3994" t="s">
        <v>42</v>
      </c>
      <c r="W3994" t="s">
        <v>107</v>
      </c>
      <c r="X3994" t="s">
        <v>108</v>
      </c>
      <c r="Y3994" t="s">
        <v>221</v>
      </c>
      <c r="AF3994" t="s">
        <v>13</v>
      </c>
      <c r="AH3994" t="str">
        <f>HYPERLINK("http://www.degruyter.com/isbn/9781399536233")</f>
        <v>http://www.degruyter.com/isbn/9781399536233</v>
      </c>
      <c r="AI3994" t="s">
        <v>15009</v>
      </c>
      <c r="AL3994" t="s">
        <v>638</v>
      </c>
      <c r="AM3994">
        <v>1</v>
      </c>
      <c r="AN3994" s="2"/>
    </row>
    <row r="3995" spans="1:40" x14ac:dyDescent="0.3">
      <c r="A3995" t="s">
        <v>18821</v>
      </c>
      <c r="B3995" t="s">
        <v>1</v>
      </c>
      <c r="C3995" t="s">
        <v>18822</v>
      </c>
      <c r="D3995" t="s">
        <v>18823</v>
      </c>
      <c r="E3995" t="s">
        <v>18246</v>
      </c>
      <c r="F3995" t="s">
        <v>5</v>
      </c>
      <c r="G3995" t="s">
        <v>6</v>
      </c>
      <c r="L3995" t="s">
        <v>7</v>
      </c>
      <c r="M3995">
        <v>2025</v>
      </c>
      <c r="N3995" s="1">
        <v>45716</v>
      </c>
      <c r="O3995" t="s">
        <v>18824</v>
      </c>
      <c r="P3995">
        <v>1</v>
      </c>
      <c r="Q3995" t="s">
        <v>18248</v>
      </c>
      <c r="S3995">
        <v>417.95</v>
      </c>
      <c r="T3995">
        <v>480</v>
      </c>
      <c r="U3995">
        <v>370</v>
      </c>
      <c r="V3995" t="s">
        <v>42</v>
      </c>
      <c r="W3995" t="s">
        <v>116</v>
      </c>
      <c r="X3995" t="s">
        <v>116</v>
      </c>
      <c r="Y3995" t="s">
        <v>9177</v>
      </c>
      <c r="AF3995" t="s">
        <v>189</v>
      </c>
      <c r="AI3995" t="s">
        <v>15009</v>
      </c>
      <c r="AL3995" t="s">
        <v>638</v>
      </c>
      <c r="AM3995">
        <v>1</v>
      </c>
      <c r="AN3995" s="2"/>
    </row>
    <row r="3996" spans="1:40" x14ac:dyDescent="0.3">
      <c r="A3996" t="s">
        <v>18825</v>
      </c>
      <c r="B3996" t="s">
        <v>1</v>
      </c>
      <c r="C3996" t="s">
        <v>18826</v>
      </c>
      <c r="E3996" t="s">
        <v>18827</v>
      </c>
      <c r="F3996" t="s">
        <v>5</v>
      </c>
      <c r="G3996" t="s">
        <v>6</v>
      </c>
      <c r="L3996" t="s">
        <v>7</v>
      </c>
      <c r="M3996">
        <v>2025</v>
      </c>
      <c r="N3996" s="1">
        <v>45626</v>
      </c>
      <c r="O3996" t="s">
        <v>7013</v>
      </c>
      <c r="P3996">
        <v>1</v>
      </c>
      <c r="S3996">
        <v>208.95</v>
      </c>
      <c r="T3996">
        <v>240</v>
      </c>
      <c r="U3996">
        <v>180</v>
      </c>
      <c r="V3996" t="s">
        <v>42</v>
      </c>
      <c r="W3996" t="s">
        <v>116</v>
      </c>
      <c r="X3996" t="s">
        <v>116</v>
      </c>
      <c r="Y3996" t="s">
        <v>810</v>
      </c>
      <c r="AF3996" t="s">
        <v>13</v>
      </c>
      <c r="AH3996" t="str">
        <f>HYPERLINK("http://www.degruyter.com/isbn/9781399538398")</f>
        <v>http://www.degruyter.com/isbn/9781399538398</v>
      </c>
      <c r="AI3996" t="s">
        <v>18725</v>
      </c>
      <c r="AL3996" t="s">
        <v>638</v>
      </c>
      <c r="AM3996">
        <v>1</v>
      </c>
      <c r="AN3996" s="2"/>
    </row>
    <row r="3997" spans="1:40" x14ac:dyDescent="0.3">
      <c r="A3997" t="s">
        <v>18828</v>
      </c>
      <c r="B3997" t="s">
        <v>1</v>
      </c>
      <c r="C3997" t="s">
        <v>17309</v>
      </c>
      <c r="D3997" t="s">
        <v>17104</v>
      </c>
      <c r="E3997" t="s">
        <v>17310</v>
      </c>
      <c r="F3997" t="s">
        <v>5</v>
      </c>
      <c r="G3997" t="s">
        <v>6</v>
      </c>
      <c r="L3997" t="s">
        <v>7</v>
      </c>
      <c r="M3997">
        <v>2025</v>
      </c>
      <c r="N3997" s="1">
        <v>45686</v>
      </c>
      <c r="O3997" t="s">
        <v>18829</v>
      </c>
      <c r="P3997">
        <v>2</v>
      </c>
      <c r="Q3997" t="s">
        <v>10773</v>
      </c>
      <c r="S3997">
        <v>191.95</v>
      </c>
      <c r="T3997">
        <v>220</v>
      </c>
      <c r="U3997">
        <v>170</v>
      </c>
      <c r="V3997" t="s">
        <v>268</v>
      </c>
      <c r="W3997" t="s">
        <v>705</v>
      </c>
      <c r="X3997" t="s">
        <v>18830</v>
      </c>
      <c r="Y3997" t="s">
        <v>12528</v>
      </c>
      <c r="AF3997" t="s">
        <v>13</v>
      </c>
      <c r="AH3997" t="str">
        <f>HYPERLINK("http://www.degruyter.com/isbn/9781399535991")</f>
        <v>http://www.degruyter.com/isbn/9781399535991</v>
      </c>
      <c r="AI3997" t="s">
        <v>15009</v>
      </c>
      <c r="AL3997" t="s">
        <v>638</v>
      </c>
      <c r="AM3997">
        <v>1</v>
      </c>
      <c r="AN3997" s="2"/>
    </row>
    <row r="3998" spans="1:40" x14ac:dyDescent="0.3">
      <c r="A3998" t="s">
        <v>18831</v>
      </c>
      <c r="B3998" t="s">
        <v>1</v>
      </c>
      <c r="C3998" t="s">
        <v>18832</v>
      </c>
      <c r="D3998" t="s">
        <v>18833</v>
      </c>
      <c r="E3998" t="s">
        <v>18834</v>
      </c>
      <c r="F3998" t="s">
        <v>5</v>
      </c>
      <c r="G3998" t="s">
        <v>6</v>
      </c>
      <c r="L3998" t="s">
        <v>7</v>
      </c>
      <c r="M3998">
        <v>2025</v>
      </c>
      <c r="N3998" s="1">
        <v>45716</v>
      </c>
      <c r="O3998" t="s">
        <v>18835</v>
      </c>
      <c r="P3998">
        <v>1</v>
      </c>
      <c r="Q3998" t="s">
        <v>14688</v>
      </c>
      <c r="S3998">
        <v>217.95</v>
      </c>
      <c r="T3998">
        <v>250</v>
      </c>
      <c r="U3998">
        <v>190</v>
      </c>
      <c r="V3998" t="s">
        <v>58</v>
      </c>
      <c r="W3998" t="s">
        <v>59</v>
      </c>
      <c r="X3998" t="s">
        <v>60</v>
      </c>
      <c r="Y3998" t="s">
        <v>5149</v>
      </c>
      <c r="AF3998" t="s">
        <v>189</v>
      </c>
      <c r="AI3998" t="s">
        <v>15009</v>
      </c>
      <c r="AL3998" t="s">
        <v>638</v>
      </c>
      <c r="AM3998">
        <v>1</v>
      </c>
      <c r="AN3998" s="2"/>
    </row>
    <row r="3999" spans="1:40" x14ac:dyDescent="0.3">
      <c r="A3999" t="s">
        <v>18836</v>
      </c>
      <c r="B3999" t="s">
        <v>1</v>
      </c>
      <c r="C3999" t="s">
        <v>18837</v>
      </c>
      <c r="D3999" t="s">
        <v>18838</v>
      </c>
      <c r="E3999" t="s">
        <v>18839</v>
      </c>
      <c r="F3999" t="s">
        <v>5</v>
      </c>
      <c r="G3999" t="s">
        <v>6</v>
      </c>
      <c r="L3999" t="s">
        <v>7</v>
      </c>
      <c r="M3999">
        <v>2025</v>
      </c>
      <c r="N3999" s="1">
        <v>45686</v>
      </c>
      <c r="O3999" t="s">
        <v>18840</v>
      </c>
      <c r="P3999">
        <v>1</v>
      </c>
      <c r="Q3999" t="s">
        <v>7919</v>
      </c>
      <c r="S3999">
        <v>208.95</v>
      </c>
      <c r="T3999">
        <v>240</v>
      </c>
      <c r="U3999">
        <v>180</v>
      </c>
      <c r="V3999" t="s">
        <v>79</v>
      </c>
      <c r="W3999" t="s">
        <v>16641</v>
      </c>
      <c r="X3999" t="s">
        <v>16642</v>
      </c>
      <c r="Y3999" t="s">
        <v>16643</v>
      </c>
      <c r="AF3999" t="s">
        <v>13</v>
      </c>
      <c r="AH3999" t="str">
        <f>HYPERLINK("http://www.degruyter.com/isbn/9781399531559")</f>
        <v>http://www.degruyter.com/isbn/9781399531559</v>
      </c>
      <c r="AI3999" t="s">
        <v>15009</v>
      </c>
      <c r="AL3999" t="s">
        <v>638</v>
      </c>
      <c r="AM3999">
        <v>1</v>
      </c>
      <c r="AN3999" s="2"/>
    </row>
    <row r="4000" spans="1:40" x14ac:dyDescent="0.3">
      <c r="A4000" t="s">
        <v>18841</v>
      </c>
      <c r="B4000" t="s">
        <v>1</v>
      </c>
      <c r="C4000" t="s">
        <v>18842</v>
      </c>
      <c r="D4000" t="s">
        <v>18843</v>
      </c>
      <c r="E4000" t="s">
        <v>18844</v>
      </c>
      <c r="F4000" t="s">
        <v>5</v>
      </c>
      <c r="G4000" t="s">
        <v>6</v>
      </c>
      <c r="L4000" t="s">
        <v>7</v>
      </c>
      <c r="M4000">
        <v>2025</v>
      </c>
      <c r="N4000" s="1">
        <v>45716</v>
      </c>
      <c r="O4000" t="s">
        <v>18845</v>
      </c>
      <c r="P4000">
        <v>1</v>
      </c>
      <c r="Q4000" t="s">
        <v>12961</v>
      </c>
      <c r="S4000">
        <v>208.95</v>
      </c>
      <c r="T4000">
        <v>240</v>
      </c>
      <c r="U4000">
        <v>180</v>
      </c>
      <c r="V4000" t="s">
        <v>20</v>
      </c>
      <c r="W4000" t="s">
        <v>21</v>
      </c>
      <c r="X4000" t="s">
        <v>839</v>
      </c>
      <c r="Y4000" t="s">
        <v>840</v>
      </c>
      <c r="AF4000" t="s">
        <v>189</v>
      </c>
      <c r="AI4000" t="s">
        <v>15009</v>
      </c>
      <c r="AL4000" t="s">
        <v>638</v>
      </c>
      <c r="AM4000">
        <v>1</v>
      </c>
      <c r="AN4000" s="2"/>
    </row>
    <row r="4001" spans="1:40" x14ac:dyDescent="0.3">
      <c r="A4001" t="s">
        <v>18846</v>
      </c>
      <c r="B4001" t="s">
        <v>1</v>
      </c>
      <c r="C4001" t="s">
        <v>18847</v>
      </c>
      <c r="E4001" t="s">
        <v>18848</v>
      </c>
      <c r="F4001" t="s">
        <v>5</v>
      </c>
      <c r="G4001" t="s">
        <v>6</v>
      </c>
      <c r="L4001" t="s">
        <v>7</v>
      </c>
      <c r="M4001">
        <v>2025</v>
      </c>
      <c r="N4001" s="1">
        <v>45626</v>
      </c>
      <c r="O4001" t="s">
        <v>18849</v>
      </c>
      <c r="P4001">
        <v>1</v>
      </c>
      <c r="Q4001" t="s">
        <v>13309</v>
      </c>
      <c r="S4001">
        <v>339.95</v>
      </c>
      <c r="T4001">
        <v>390</v>
      </c>
      <c r="U4001">
        <v>300</v>
      </c>
      <c r="V4001" t="s">
        <v>42</v>
      </c>
      <c r="W4001" t="s">
        <v>107</v>
      </c>
      <c r="X4001" t="s">
        <v>108</v>
      </c>
      <c r="Y4001" t="s">
        <v>109</v>
      </c>
      <c r="AF4001" t="s">
        <v>13</v>
      </c>
      <c r="AH4001" t="str">
        <f>HYPERLINK("http://www.degruyter.com/isbn/9781399524810")</f>
        <v>http://www.degruyter.com/isbn/9781399524810</v>
      </c>
      <c r="AI4001" t="s">
        <v>18497</v>
      </c>
      <c r="AL4001" t="s">
        <v>638</v>
      </c>
      <c r="AM4001">
        <v>1</v>
      </c>
      <c r="AN4001" s="2"/>
    </row>
    <row r="4002" spans="1:40" x14ac:dyDescent="0.3">
      <c r="A4002" t="s">
        <v>18850</v>
      </c>
      <c r="B4002" t="s">
        <v>1</v>
      </c>
      <c r="C4002" t="s">
        <v>18851</v>
      </c>
      <c r="E4002" t="s">
        <v>18852</v>
      </c>
      <c r="F4002" t="s">
        <v>5</v>
      </c>
      <c r="G4002" t="s">
        <v>6</v>
      </c>
      <c r="L4002" t="s">
        <v>7</v>
      </c>
      <c r="M4002">
        <v>2025</v>
      </c>
      <c r="N4002" s="1">
        <v>45693</v>
      </c>
      <c r="O4002" t="s">
        <v>18853</v>
      </c>
      <c r="P4002">
        <v>1</v>
      </c>
      <c r="S4002">
        <v>217.95</v>
      </c>
      <c r="T4002">
        <v>250</v>
      </c>
      <c r="U4002">
        <v>190</v>
      </c>
      <c r="V4002" t="s">
        <v>42</v>
      </c>
      <c r="W4002" t="s">
        <v>161</v>
      </c>
      <c r="X4002" t="s">
        <v>4261</v>
      </c>
      <c r="Y4002" t="s">
        <v>393</v>
      </c>
      <c r="AF4002" t="s">
        <v>13</v>
      </c>
      <c r="AH4002" t="str">
        <f>HYPERLINK("http://www.degruyter.com/isbn/9781399533225")</f>
        <v>http://www.degruyter.com/isbn/9781399533225</v>
      </c>
      <c r="AI4002" t="s">
        <v>18646</v>
      </c>
      <c r="AL4002" t="s">
        <v>638</v>
      </c>
      <c r="AM4002">
        <v>1</v>
      </c>
      <c r="AN4002" s="2"/>
    </row>
    <row r="4003" spans="1:40" x14ac:dyDescent="0.3">
      <c r="A4003" t="s">
        <v>18854</v>
      </c>
      <c r="B4003" t="s">
        <v>1</v>
      </c>
      <c r="C4003" t="s">
        <v>18855</v>
      </c>
      <c r="D4003" t="s">
        <v>18856</v>
      </c>
      <c r="E4003" t="s">
        <v>18857</v>
      </c>
      <c r="F4003" t="s">
        <v>5</v>
      </c>
      <c r="G4003" t="s">
        <v>6</v>
      </c>
      <c r="L4003" t="s">
        <v>7</v>
      </c>
      <c r="M4003">
        <v>2024</v>
      </c>
      <c r="N4003" s="1">
        <v>45626</v>
      </c>
      <c r="O4003" t="s">
        <v>18858</v>
      </c>
      <c r="P4003">
        <v>1</v>
      </c>
      <c r="S4003">
        <v>208.95</v>
      </c>
      <c r="T4003">
        <v>240</v>
      </c>
      <c r="U4003">
        <v>180</v>
      </c>
      <c r="V4003" t="s">
        <v>20</v>
      </c>
      <c r="W4003" t="s">
        <v>556</v>
      </c>
      <c r="X4003" t="s">
        <v>16242</v>
      </c>
      <c r="Y4003" t="s">
        <v>16243</v>
      </c>
      <c r="AF4003" t="s">
        <v>13</v>
      </c>
      <c r="AH4003" t="str">
        <f>HYPERLINK("http://www.degruyter.com/isbn/9781399537834")</f>
        <v>http://www.degruyter.com/isbn/9781399537834</v>
      </c>
      <c r="AI4003" t="s">
        <v>17576</v>
      </c>
      <c r="AL4003" t="s">
        <v>638</v>
      </c>
      <c r="AM4003">
        <v>1</v>
      </c>
      <c r="AN4003" s="2"/>
    </row>
    <row r="4004" spans="1:40" x14ac:dyDescent="0.3">
      <c r="A4004" t="s">
        <v>18859</v>
      </c>
      <c r="B4004" t="s">
        <v>1</v>
      </c>
      <c r="C4004" t="s">
        <v>18860</v>
      </c>
      <c r="D4004" t="s">
        <v>18861</v>
      </c>
      <c r="E4004" t="s">
        <v>18862</v>
      </c>
      <c r="F4004" t="s">
        <v>5</v>
      </c>
      <c r="G4004" t="s">
        <v>6</v>
      </c>
      <c r="L4004" t="s">
        <v>7</v>
      </c>
      <c r="M4004">
        <v>2025</v>
      </c>
      <c r="N4004" s="1">
        <v>45626</v>
      </c>
      <c r="O4004" t="s">
        <v>3639</v>
      </c>
      <c r="P4004">
        <v>1</v>
      </c>
      <c r="S4004">
        <v>208.95</v>
      </c>
      <c r="T4004">
        <v>240</v>
      </c>
      <c r="U4004">
        <v>180</v>
      </c>
      <c r="V4004" t="s">
        <v>42</v>
      </c>
      <c r="W4004" t="s">
        <v>43</v>
      </c>
      <c r="X4004" t="s">
        <v>178</v>
      </c>
      <c r="Y4004" t="s">
        <v>3750</v>
      </c>
      <c r="AF4004" t="s">
        <v>13</v>
      </c>
      <c r="AH4004" t="str">
        <f>HYPERLINK("http://www.degruyter.com/isbn/9781474475747")</f>
        <v>http://www.degruyter.com/isbn/9781474475747</v>
      </c>
      <c r="AI4004" t="s">
        <v>18497</v>
      </c>
      <c r="AL4004" t="s">
        <v>638</v>
      </c>
      <c r="AM4004">
        <v>1</v>
      </c>
      <c r="AN4004" s="2"/>
    </row>
    <row r="4005" spans="1:40" x14ac:dyDescent="0.3">
      <c r="A4005" t="s">
        <v>18863</v>
      </c>
      <c r="B4005" t="s">
        <v>1</v>
      </c>
      <c r="C4005" t="s">
        <v>18864</v>
      </c>
      <c r="D4005" t="s">
        <v>18865</v>
      </c>
      <c r="E4005" t="s">
        <v>18866</v>
      </c>
      <c r="F4005" t="s">
        <v>5</v>
      </c>
      <c r="G4005" t="s">
        <v>6</v>
      </c>
      <c r="L4005" t="s">
        <v>7</v>
      </c>
      <c r="M4005">
        <v>2025</v>
      </c>
      <c r="N4005" s="1">
        <v>45626</v>
      </c>
      <c r="O4005" t="s">
        <v>18867</v>
      </c>
      <c r="P4005">
        <v>1</v>
      </c>
      <c r="Q4005" t="s">
        <v>15503</v>
      </c>
      <c r="S4005">
        <v>217.95</v>
      </c>
      <c r="T4005">
        <v>250</v>
      </c>
      <c r="U4005">
        <v>190</v>
      </c>
      <c r="V4005" t="s">
        <v>42</v>
      </c>
      <c r="W4005" t="s">
        <v>116</v>
      </c>
      <c r="X4005" t="s">
        <v>116</v>
      </c>
      <c r="Y4005" t="s">
        <v>11160</v>
      </c>
      <c r="AF4005" t="s">
        <v>13</v>
      </c>
      <c r="AH4005" t="str">
        <f>HYPERLINK("http://www.degruyter.com/isbn/9781399531085")</f>
        <v>http://www.degruyter.com/isbn/9781399531085</v>
      </c>
      <c r="AI4005" t="s">
        <v>18497</v>
      </c>
      <c r="AL4005" t="s">
        <v>638</v>
      </c>
      <c r="AM4005">
        <v>1</v>
      </c>
      <c r="AN4005" s="2"/>
    </row>
    <row r="4006" spans="1:40" x14ac:dyDescent="0.3">
      <c r="A4006" t="s">
        <v>18868</v>
      </c>
      <c r="B4006" t="s">
        <v>1</v>
      </c>
      <c r="C4006" t="s">
        <v>18869</v>
      </c>
      <c r="D4006" t="s">
        <v>18870</v>
      </c>
      <c r="E4006" t="s">
        <v>18871</v>
      </c>
      <c r="F4006" t="s">
        <v>5</v>
      </c>
      <c r="G4006" t="s">
        <v>6</v>
      </c>
      <c r="K4006" t="s">
        <v>18080</v>
      </c>
      <c r="L4006" t="s">
        <v>7</v>
      </c>
      <c r="M4006">
        <v>2025</v>
      </c>
      <c r="N4006" s="1">
        <v>45657</v>
      </c>
      <c r="O4006" t="s">
        <v>18872</v>
      </c>
      <c r="P4006">
        <v>1</v>
      </c>
      <c r="Q4006" t="s">
        <v>13672</v>
      </c>
      <c r="V4006" t="s">
        <v>187</v>
      </c>
      <c r="W4006" t="s">
        <v>187</v>
      </c>
      <c r="X4006" t="s">
        <v>187</v>
      </c>
      <c r="Y4006" t="s">
        <v>2493</v>
      </c>
      <c r="AF4006" t="s">
        <v>13</v>
      </c>
      <c r="AH4006" t="str">
        <f>HYPERLINK("http://www.degruyter.com/isbn/9781474491648")</f>
        <v>http://www.degruyter.com/isbn/9781474491648</v>
      </c>
      <c r="AI4006" t="s">
        <v>18873</v>
      </c>
      <c r="AL4006" t="s">
        <v>638</v>
      </c>
      <c r="AM4006">
        <v>1</v>
      </c>
      <c r="AN4006" s="2"/>
    </row>
    <row r="4007" spans="1:40" x14ac:dyDescent="0.3">
      <c r="A4007" t="s">
        <v>18874</v>
      </c>
      <c r="B4007" t="s">
        <v>1</v>
      </c>
      <c r="C4007" t="s">
        <v>18875</v>
      </c>
      <c r="D4007" t="s">
        <v>18876</v>
      </c>
      <c r="E4007" t="s">
        <v>18877</v>
      </c>
      <c r="F4007" t="s">
        <v>5</v>
      </c>
      <c r="G4007" t="s">
        <v>6</v>
      </c>
      <c r="L4007" t="s">
        <v>7</v>
      </c>
      <c r="M4007">
        <v>2025</v>
      </c>
      <c r="N4007" s="1">
        <v>45686</v>
      </c>
      <c r="O4007" t="s">
        <v>18878</v>
      </c>
      <c r="P4007">
        <v>1</v>
      </c>
      <c r="Q4007" t="s">
        <v>15661</v>
      </c>
      <c r="S4007">
        <v>217.95</v>
      </c>
      <c r="T4007">
        <v>250</v>
      </c>
      <c r="U4007">
        <v>190</v>
      </c>
      <c r="V4007" t="s">
        <v>42</v>
      </c>
      <c r="W4007" t="s">
        <v>107</v>
      </c>
      <c r="X4007" t="s">
        <v>108</v>
      </c>
      <c r="Y4007" t="s">
        <v>109</v>
      </c>
      <c r="AF4007" t="s">
        <v>13</v>
      </c>
      <c r="AH4007" t="str">
        <f>HYPERLINK("http://www.degruyter.com/isbn/9781474460354")</f>
        <v>http://www.degruyter.com/isbn/9781474460354</v>
      </c>
      <c r="AI4007" t="s">
        <v>15009</v>
      </c>
      <c r="AL4007" t="s">
        <v>638</v>
      </c>
      <c r="AM4007">
        <v>1</v>
      </c>
      <c r="AN4007" s="2"/>
    </row>
    <row r="4008" spans="1:40" x14ac:dyDescent="0.3">
      <c r="A4008" t="s">
        <v>18879</v>
      </c>
      <c r="B4008" t="s">
        <v>1</v>
      </c>
      <c r="C4008" t="s">
        <v>18880</v>
      </c>
      <c r="E4008" t="s">
        <v>18881</v>
      </c>
      <c r="F4008" t="s">
        <v>5</v>
      </c>
      <c r="G4008" t="s">
        <v>6</v>
      </c>
      <c r="L4008" t="s">
        <v>7</v>
      </c>
      <c r="M4008">
        <v>2025</v>
      </c>
      <c r="N4008" s="1">
        <v>45693</v>
      </c>
      <c r="O4008" t="s">
        <v>18882</v>
      </c>
      <c r="P4008">
        <v>1</v>
      </c>
      <c r="S4008">
        <v>208.95</v>
      </c>
      <c r="T4008">
        <v>240</v>
      </c>
      <c r="U4008">
        <v>180</v>
      </c>
      <c r="V4008" t="s">
        <v>58</v>
      </c>
      <c r="W4008" t="s">
        <v>59</v>
      </c>
      <c r="X4008" t="s">
        <v>60</v>
      </c>
      <c r="Y4008" t="s">
        <v>16628</v>
      </c>
      <c r="AF4008" t="s">
        <v>13</v>
      </c>
      <c r="AH4008" t="str">
        <f>HYPERLINK("http://www.degruyter.com/isbn/9781399502160")</f>
        <v>http://www.degruyter.com/isbn/9781399502160</v>
      </c>
      <c r="AI4008" t="s">
        <v>15009</v>
      </c>
      <c r="AL4008" t="s">
        <v>638</v>
      </c>
      <c r="AM4008">
        <v>1</v>
      </c>
      <c r="AN4008" s="2"/>
    </row>
    <row r="4009" spans="1:40" x14ac:dyDescent="0.3">
      <c r="A4009" t="s">
        <v>18883</v>
      </c>
      <c r="B4009" t="s">
        <v>1</v>
      </c>
      <c r="C4009" t="s">
        <v>18884</v>
      </c>
      <c r="D4009" t="s">
        <v>18885</v>
      </c>
      <c r="E4009" t="s">
        <v>18886</v>
      </c>
      <c r="F4009" t="s">
        <v>5</v>
      </c>
      <c r="G4009" t="s">
        <v>6</v>
      </c>
      <c r="L4009" t="s">
        <v>7</v>
      </c>
      <c r="M4009">
        <v>2025</v>
      </c>
      <c r="N4009" s="1">
        <v>45716</v>
      </c>
      <c r="O4009" t="s">
        <v>18887</v>
      </c>
      <c r="P4009">
        <v>1</v>
      </c>
      <c r="Q4009" t="s">
        <v>8096</v>
      </c>
      <c r="S4009">
        <v>208.95</v>
      </c>
      <c r="T4009">
        <v>240</v>
      </c>
      <c r="U4009">
        <v>180</v>
      </c>
      <c r="V4009" t="s">
        <v>42</v>
      </c>
      <c r="W4009" t="s">
        <v>107</v>
      </c>
      <c r="X4009" t="s">
        <v>108</v>
      </c>
      <c r="Y4009" t="s">
        <v>221</v>
      </c>
      <c r="AF4009" t="s">
        <v>189</v>
      </c>
      <c r="AI4009" t="s">
        <v>15009</v>
      </c>
      <c r="AL4009" t="s">
        <v>638</v>
      </c>
      <c r="AM4009">
        <v>1</v>
      </c>
      <c r="AN4009" s="2"/>
    </row>
    <row r="4010" spans="1:40" x14ac:dyDescent="0.3">
      <c r="A4010" t="s">
        <v>18888</v>
      </c>
      <c r="B4010" t="s">
        <v>1</v>
      </c>
      <c r="C4010" t="s">
        <v>18889</v>
      </c>
      <c r="D4010" t="s">
        <v>18890</v>
      </c>
      <c r="E4010" t="s">
        <v>18891</v>
      </c>
      <c r="F4010" t="s">
        <v>5</v>
      </c>
      <c r="G4010" t="s">
        <v>6</v>
      </c>
      <c r="L4010" t="s">
        <v>7</v>
      </c>
      <c r="M4010">
        <v>2025</v>
      </c>
      <c r="N4010" s="1">
        <v>45716</v>
      </c>
      <c r="O4010" t="s">
        <v>194</v>
      </c>
      <c r="P4010">
        <v>1</v>
      </c>
      <c r="S4010">
        <v>208.95</v>
      </c>
      <c r="T4010">
        <v>240</v>
      </c>
      <c r="U4010">
        <v>180</v>
      </c>
      <c r="V4010" t="s">
        <v>9</v>
      </c>
      <c r="W4010" t="s">
        <v>10</v>
      </c>
      <c r="X4010" t="s">
        <v>11</v>
      </c>
      <c r="Y4010" t="s">
        <v>12</v>
      </c>
      <c r="AF4010" t="s">
        <v>189</v>
      </c>
      <c r="AI4010" t="s">
        <v>15009</v>
      </c>
      <c r="AL4010" t="s">
        <v>638</v>
      </c>
      <c r="AM4010">
        <v>1</v>
      </c>
      <c r="AN4010" s="2"/>
    </row>
    <row r="4011" spans="1:40" x14ac:dyDescent="0.3">
      <c r="A4011" t="s">
        <v>18892</v>
      </c>
      <c r="B4011" t="s">
        <v>1</v>
      </c>
      <c r="C4011" t="s">
        <v>18893</v>
      </c>
      <c r="E4011" t="s">
        <v>18894</v>
      </c>
      <c r="F4011" t="s">
        <v>5</v>
      </c>
      <c r="G4011" t="s">
        <v>6</v>
      </c>
      <c r="L4011" t="s">
        <v>7</v>
      </c>
      <c r="M4011">
        <v>2025</v>
      </c>
      <c r="N4011" s="1">
        <v>45716</v>
      </c>
      <c r="O4011" t="s">
        <v>18895</v>
      </c>
      <c r="P4011">
        <v>1</v>
      </c>
      <c r="Q4011" t="s">
        <v>7919</v>
      </c>
      <c r="S4011">
        <v>217.95</v>
      </c>
      <c r="T4011">
        <v>250</v>
      </c>
      <c r="U4011">
        <v>190</v>
      </c>
      <c r="V4011" t="s">
        <v>79</v>
      </c>
      <c r="W4011" t="s">
        <v>16641</v>
      </c>
      <c r="X4011" t="s">
        <v>16642</v>
      </c>
      <c r="Y4011" t="s">
        <v>16643</v>
      </c>
      <c r="AF4011" t="s">
        <v>189</v>
      </c>
      <c r="AI4011" t="s">
        <v>15009</v>
      </c>
      <c r="AL4011" t="s">
        <v>638</v>
      </c>
      <c r="AM4011">
        <v>1</v>
      </c>
      <c r="AN4011" s="2"/>
    </row>
    <row r="4012" spans="1:40" x14ac:dyDescent="0.3">
      <c r="A4012" t="s">
        <v>18896</v>
      </c>
      <c r="B4012" t="s">
        <v>1</v>
      </c>
      <c r="C4012" t="s">
        <v>18897</v>
      </c>
      <c r="D4012" t="s">
        <v>18898</v>
      </c>
      <c r="E4012" t="s">
        <v>18899</v>
      </c>
      <c r="F4012" t="s">
        <v>5</v>
      </c>
      <c r="G4012" t="s">
        <v>6</v>
      </c>
      <c r="L4012" t="s">
        <v>7</v>
      </c>
      <c r="M4012">
        <v>2025</v>
      </c>
      <c r="N4012" s="1">
        <v>45657</v>
      </c>
      <c r="O4012" t="s">
        <v>18900</v>
      </c>
      <c r="P4012">
        <v>1</v>
      </c>
      <c r="Q4012" t="s">
        <v>9604</v>
      </c>
      <c r="S4012">
        <v>208.95</v>
      </c>
      <c r="T4012">
        <v>240</v>
      </c>
      <c r="U4012">
        <v>180</v>
      </c>
      <c r="V4012" t="s">
        <v>58</v>
      </c>
      <c r="W4012" t="s">
        <v>59</v>
      </c>
      <c r="X4012" t="s">
        <v>60</v>
      </c>
      <c r="Y4012" t="s">
        <v>18901</v>
      </c>
      <c r="AF4012" t="s">
        <v>13</v>
      </c>
      <c r="AH4012" t="str">
        <f>HYPERLINK("http://www.degruyter.com/isbn/9781399531917")</f>
        <v>http://www.degruyter.com/isbn/9781399531917</v>
      </c>
      <c r="AI4012" t="s">
        <v>18766</v>
      </c>
      <c r="AL4012" t="s">
        <v>638</v>
      </c>
      <c r="AM4012">
        <v>1</v>
      </c>
      <c r="AN4012" s="2"/>
    </row>
    <row r="4013" spans="1:40" x14ac:dyDescent="0.3">
      <c r="A4013" t="s">
        <v>18902</v>
      </c>
      <c r="B4013" t="s">
        <v>1</v>
      </c>
      <c r="C4013" t="s">
        <v>18903</v>
      </c>
      <c r="D4013" t="s">
        <v>18904</v>
      </c>
      <c r="E4013" t="s">
        <v>18905</v>
      </c>
      <c r="F4013" t="s">
        <v>5</v>
      </c>
      <c r="G4013" t="s">
        <v>6</v>
      </c>
      <c r="L4013" t="s">
        <v>7</v>
      </c>
      <c r="M4013">
        <v>2024</v>
      </c>
      <c r="N4013" s="1">
        <v>45626</v>
      </c>
      <c r="O4013" t="s">
        <v>18906</v>
      </c>
      <c r="P4013">
        <v>1</v>
      </c>
      <c r="Q4013" t="s">
        <v>6779</v>
      </c>
      <c r="S4013">
        <v>208.95</v>
      </c>
      <c r="T4013">
        <v>240</v>
      </c>
      <c r="U4013">
        <v>180</v>
      </c>
      <c r="V4013" t="s">
        <v>9</v>
      </c>
      <c r="W4013" t="s">
        <v>10</v>
      </c>
      <c r="X4013" t="s">
        <v>11</v>
      </c>
      <c r="Y4013" t="s">
        <v>12</v>
      </c>
      <c r="AF4013" t="s">
        <v>13</v>
      </c>
      <c r="AH4013" t="str">
        <f>HYPERLINK("http://www.degruyter.com/isbn/9781399527903")</f>
        <v>http://www.degruyter.com/isbn/9781399527903</v>
      </c>
      <c r="AI4013" t="s">
        <v>17506</v>
      </c>
      <c r="AL4013" t="s">
        <v>638</v>
      </c>
      <c r="AM4013">
        <v>1</v>
      </c>
      <c r="AN4013" s="2"/>
    </row>
    <row r="4014" spans="1:40" x14ac:dyDescent="0.3">
      <c r="A4014" t="s">
        <v>18907</v>
      </c>
      <c r="B4014" t="s">
        <v>1</v>
      </c>
      <c r="C4014" t="s">
        <v>18908</v>
      </c>
      <c r="E4014" t="s">
        <v>18909</v>
      </c>
      <c r="F4014" t="s">
        <v>5</v>
      </c>
      <c r="G4014" t="s">
        <v>6</v>
      </c>
      <c r="L4014" t="s">
        <v>7</v>
      </c>
      <c r="M4014">
        <v>2025</v>
      </c>
      <c r="N4014" s="1">
        <v>45626</v>
      </c>
      <c r="O4014" t="s">
        <v>18910</v>
      </c>
      <c r="P4014">
        <v>1</v>
      </c>
      <c r="Q4014" t="s">
        <v>9162</v>
      </c>
      <c r="S4014">
        <v>208.95</v>
      </c>
      <c r="T4014">
        <v>240</v>
      </c>
      <c r="U4014">
        <v>180</v>
      </c>
      <c r="V4014" t="s">
        <v>42</v>
      </c>
      <c r="W4014" t="s">
        <v>107</v>
      </c>
      <c r="X4014" t="s">
        <v>108</v>
      </c>
      <c r="Y4014" t="s">
        <v>952</v>
      </c>
      <c r="AF4014" t="s">
        <v>13</v>
      </c>
      <c r="AH4014" t="str">
        <f>HYPERLINK("http://www.degruyter.com/isbn/9781474443623")</f>
        <v>http://www.degruyter.com/isbn/9781474443623</v>
      </c>
      <c r="AI4014" t="s">
        <v>18497</v>
      </c>
      <c r="AL4014" t="s">
        <v>638</v>
      </c>
      <c r="AM4014">
        <v>1</v>
      </c>
      <c r="AN4014" s="2"/>
    </row>
    <row r="4015" spans="1:40" x14ac:dyDescent="0.3">
      <c r="A4015" t="s">
        <v>18911</v>
      </c>
      <c r="B4015" t="s">
        <v>1</v>
      </c>
      <c r="C4015" t="s">
        <v>18912</v>
      </c>
      <c r="E4015" t="s">
        <v>18913</v>
      </c>
      <c r="F4015" t="s">
        <v>5</v>
      </c>
      <c r="G4015" t="s">
        <v>6</v>
      </c>
      <c r="L4015" t="s">
        <v>7</v>
      </c>
      <c r="M4015">
        <v>2025</v>
      </c>
      <c r="N4015" s="1">
        <v>45626</v>
      </c>
      <c r="O4015" t="s">
        <v>18914</v>
      </c>
      <c r="P4015">
        <v>1</v>
      </c>
      <c r="S4015">
        <v>208.95</v>
      </c>
      <c r="T4015">
        <v>240</v>
      </c>
      <c r="U4015">
        <v>180</v>
      </c>
      <c r="V4015" t="s">
        <v>42</v>
      </c>
      <c r="W4015" t="s">
        <v>116</v>
      </c>
      <c r="X4015" t="s">
        <v>116</v>
      </c>
      <c r="Y4015" t="s">
        <v>5610</v>
      </c>
      <c r="AF4015" t="s">
        <v>13</v>
      </c>
      <c r="AH4015" t="str">
        <f>HYPERLINK("http://www.degruyter.com/isbn/9781399535670")</f>
        <v>http://www.degruyter.com/isbn/9781399535670</v>
      </c>
      <c r="AI4015" t="s">
        <v>18497</v>
      </c>
      <c r="AL4015" t="s">
        <v>638</v>
      </c>
      <c r="AM4015">
        <v>1</v>
      </c>
      <c r="AN4015" s="2"/>
    </row>
    <row r="4016" spans="1:40" x14ac:dyDescent="0.3">
      <c r="A4016" t="s">
        <v>18915</v>
      </c>
      <c r="B4016" t="s">
        <v>1</v>
      </c>
      <c r="C4016" t="s">
        <v>18916</v>
      </c>
      <c r="E4016" t="s">
        <v>18917</v>
      </c>
      <c r="F4016" t="s">
        <v>5</v>
      </c>
      <c r="G4016" t="s">
        <v>6</v>
      </c>
      <c r="L4016" t="s">
        <v>7</v>
      </c>
      <c r="M4016">
        <v>2025</v>
      </c>
      <c r="N4016" s="1">
        <v>45657</v>
      </c>
      <c r="O4016" t="s">
        <v>18918</v>
      </c>
      <c r="P4016">
        <v>1</v>
      </c>
      <c r="S4016">
        <v>208.95</v>
      </c>
      <c r="T4016">
        <v>240</v>
      </c>
      <c r="U4016">
        <v>180</v>
      </c>
      <c r="V4016" t="s">
        <v>20</v>
      </c>
      <c r="W4016" t="s">
        <v>18919</v>
      </c>
      <c r="X4016" t="s">
        <v>18920</v>
      </c>
      <c r="Y4016" t="s">
        <v>3169</v>
      </c>
      <c r="AF4016" t="s">
        <v>13</v>
      </c>
      <c r="AH4016" t="str">
        <f>HYPERLINK("http://www.degruyter.com/isbn/9781399531795")</f>
        <v>http://www.degruyter.com/isbn/9781399531795</v>
      </c>
      <c r="AI4016" t="s">
        <v>18396</v>
      </c>
      <c r="AL4016" t="s">
        <v>638</v>
      </c>
      <c r="AM4016">
        <v>1</v>
      </c>
      <c r="AN4016" s="2"/>
    </row>
    <row r="4017" spans="1:40" x14ac:dyDescent="0.3">
      <c r="A4017" t="s">
        <v>18921</v>
      </c>
      <c r="B4017" t="s">
        <v>1</v>
      </c>
      <c r="C4017" t="s">
        <v>18922</v>
      </c>
      <c r="E4017" t="s">
        <v>18923</v>
      </c>
      <c r="F4017" t="s">
        <v>5</v>
      </c>
      <c r="G4017" t="s">
        <v>6</v>
      </c>
      <c r="L4017" t="s">
        <v>7</v>
      </c>
      <c r="M4017">
        <v>2024</v>
      </c>
      <c r="N4017" s="1">
        <v>45626</v>
      </c>
      <c r="O4017" t="s">
        <v>18924</v>
      </c>
      <c r="P4017">
        <v>1</v>
      </c>
      <c r="Q4017" t="s">
        <v>6622</v>
      </c>
      <c r="S4017">
        <v>226.95</v>
      </c>
      <c r="T4017">
        <v>260</v>
      </c>
      <c r="U4017">
        <v>200</v>
      </c>
      <c r="V4017" t="s">
        <v>79</v>
      </c>
      <c r="W4017" t="s">
        <v>227</v>
      </c>
      <c r="X4017" t="s">
        <v>3926</v>
      </c>
      <c r="Y4017" t="s">
        <v>699</v>
      </c>
      <c r="AF4017" t="s">
        <v>13</v>
      </c>
      <c r="AH4017" t="str">
        <f>HYPERLINK("http://www.degruyter.com/isbn/9781399526005")</f>
        <v>http://www.degruyter.com/isbn/9781399526005</v>
      </c>
      <c r="AI4017" t="s">
        <v>17444</v>
      </c>
      <c r="AL4017" t="s">
        <v>638</v>
      </c>
      <c r="AM4017">
        <v>1</v>
      </c>
      <c r="AN4017" s="2"/>
    </row>
    <row r="4018" spans="1:40" x14ac:dyDescent="0.3">
      <c r="A4018" t="s">
        <v>18925</v>
      </c>
      <c r="B4018" t="s">
        <v>1</v>
      </c>
      <c r="C4018" t="s">
        <v>18926</v>
      </c>
      <c r="D4018" t="s">
        <v>18927</v>
      </c>
      <c r="E4018" t="s">
        <v>18928</v>
      </c>
      <c r="F4018" t="s">
        <v>5</v>
      </c>
      <c r="G4018" t="s">
        <v>6</v>
      </c>
      <c r="K4018" t="s">
        <v>4259</v>
      </c>
      <c r="L4018" t="s">
        <v>7</v>
      </c>
      <c r="M4018">
        <v>2022</v>
      </c>
      <c r="N4018" s="1">
        <v>44566</v>
      </c>
      <c r="O4018" t="s">
        <v>18929</v>
      </c>
      <c r="P4018">
        <v>1</v>
      </c>
      <c r="V4018" t="s">
        <v>20</v>
      </c>
      <c r="W4018" t="s">
        <v>21</v>
      </c>
      <c r="X4018" t="s">
        <v>458</v>
      </c>
      <c r="Y4018" t="s">
        <v>459</v>
      </c>
      <c r="AF4018" t="s">
        <v>13</v>
      </c>
      <c r="AH4018" t="str">
        <f>HYPERLINK("http://www.degruyter.com/isbn/9781474487986")</f>
        <v>http://www.degruyter.com/isbn/9781474487986</v>
      </c>
      <c r="AI4018" t="s">
        <v>15374</v>
      </c>
      <c r="AM4018">
        <v>1</v>
      </c>
      <c r="AN4018" s="2"/>
    </row>
    <row r="4019" spans="1:40" x14ac:dyDescent="0.3">
      <c r="A4019" t="s">
        <v>18930</v>
      </c>
      <c r="B4019" t="s">
        <v>1</v>
      </c>
      <c r="C4019" t="s">
        <v>18931</v>
      </c>
      <c r="D4019" t="s">
        <v>18932</v>
      </c>
      <c r="E4019" t="s">
        <v>18933</v>
      </c>
      <c r="F4019" t="s">
        <v>5</v>
      </c>
      <c r="G4019" t="s">
        <v>6</v>
      </c>
      <c r="K4019" t="s">
        <v>18080</v>
      </c>
      <c r="L4019" t="s">
        <v>7</v>
      </c>
      <c r="M4019">
        <v>2025</v>
      </c>
      <c r="N4019" s="1">
        <v>45657</v>
      </c>
      <c r="O4019" t="s">
        <v>18934</v>
      </c>
      <c r="P4019">
        <v>1</v>
      </c>
      <c r="Q4019" t="s">
        <v>13460</v>
      </c>
      <c r="V4019" t="s">
        <v>20</v>
      </c>
      <c r="W4019" t="s">
        <v>21</v>
      </c>
      <c r="X4019" t="s">
        <v>458</v>
      </c>
      <c r="Y4019" t="s">
        <v>459</v>
      </c>
      <c r="AF4019" t="s">
        <v>13</v>
      </c>
      <c r="AH4019" t="str">
        <f>HYPERLINK("http://www.degruyter.com/isbn/9781399530200")</f>
        <v>http://www.degruyter.com/isbn/9781399530200</v>
      </c>
      <c r="AI4019" t="s">
        <v>18526</v>
      </c>
      <c r="AL4019" t="s">
        <v>638</v>
      </c>
      <c r="AM4019">
        <v>1</v>
      </c>
      <c r="AN4019" s="2"/>
    </row>
    <row r="4020" spans="1:40" x14ac:dyDescent="0.3">
      <c r="A4020" t="s">
        <v>18935</v>
      </c>
      <c r="B4020" t="s">
        <v>1</v>
      </c>
      <c r="C4020" t="s">
        <v>18936</v>
      </c>
      <c r="D4020" t="s">
        <v>18937</v>
      </c>
      <c r="E4020" t="s">
        <v>18938</v>
      </c>
      <c r="F4020" t="s">
        <v>5</v>
      </c>
      <c r="G4020" t="s">
        <v>6</v>
      </c>
      <c r="L4020" t="s">
        <v>7</v>
      </c>
      <c r="M4020">
        <v>2025</v>
      </c>
      <c r="N4020" s="1">
        <v>45747</v>
      </c>
      <c r="O4020" t="s">
        <v>18939</v>
      </c>
      <c r="P4020">
        <v>1</v>
      </c>
      <c r="S4020">
        <v>208.95</v>
      </c>
      <c r="T4020">
        <v>240</v>
      </c>
      <c r="U4020">
        <v>180</v>
      </c>
      <c r="V4020" t="s">
        <v>42</v>
      </c>
      <c r="W4020" t="s">
        <v>107</v>
      </c>
      <c r="X4020" t="s">
        <v>108</v>
      </c>
      <c r="Y4020" t="s">
        <v>109</v>
      </c>
      <c r="AF4020" t="s">
        <v>189</v>
      </c>
      <c r="AI4020" t="s">
        <v>15009</v>
      </c>
      <c r="AL4020" t="s">
        <v>638</v>
      </c>
      <c r="AM4020">
        <v>1</v>
      </c>
      <c r="AN4020" s="2"/>
    </row>
    <row r="4021" spans="1:40" x14ac:dyDescent="0.3">
      <c r="A4021" t="s">
        <v>18940</v>
      </c>
      <c r="B4021" t="s">
        <v>1</v>
      </c>
      <c r="C4021" t="s">
        <v>18941</v>
      </c>
      <c r="D4021" t="s">
        <v>18942</v>
      </c>
      <c r="E4021" t="s">
        <v>18943</v>
      </c>
      <c r="F4021" t="s">
        <v>5</v>
      </c>
      <c r="G4021" t="s">
        <v>6</v>
      </c>
      <c r="K4021" t="s">
        <v>18080</v>
      </c>
      <c r="L4021" t="s">
        <v>7</v>
      </c>
      <c r="M4021">
        <v>2025</v>
      </c>
      <c r="N4021" s="1">
        <v>45747</v>
      </c>
      <c r="O4021" t="s">
        <v>18944</v>
      </c>
      <c r="P4021">
        <v>1</v>
      </c>
      <c r="Q4021" t="s">
        <v>12630</v>
      </c>
      <c r="V4021" t="s">
        <v>329</v>
      </c>
      <c r="W4021" t="s">
        <v>330</v>
      </c>
      <c r="X4021" t="s">
        <v>331</v>
      </c>
      <c r="Y4021" t="s">
        <v>332</v>
      </c>
      <c r="AF4021" t="s">
        <v>189</v>
      </c>
      <c r="AI4021" t="s">
        <v>15009</v>
      </c>
      <c r="AL4021" t="s">
        <v>638</v>
      </c>
      <c r="AM4021">
        <v>1</v>
      </c>
      <c r="AN4021" s="2"/>
    </row>
    <row r="4022" spans="1:40" x14ac:dyDescent="0.3">
      <c r="A4022" t="s">
        <v>18945</v>
      </c>
      <c r="B4022" t="s">
        <v>1</v>
      </c>
      <c r="C4022" t="s">
        <v>18946</v>
      </c>
      <c r="D4022" t="s">
        <v>18947</v>
      </c>
      <c r="E4022" t="s">
        <v>18948</v>
      </c>
      <c r="F4022" t="s">
        <v>5</v>
      </c>
      <c r="G4022" t="s">
        <v>6</v>
      </c>
      <c r="L4022" t="s">
        <v>7</v>
      </c>
      <c r="M4022">
        <v>2025</v>
      </c>
      <c r="N4022" s="1">
        <v>45777</v>
      </c>
      <c r="O4022" t="s">
        <v>18949</v>
      </c>
      <c r="P4022">
        <v>1</v>
      </c>
      <c r="Q4022" t="s">
        <v>7919</v>
      </c>
      <c r="S4022">
        <v>208.95</v>
      </c>
      <c r="T4022">
        <v>240</v>
      </c>
      <c r="U4022">
        <v>180</v>
      </c>
      <c r="V4022" t="s">
        <v>79</v>
      </c>
      <c r="W4022" t="s">
        <v>227</v>
      </c>
      <c r="X4022" t="s">
        <v>2599</v>
      </c>
      <c r="Y4022" t="s">
        <v>2600</v>
      </c>
      <c r="AF4022" t="s">
        <v>189</v>
      </c>
      <c r="AI4022" t="s">
        <v>15009</v>
      </c>
      <c r="AL4022" t="s">
        <v>638</v>
      </c>
      <c r="AM4022">
        <v>1</v>
      </c>
      <c r="AN4022" s="2"/>
    </row>
    <row r="4023" spans="1:40" x14ac:dyDescent="0.3">
      <c r="A4023" t="s">
        <v>18950</v>
      </c>
      <c r="B4023" t="s">
        <v>1</v>
      </c>
      <c r="C4023" t="s">
        <v>18951</v>
      </c>
      <c r="D4023" t="s">
        <v>18952</v>
      </c>
      <c r="E4023" t="s">
        <v>18953</v>
      </c>
      <c r="F4023" t="s">
        <v>5</v>
      </c>
      <c r="G4023" t="s">
        <v>6</v>
      </c>
      <c r="L4023" t="s">
        <v>7</v>
      </c>
      <c r="M4023">
        <v>2025</v>
      </c>
      <c r="N4023" s="1">
        <v>45777</v>
      </c>
      <c r="O4023" t="s">
        <v>13089</v>
      </c>
      <c r="P4023">
        <v>1</v>
      </c>
      <c r="Q4023" t="s">
        <v>9122</v>
      </c>
      <c r="S4023">
        <v>400.95</v>
      </c>
      <c r="T4023">
        <v>460</v>
      </c>
      <c r="U4023">
        <v>350</v>
      </c>
      <c r="V4023" t="s">
        <v>847</v>
      </c>
      <c r="W4023" t="s">
        <v>3102</v>
      </c>
      <c r="X4023" t="s">
        <v>3102</v>
      </c>
      <c r="Y4023" t="s">
        <v>6188</v>
      </c>
      <c r="AF4023" t="s">
        <v>189</v>
      </c>
      <c r="AI4023" t="s">
        <v>15009</v>
      </c>
      <c r="AL4023" t="s">
        <v>638</v>
      </c>
      <c r="AM4023">
        <v>1</v>
      </c>
      <c r="AN4023" s="2"/>
    </row>
    <row r="4024" spans="1:40" x14ac:dyDescent="0.3">
      <c r="A4024" t="s">
        <v>18954</v>
      </c>
      <c r="B4024" t="s">
        <v>1</v>
      </c>
      <c r="C4024" t="s">
        <v>18955</v>
      </c>
      <c r="E4024" t="s">
        <v>18956</v>
      </c>
      <c r="F4024" t="s">
        <v>5</v>
      </c>
      <c r="G4024" t="s">
        <v>6</v>
      </c>
      <c r="L4024" t="s">
        <v>7</v>
      </c>
      <c r="M4024">
        <v>2025</v>
      </c>
      <c r="N4024" s="1">
        <v>45747</v>
      </c>
      <c r="O4024" t="s">
        <v>18957</v>
      </c>
      <c r="P4024">
        <v>1</v>
      </c>
      <c r="Q4024" t="s">
        <v>14060</v>
      </c>
      <c r="S4024">
        <v>208.95</v>
      </c>
      <c r="T4024">
        <v>240</v>
      </c>
      <c r="U4024">
        <v>180</v>
      </c>
      <c r="V4024" t="s">
        <v>98</v>
      </c>
      <c r="W4024" t="s">
        <v>99</v>
      </c>
      <c r="X4024" t="s">
        <v>2492</v>
      </c>
      <c r="Y4024" t="s">
        <v>2493</v>
      </c>
      <c r="AF4024" t="s">
        <v>189</v>
      </c>
      <c r="AI4024" t="s">
        <v>15009</v>
      </c>
      <c r="AL4024" t="s">
        <v>638</v>
      </c>
      <c r="AM4024">
        <v>1</v>
      </c>
      <c r="AN4024" s="2"/>
    </row>
    <row r="4025" spans="1:40" x14ac:dyDescent="0.3">
      <c r="A4025" t="s">
        <v>18958</v>
      </c>
      <c r="B4025" t="s">
        <v>1</v>
      </c>
      <c r="C4025" t="s">
        <v>18959</v>
      </c>
      <c r="D4025" t="s">
        <v>18960</v>
      </c>
      <c r="E4025" t="s">
        <v>18961</v>
      </c>
      <c r="F4025" t="s">
        <v>5</v>
      </c>
      <c r="G4025" t="s">
        <v>6</v>
      </c>
      <c r="L4025" t="s">
        <v>7</v>
      </c>
      <c r="M4025">
        <v>2025</v>
      </c>
      <c r="N4025" s="1">
        <v>45747</v>
      </c>
      <c r="O4025" t="s">
        <v>18962</v>
      </c>
      <c r="P4025">
        <v>1</v>
      </c>
      <c r="S4025">
        <v>173.95</v>
      </c>
      <c r="T4025">
        <v>200</v>
      </c>
      <c r="U4025">
        <v>150</v>
      </c>
      <c r="V4025" t="s">
        <v>42</v>
      </c>
      <c r="W4025" t="s">
        <v>107</v>
      </c>
      <c r="X4025" t="s">
        <v>108</v>
      </c>
      <c r="Y4025" t="s">
        <v>109</v>
      </c>
      <c r="AF4025" t="s">
        <v>189</v>
      </c>
      <c r="AI4025" t="s">
        <v>15009</v>
      </c>
      <c r="AL4025" t="s">
        <v>638</v>
      </c>
      <c r="AM4025">
        <v>1</v>
      </c>
      <c r="AN4025" s="2"/>
    </row>
    <row r="4026" spans="1:40" x14ac:dyDescent="0.3">
      <c r="A4026" t="s">
        <v>18963</v>
      </c>
      <c r="B4026" t="s">
        <v>1</v>
      </c>
      <c r="C4026" t="s">
        <v>18964</v>
      </c>
      <c r="D4026" t="s">
        <v>18965</v>
      </c>
      <c r="E4026" t="s">
        <v>18966</v>
      </c>
      <c r="F4026" t="s">
        <v>5</v>
      </c>
      <c r="G4026" t="s">
        <v>6</v>
      </c>
      <c r="L4026" t="s">
        <v>7</v>
      </c>
      <c r="M4026">
        <v>2025</v>
      </c>
      <c r="N4026" s="1">
        <v>45777</v>
      </c>
      <c r="O4026" t="s">
        <v>18967</v>
      </c>
      <c r="P4026">
        <v>1</v>
      </c>
      <c r="Q4026" t="s">
        <v>7019</v>
      </c>
      <c r="S4026">
        <v>217.95</v>
      </c>
      <c r="T4026">
        <v>250</v>
      </c>
      <c r="U4026">
        <v>190</v>
      </c>
      <c r="V4026" t="s">
        <v>42</v>
      </c>
      <c r="W4026" t="s">
        <v>116</v>
      </c>
      <c r="X4026" t="s">
        <v>116</v>
      </c>
      <c r="Y4026" t="s">
        <v>18968</v>
      </c>
      <c r="AF4026" t="s">
        <v>189</v>
      </c>
      <c r="AI4026" t="s">
        <v>15009</v>
      </c>
      <c r="AL4026" t="s">
        <v>638</v>
      </c>
      <c r="AM4026">
        <v>1</v>
      </c>
      <c r="AN4026" s="2"/>
    </row>
    <row r="4027" spans="1:40" x14ac:dyDescent="0.3">
      <c r="A4027" t="s">
        <v>18969</v>
      </c>
      <c r="B4027" t="s">
        <v>1</v>
      </c>
      <c r="C4027" t="s">
        <v>18970</v>
      </c>
      <c r="D4027" t="s">
        <v>18971</v>
      </c>
      <c r="E4027" t="s">
        <v>18972</v>
      </c>
      <c r="F4027" t="s">
        <v>5</v>
      </c>
      <c r="G4027" t="s">
        <v>6</v>
      </c>
      <c r="L4027" t="s">
        <v>7</v>
      </c>
      <c r="M4027">
        <v>2025</v>
      </c>
      <c r="N4027" s="1">
        <v>45775</v>
      </c>
      <c r="O4027" t="s">
        <v>15297</v>
      </c>
      <c r="P4027">
        <v>1</v>
      </c>
      <c r="S4027">
        <v>217.95</v>
      </c>
      <c r="T4027">
        <v>250</v>
      </c>
      <c r="U4027">
        <v>190</v>
      </c>
      <c r="V4027" t="s">
        <v>9</v>
      </c>
      <c r="W4027" t="s">
        <v>10</v>
      </c>
      <c r="X4027" t="s">
        <v>11</v>
      </c>
      <c r="Y4027" t="s">
        <v>12</v>
      </c>
      <c r="AF4027" t="s">
        <v>189</v>
      </c>
      <c r="AI4027" t="s">
        <v>15009</v>
      </c>
      <c r="AL4027" t="s">
        <v>638</v>
      </c>
      <c r="AM4027">
        <v>1</v>
      </c>
      <c r="AN4027" s="2"/>
    </row>
    <row r="4028" spans="1:40" x14ac:dyDescent="0.3">
      <c r="A4028" t="s">
        <v>18973</v>
      </c>
      <c r="B4028" t="s">
        <v>1</v>
      </c>
      <c r="C4028" t="s">
        <v>18974</v>
      </c>
      <c r="E4028" t="s">
        <v>18975</v>
      </c>
      <c r="F4028" t="s">
        <v>5</v>
      </c>
      <c r="G4028" t="s">
        <v>6</v>
      </c>
      <c r="K4028" t="s">
        <v>18080</v>
      </c>
      <c r="L4028" t="s">
        <v>7</v>
      </c>
      <c r="M4028">
        <v>2025</v>
      </c>
      <c r="N4028" s="1">
        <v>45777</v>
      </c>
      <c r="O4028" t="s">
        <v>18976</v>
      </c>
      <c r="P4028">
        <v>1</v>
      </c>
      <c r="Q4028" t="s">
        <v>7728</v>
      </c>
      <c r="V4028" t="s">
        <v>42</v>
      </c>
      <c r="W4028" t="s">
        <v>116</v>
      </c>
      <c r="X4028" t="s">
        <v>116</v>
      </c>
      <c r="Y4028" t="s">
        <v>17995</v>
      </c>
      <c r="AF4028" t="s">
        <v>189</v>
      </c>
      <c r="AI4028" t="s">
        <v>15009</v>
      </c>
      <c r="AL4028" t="s">
        <v>638</v>
      </c>
      <c r="AM4028">
        <v>1</v>
      </c>
      <c r="AN4028" s="2"/>
    </row>
    <row r="4029" spans="1:40" x14ac:dyDescent="0.3">
      <c r="A4029" t="s">
        <v>18977</v>
      </c>
      <c r="B4029" t="s">
        <v>1</v>
      </c>
      <c r="C4029" t="s">
        <v>18978</v>
      </c>
      <c r="D4029" t="s">
        <v>18979</v>
      </c>
      <c r="E4029" t="s">
        <v>18980</v>
      </c>
      <c r="F4029" t="s">
        <v>5</v>
      </c>
      <c r="G4029" t="s">
        <v>6</v>
      </c>
      <c r="L4029" t="s">
        <v>7</v>
      </c>
      <c r="M4029">
        <v>2025</v>
      </c>
      <c r="N4029" s="1">
        <v>45747</v>
      </c>
      <c r="O4029" t="s">
        <v>18981</v>
      </c>
      <c r="P4029">
        <v>1</v>
      </c>
      <c r="Q4029" t="s">
        <v>6694</v>
      </c>
      <c r="S4029">
        <v>217.95</v>
      </c>
      <c r="T4029">
        <v>250</v>
      </c>
      <c r="U4029">
        <v>190</v>
      </c>
      <c r="V4029" t="s">
        <v>42</v>
      </c>
      <c r="W4029" t="s">
        <v>116</v>
      </c>
      <c r="X4029" t="s">
        <v>116</v>
      </c>
      <c r="Y4029" t="s">
        <v>18452</v>
      </c>
      <c r="AF4029" t="s">
        <v>189</v>
      </c>
      <c r="AI4029" t="s">
        <v>15009</v>
      </c>
      <c r="AL4029" t="s">
        <v>638</v>
      </c>
      <c r="AM4029">
        <v>1</v>
      </c>
      <c r="AN4029" s="2"/>
    </row>
    <row r="4030" spans="1:40" x14ac:dyDescent="0.3">
      <c r="A4030" t="s">
        <v>18982</v>
      </c>
      <c r="B4030" t="s">
        <v>1</v>
      </c>
      <c r="C4030" t="s">
        <v>18983</v>
      </c>
      <c r="D4030" t="s">
        <v>18984</v>
      </c>
      <c r="E4030" t="s">
        <v>18985</v>
      </c>
      <c r="F4030" t="s">
        <v>5</v>
      </c>
      <c r="G4030" t="s">
        <v>6</v>
      </c>
      <c r="L4030" t="s">
        <v>7</v>
      </c>
      <c r="M4030">
        <v>2025</v>
      </c>
      <c r="N4030" s="1">
        <v>45747</v>
      </c>
      <c r="O4030" t="s">
        <v>18986</v>
      </c>
      <c r="P4030">
        <v>1</v>
      </c>
      <c r="Q4030" t="s">
        <v>9122</v>
      </c>
      <c r="S4030">
        <v>286.95</v>
      </c>
      <c r="T4030">
        <v>330</v>
      </c>
      <c r="U4030">
        <v>250</v>
      </c>
      <c r="V4030" t="s">
        <v>305</v>
      </c>
      <c r="W4030" t="s">
        <v>2129</v>
      </c>
      <c r="X4030" t="s">
        <v>9271</v>
      </c>
      <c r="Y4030" t="s">
        <v>9272</v>
      </c>
      <c r="AF4030" t="s">
        <v>189</v>
      </c>
      <c r="AI4030" t="s">
        <v>15009</v>
      </c>
      <c r="AL4030" t="s">
        <v>638</v>
      </c>
      <c r="AM4030">
        <v>1</v>
      </c>
      <c r="AN4030" s="2"/>
    </row>
    <row r="4031" spans="1:40" x14ac:dyDescent="0.3">
      <c r="A4031" t="s">
        <v>18987</v>
      </c>
      <c r="B4031" t="s">
        <v>1</v>
      </c>
      <c r="C4031" t="s">
        <v>18988</v>
      </c>
      <c r="D4031" t="s">
        <v>18989</v>
      </c>
      <c r="E4031" t="s">
        <v>18990</v>
      </c>
      <c r="F4031" t="s">
        <v>5</v>
      </c>
      <c r="G4031" t="s">
        <v>6</v>
      </c>
      <c r="L4031" t="s">
        <v>7</v>
      </c>
      <c r="M4031">
        <v>2025</v>
      </c>
      <c r="N4031" s="1">
        <v>45747</v>
      </c>
      <c r="O4031" t="s">
        <v>7169</v>
      </c>
      <c r="P4031">
        <v>1</v>
      </c>
      <c r="S4031">
        <v>208.95</v>
      </c>
      <c r="T4031">
        <v>240</v>
      </c>
      <c r="U4031">
        <v>180</v>
      </c>
      <c r="V4031" t="s">
        <v>79</v>
      </c>
      <c r="W4031" t="s">
        <v>227</v>
      </c>
      <c r="X4031" t="s">
        <v>3926</v>
      </c>
      <c r="Y4031" t="s">
        <v>699</v>
      </c>
      <c r="AF4031" t="s">
        <v>189</v>
      </c>
      <c r="AI4031" t="s">
        <v>15009</v>
      </c>
      <c r="AL4031" t="s">
        <v>638</v>
      </c>
      <c r="AM4031">
        <v>1</v>
      </c>
      <c r="AN4031" s="2"/>
    </row>
    <row r="4032" spans="1:40" x14ac:dyDescent="0.3">
      <c r="A4032" t="s">
        <v>18991</v>
      </c>
      <c r="B4032" t="s">
        <v>1</v>
      </c>
      <c r="C4032" t="s">
        <v>18992</v>
      </c>
      <c r="D4032" t="s">
        <v>18993</v>
      </c>
      <c r="E4032" t="s">
        <v>18994</v>
      </c>
      <c r="F4032" t="s">
        <v>5</v>
      </c>
      <c r="G4032" t="s">
        <v>6</v>
      </c>
      <c r="L4032" t="s">
        <v>7</v>
      </c>
      <c r="M4032">
        <v>2025</v>
      </c>
      <c r="N4032" s="1">
        <v>45747</v>
      </c>
      <c r="O4032" t="s">
        <v>18995</v>
      </c>
      <c r="P4032">
        <v>1</v>
      </c>
      <c r="Q4032" t="s">
        <v>7019</v>
      </c>
      <c r="S4032">
        <v>208.95</v>
      </c>
      <c r="T4032">
        <v>240</v>
      </c>
      <c r="U4032">
        <v>180</v>
      </c>
      <c r="V4032" t="s">
        <v>42</v>
      </c>
      <c r="W4032" t="s">
        <v>116</v>
      </c>
      <c r="X4032" t="s">
        <v>116</v>
      </c>
      <c r="Y4032" t="s">
        <v>18996</v>
      </c>
      <c r="AF4032" t="s">
        <v>189</v>
      </c>
      <c r="AI4032" t="s">
        <v>15009</v>
      </c>
      <c r="AL4032" t="s">
        <v>638</v>
      </c>
      <c r="AM4032">
        <v>1</v>
      </c>
      <c r="AN4032" s="2"/>
    </row>
    <row r="4033" spans="1:40" x14ac:dyDescent="0.3">
      <c r="A4033" t="s">
        <v>18997</v>
      </c>
      <c r="B4033" t="s">
        <v>1</v>
      </c>
      <c r="C4033" t="s">
        <v>18998</v>
      </c>
      <c r="E4033" t="s">
        <v>18999</v>
      </c>
      <c r="F4033" t="s">
        <v>5</v>
      </c>
      <c r="G4033" t="s">
        <v>6</v>
      </c>
      <c r="L4033" t="s">
        <v>7</v>
      </c>
      <c r="M4033">
        <v>2025</v>
      </c>
      <c r="N4033" s="1">
        <v>45747</v>
      </c>
      <c r="O4033" t="s">
        <v>19000</v>
      </c>
      <c r="P4033">
        <v>1</v>
      </c>
      <c r="S4033">
        <v>286.95</v>
      </c>
      <c r="T4033">
        <v>330</v>
      </c>
      <c r="U4033">
        <v>250</v>
      </c>
      <c r="V4033" t="s">
        <v>42</v>
      </c>
      <c r="W4033" t="s">
        <v>107</v>
      </c>
      <c r="X4033" t="s">
        <v>108</v>
      </c>
      <c r="Y4033" t="s">
        <v>952</v>
      </c>
      <c r="AF4033" t="s">
        <v>189</v>
      </c>
      <c r="AI4033" t="s">
        <v>15009</v>
      </c>
      <c r="AL4033" t="s">
        <v>638</v>
      </c>
      <c r="AM4033">
        <v>1</v>
      </c>
      <c r="AN4033" s="2"/>
    </row>
    <row r="4034" spans="1:40" x14ac:dyDescent="0.3">
      <c r="A4034" t="s">
        <v>19001</v>
      </c>
      <c r="B4034" t="s">
        <v>1</v>
      </c>
      <c r="C4034" t="s">
        <v>19002</v>
      </c>
      <c r="D4034" t="s">
        <v>19003</v>
      </c>
      <c r="E4034" t="s">
        <v>19004</v>
      </c>
      <c r="F4034" t="s">
        <v>5</v>
      </c>
      <c r="G4034" t="s">
        <v>6</v>
      </c>
      <c r="L4034" t="s">
        <v>7</v>
      </c>
      <c r="M4034">
        <v>2025</v>
      </c>
      <c r="N4034" s="1">
        <v>45777</v>
      </c>
      <c r="O4034" t="s">
        <v>19005</v>
      </c>
      <c r="P4034">
        <v>1</v>
      </c>
      <c r="S4034">
        <v>208.95</v>
      </c>
      <c r="T4034">
        <v>240</v>
      </c>
      <c r="U4034">
        <v>180</v>
      </c>
      <c r="V4034" t="s">
        <v>58</v>
      </c>
      <c r="W4034" t="s">
        <v>59</v>
      </c>
      <c r="X4034" t="s">
        <v>60</v>
      </c>
      <c r="Y4034" t="s">
        <v>169</v>
      </c>
      <c r="AF4034" t="s">
        <v>189</v>
      </c>
      <c r="AI4034" t="s">
        <v>15009</v>
      </c>
      <c r="AL4034" t="s">
        <v>638</v>
      </c>
      <c r="AM4034">
        <v>1</v>
      </c>
      <c r="AN4034" s="2"/>
    </row>
    <row r="4035" spans="1:40" x14ac:dyDescent="0.3">
      <c r="A4035" t="s">
        <v>19006</v>
      </c>
      <c r="B4035" t="s">
        <v>1</v>
      </c>
      <c r="C4035" t="s">
        <v>19007</v>
      </c>
      <c r="E4035" t="s">
        <v>19008</v>
      </c>
      <c r="F4035" t="s">
        <v>5</v>
      </c>
      <c r="G4035" t="s">
        <v>6</v>
      </c>
      <c r="L4035" t="s">
        <v>7</v>
      </c>
      <c r="M4035">
        <v>2025</v>
      </c>
      <c r="N4035" s="1">
        <v>45747</v>
      </c>
      <c r="O4035" t="s">
        <v>17319</v>
      </c>
      <c r="P4035">
        <v>2</v>
      </c>
      <c r="Q4035" t="s">
        <v>10773</v>
      </c>
      <c r="S4035">
        <v>208.95</v>
      </c>
      <c r="T4035">
        <v>240</v>
      </c>
      <c r="U4035">
        <v>180</v>
      </c>
      <c r="V4035" t="s">
        <v>268</v>
      </c>
      <c r="W4035" t="s">
        <v>269</v>
      </c>
      <c r="X4035" t="s">
        <v>269</v>
      </c>
      <c r="Y4035" t="s">
        <v>19009</v>
      </c>
      <c r="AF4035" t="s">
        <v>189</v>
      </c>
      <c r="AI4035" t="s">
        <v>15009</v>
      </c>
      <c r="AL4035" t="s">
        <v>638</v>
      </c>
      <c r="AM4035">
        <v>1</v>
      </c>
      <c r="AN4035" s="2"/>
    </row>
    <row r="4036" spans="1:40" x14ac:dyDescent="0.3">
      <c r="A4036" t="s">
        <v>19010</v>
      </c>
      <c r="B4036" t="s">
        <v>1</v>
      </c>
      <c r="C4036" t="s">
        <v>19011</v>
      </c>
      <c r="D4036" t="s">
        <v>19012</v>
      </c>
      <c r="E4036" t="s">
        <v>19013</v>
      </c>
      <c r="F4036" t="s">
        <v>5</v>
      </c>
      <c r="G4036" t="s">
        <v>6</v>
      </c>
      <c r="L4036" t="s">
        <v>7</v>
      </c>
      <c r="M4036">
        <v>2025</v>
      </c>
      <c r="N4036" s="1">
        <v>45777</v>
      </c>
      <c r="O4036" t="s">
        <v>19014</v>
      </c>
      <c r="P4036">
        <v>1</v>
      </c>
      <c r="Q4036" t="s">
        <v>16816</v>
      </c>
      <c r="S4036">
        <v>286.95</v>
      </c>
      <c r="T4036">
        <v>330</v>
      </c>
      <c r="U4036">
        <v>250</v>
      </c>
      <c r="V4036" t="s">
        <v>20</v>
      </c>
      <c r="W4036" t="s">
        <v>21</v>
      </c>
      <c r="X4036" t="s">
        <v>839</v>
      </c>
      <c r="Y4036" t="s">
        <v>1850</v>
      </c>
      <c r="AF4036" t="s">
        <v>189</v>
      </c>
      <c r="AI4036" t="s">
        <v>15009</v>
      </c>
      <c r="AL4036" t="s">
        <v>638</v>
      </c>
      <c r="AM4036">
        <v>1</v>
      </c>
      <c r="AN4036" s="2"/>
    </row>
    <row r="4037" spans="1:40" x14ac:dyDescent="0.3">
      <c r="A4037" t="s">
        <v>19015</v>
      </c>
      <c r="B4037" t="s">
        <v>1</v>
      </c>
      <c r="C4037" t="s">
        <v>19016</v>
      </c>
      <c r="D4037" t="s">
        <v>19017</v>
      </c>
      <c r="E4037" t="s">
        <v>19018</v>
      </c>
      <c r="F4037" t="s">
        <v>5</v>
      </c>
      <c r="G4037" t="s">
        <v>6</v>
      </c>
      <c r="L4037" t="s">
        <v>7</v>
      </c>
      <c r="M4037">
        <v>2025</v>
      </c>
      <c r="N4037" s="1">
        <v>45747</v>
      </c>
      <c r="O4037" t="s">
        <v>10754</v>
      </c>
      <c r="P4037">
        <v>1</v>
      </c>
      <c r="S4037">
        <v>208.95</v>
      </c>
      <c r="T4037">
        <v>240</v>
      </c>
      <c r="U4037">
        <v>180</v>
      </c>
      <c r="V4037" t="s">
        <v>9</v>
      </c>
      <c r="W4037" t="s">
        <v>10</v>
      </c>
      <c r="X4037" t="s">
        <v>11</v>
      </c>
      <c r="Y4037" t="s">
        <v>12</v>
      </c>
      <c r="AF4037" t="s">
        <v>189</v>
      </c>
      <c r="AI4037" t="s">
        <v>15009</v>
      </c>
      <c r="AL4037" t="s">
        <v>638</v>
      </c>
      <c r="AM4037">
        <v>1</v>
      </c>
      <c r="AN4037" s="2"/>
    </row>
    <row r="4038" spans="1:40" x14ac:dyDescent="0.3">
      <c r="A4038" t="s">
        <v>19019</v>
      </c>
      <c r="B4038" t="s">
        <v>1</v>
      </c>
      <c r="C4038" t="s">
        <v>19020</v>
      </c>
      <c r="E4038" t="s">
        <v>19021</v>
      </c>
      <c r="F4038" t="s">
        <v>5</v>
      </c>
      <c r="G4038" t="s">
        <v>6</v>
      </c>
      <c r="L4038" t="s">
        <v>7</v>
      </c>
      <c r="M4038">
        <v>2025</v>
      </c>
      <c r="N4038" s="1">
        <v>45747</v>
      </c>
      <c r="O4038" t="s">
        <v>19022</v>
      </c>
      <c r="P4038">
        <v>1</v>
      </c>
      <c r="S4038">
        <v>217.95</v>
      </c>
      <c r="T4038">
        <v>250</v>
      </c>
      <c r="U4038">
        <v>190</v>
      </c>
      <c r="V4038" t="s">
        <v>20</v>
      </c>
      <c r="W4038" t="s">
        <v>21</v>
      </c>
      <c r="X4038" t="s">
        <v>458</v>
      </c>
      <c r="Y4038" t="s">
        <v>459</v>
      </c>
      <c r="AF4038" t="s">
        <v>189</v>
      </c>
      <c r="AI4038" t="s">
        <v>15009</v>
      </c>
      <c r="AL4038" t="s">
        <v>638</v>
      </c>
      <c r="AM4038">
        <v>1</v>
      </c>
      <c r="AN4038" s="2"/>
    </row>
    <row r="4039" spans="1:40" x14ac:dyDescent="0.3">
      <c r="A4039" t="s">
        <v>19023</v>
      </c>
      <c r="B4039" t="s">
        <v>1</v>
      </c>
      <c r="C4039" t="s">
        <v>19024</v>
      </c>
      <c r="D4039" t="s">
        <v>19025</v>
      </c>
      <c r="E4039" t="s">
        <v>19026</v>
      </c>
      <c r="F4039" t="s">
        <v>5</v>
      </c>
      <c r="G4039" t="s">
        <v>6</v>
      </c>
      <c r="L4039" t="s">
        <v>7</v>
      </c>
      <c r="M4039">
        <v>2025</v>
      </c>
      <c r="N4039" s="1">
        <v>45747</v>
      </c>
      <c r="O4039" t="s">
        <v>4564</v>
      </c>
      <c r="P4039">
        <v>1</v>
      </c>
      <c r="Q4039" t="s">
        <v>18293</v>
      </c>
      <c r="S4039">
        <v>208.95</v>
      </c>
      <c r="T4039">
        <v>240</v>
      </c>
      <c r="U4039">
        <v>180</v>
      </c>
      <c r="V4039" t="s">
        <v>329</v>
      </c>
      <c r="W4039" t="s">
        <v>330</v>
      </c>
      <c r="X4039" t="s">
        <v>331</v>
      </c>
      <c r="Y4039" t="s">
        <v>332</v>
      </c>
      <c r="AF4039" t="s">
        <v>189</v>
      </c>
      <c r="AI4039" t="s">
        <v>15009</v>
      </c>
      <c r="AL4039" t="s">
        <v>638</v>
      </c>
      <c r="AM4039">
        <v>1</v>
      </c>
      <c r="AN4039" s="2"/>
    </row>
    <row r="4040" spans="1:40" x14ac:dyDescent="0.3">
      <c r="A4040" t="s">
        <v>19027</v>
      </c>
      <c r="B4040" t="s">
        <v>1</v>
      </c>
      <c r="C4040" t="s">
        <v>19028</v>
      </c>
      <c r="E4040" t="s">
        <v>19029</v>
      </c>
      <c r="F4040" t="s">
        <v>5</v>
      </c>
      <c r="G4040" t="s">
        <v>6</v>
      </c>
      <c r="L4040" t="s">
        <v>7</v>
      </c>
      <c r="M4040">
        <v>2025</v>
      </c>
      <c r="N4040" s="1">
        <v>45777</v>
      </c>
      <c r="O4040" t="s">
        <v>19030</v>
      </c>
      <c r="P4040">
        <v>1</v>
      </c>
      <c r="Q4040" t="s">
        <v>15661</v>
      </c>
      <c r="S4040">
        <v>208.95</v>
      </c>
      <c r="T4040">
        <v>240</v>
      </c>
      <c r="U4040">
        <v>180</v>
      </c>
      <c r="V4040" t="s">
        <v>42</v>
      </c>
      <c r="W4040" t="s">
        <v>107</v>
      </c>
      <c r="X4040" t="s">
        <v>108</v>
      </c>
      <c r="Y4040" t="s">
        <v>109</v>
      </c>
      <c r="AF4040" t="s">
        <v>189</v>
      </c>
      <c r="AI4040" t="s">
        <v>15009</v>
      </c>
      <c r="AL4040" t="s">
        <v>638</v>
      </c>
      <c r="AM4040">
        <v>1</v>
      </c>
      <c r="AN4040" s="2"/>
    </row>
    <row r="4041" spans="1:40" x14ac:dyDescent="0.3">
      <c r="A4041" t="s">
        <v>19031</v>
      </c>
      <c r="B4041" t="s">
        <v>1</v>
      </c>
      <c r="C4041" t="s">
        <v>19032</v>
      </c>
      <c r="D4041" t="s">
        <v>19033</v>
      </c>
      <c r="E4041" t="s">
        <v>19034</v>
      </c>
      <c r="F4041" t="s">
        <v>5</v>
      </c>
      <c r="G4041" t="s">
        <v>6</v>
      </c>
      <c r="L4041" t="s">
        <v>7</v>
      </c>
      <c r="M4041">
        <v>2025</v>
      </c>
      <c r="N4041" s="1">
        <v>45747</v>
      </c>
      <c r="O4041" t="s">
        <v>19035</v>
      </c>
      <c r="P4041">
        <v>1</v>
      </c>
      <c r="Q4041" t="s">
        <v>9604</v>
      </c>
      <c r="S4041">
        <v>217.95</v>
      </c>
      <c r="T4041">
        <v>250</v>
      </c>
      <c r="U4041">
        <v>190</v>
      </c>
      <c r="V4041" t="s">
        <v>58</v>
      </c>
      <c r="W4041" t="s">
        <v>59</v>
      </c>
      <c r="X4041" t="s">
        <v>60</v>
      </c>
      <c r="Y4041" t="s">
        <v>18901</v>
      </c>
      <c r="AF4041" t="s">
        <v>189</v>
      </c>
      <c r="AI4041" t="s">
        <v>15009</v>
      </c>
      <c r="AL4041" t="s">
        <v>638</v>
      </c>
      <c r="AM4041">
        <v>1</v>
      </c>
      <c r="AN4041" s="2"/>
    </row>
    <row r="4042" spans="1:40" x14ac:dyDescent="0.3">
      <c r="A4042" t="s">
        <v>19036</v>
      </c>
      <c r="B4042" t="s">
        <v>1</v>
      </c>
      <c r="C4042" t="s">
        <v>19037</v>
      </c>
      <c r="E4042" t="s">
        <v>19038</v>
      </c>
      <c r="F4042" t="s">
        <v>5</v>
      </c>
      <c r="G4042" t="s">
        <v>6</v>
      </c>
      <c r="L4042" t="s">
        <v>7</v>
      </c>
      <c r="M4042">
        <v>2025</v>
      </c>
      <c r="N4042" s="1">
        <v>45777</v>
      </c>
      <c r="O4042" t="s">
        <v>19039</v>
      </c>
      <c r="P4042">
        <v>1</v>
      </c>
      <c r="Q4042" t="s">
        <v>7019</v>
      </c>
      <c r="S4042">
        <v>208.95</v>
      </c>
      <c r="T4042">
        <v>240</v>
      </c>
      <c r="U4042">
        <v>180</v>
      </c>
      <c r="V4042" t="s">
        <v>42</v>
      </c>
      <c r="W4042" t="s">
        <v>116</v>
      </c>
      <c r="X4042" t="s">
        <v>116</v>
      </c>
      <c r="Y4042" t="s">
        <v>18968</v>
      </c>
      <c r="AF4042" t="s">
        <v>189</v>
      </c>
      <c r="AI4042" t="s">
        <v>15009</v>
      </c>
      <c r="AL4042" t="s">
        <v>638</v>
      </c>
      <c r="AM4042">
        <v>1</v>
      </c>
      <c r="AN4042" s="2"/>
    </row>
    <row r="4043" spans="1:40" x14ac:dyDescent="0.3">
      <c r="A4043" t="s">
        <v>19040</v>
      </c>
      <c r="B4043" t="s">
        <v>1</v>
      </c>
      <c r="C4043" t="s">
        <v>19041</v>
      </c>
      <c r="E4043" t="s">
        <v>19042</v>
      </c>
      <c r="F4043" t="s">
        <v>5</v>
      </c>
      <c r="G4043" t="s">
        <v>6</v>
      </c>
      <c r="L4043" t="s">
        <v>7</v>
      </c>
      <c r="M4043">
        <v>2025</v>
      </c>
      <c r="N4043" s="1">
        <v>45777</v>
      </c>
      <c r="O4043" t="s">
        <v>19043</v>
      </c>
      <c r="P4043">
        <v>1</v>
      </c>
      <c r="S4043">
        <v>208.95</v>
      </c>
      <c r="T4043">
        <v>240</v>
      </c>
      <c r="U4043">
        <v>180</v>
      </c>
      <c r="V4043" t="s">
        <v>42</v>
      </c>
      <c r="W4043" t="s">
        <v>12795</v>
      </c>
      <c r="X4043" t="s">
        <v>12795</v>
      </c>
      <c r="Y4043" t="s">
        <v>12796</v>
      </c>
      <c r="AF4043" t="s">
        <v>189</v>
      </c>
      <c r="AI4043" t="s">
        <v>15009</v>
      </c>
      <c r="AL4043" t="s">
        <v>638</v>
      </c>
      <c r="AM4043">
        <v>1</v>
      </c>
      <c r="AN4043" s="2"/>
    </row>
    <row r="4044" spans="1:40" x14ac:dyDescent="0.3">
      <c r="A4044" t="s">
        <v>19044</v>
      </c>
      <c r="B4044" t="s">
        <v>1</v>
      </c>
      <c r="C4044" t="s">
        <v>19045</v>
      </c>
      <c r="E4044" t="s">
        <v>19046</v>
      </c>
      <c r="F4044" t="s">
        <v>5</v>
      </c>
      <c r="G4044" t="s">
        <v>6</v>
      </c>
      <c r="L4044" t="s">
        <v>7</v>
      </c>
      <c r="M4044">
        <v>2025</v>
      </c>
      <c r="N4044" s="1">
        <v>45747</v>
      </c>
      <c r="O4044" t="s">
        <v>19047</v>
      </c>
      <c r="P4044">
        <v>1</v>
      </c>
      <c r="S4044">
        <v>443.95</v>
      </c>
      <c r="T4044">
        <v>510</v>
      </c>
      <c r="U4044">
        <v>390</v>
      </c>
      <c r="V4044" t="s">
        <v>42</v>
      </c>
      <c r="W4044" t="s">
        <v>107</v>
      </c>
      <c r="X4044" t="s">
        <v>108</v>
      </c>
      <c r="Y4044" t="s">
        <v>109</v>
      </c>
      <c r="AF4044" t="s">
        <v>189</v>
      </c>
      <c r="AI4044" t="s">
        <v>15009</v>
      </c>
      <c r="AL4044" t="s">
        <v>638</v>
      </c>
      <c r="AM4044">
        <v>1</v>
      </c>
      <c r="AN4044" s="2"/>
    </row>
    <row r="4045" spans="1:40" x14ac:dyDescent="0.3">
      <c r="A4045" t="s">
        <v>19048</v>
      </c>
      <c r="B4045" t="s">
        <v>1</v>
      </c>
      <c r="C4045" t="s">
        <v>19049</v>
      </c>
      <c r="E4045" t="s">
        <v>19050</v>
      </c>
      <c r="F4045" t="s">
        <v>5</v>
      </c>
      <c r="G4045" t="s">
        <v>6</v>
      </c>
      <c r="L4045" t="s">
        <v>7</v>
      </c>
      <c r="M4045">
        <v>2025</v>
      </c>
      <c r="N4045" s="1">
        <v>45777</v>
      </c>
      <c r="O4045" t="s">
        <v>19051</v>
      </c>
      <c r="P4045">
        <v>1</v>
      </c>
      <c r="Q4045" t="s">
        <v>7622</v>
      </c>
      <c r="S4045">
        <v>217.95</v>
      </c>
      <c r="T4045">
        <v>250</v>
      </c>
      <c r="U4045">
        <v>190</v>
      </c>
      <c r="V4045" t="s">
        <v>98</v>
      </c>
      <c r="W4045" t="s">
        <v>6450</v>
      </c>
      <c r="X4045" t="s">
        <v>17107</v>
      </c>
      <c r="Y4045" t="s">
        <v>937</v>
      </c>
      <c r="AF4045" t="s">
        <v>189</v>
      </c>
      <c r="AI4045" t="s">
        <v>15009</v>
      </c>
      <c r="AL4045" t="s">
        <v>638</v>
      </c>
      <c r="AM4045">
        <v>1</v>
      </c>
      <c r="AN4045" s="2"/>
    </row>
    <row r="4046" spans="1:40" x14ac:dyDescent="0.3">
      <c r="A4046" t="s">
        <v>19052</v>
      </c>
      <c r="B4046" t="s">
        <v>1</v>
      </c>
      <c r="C4046" t="s">
        <v>19053</v>
      </c>
      <c r="E4046" t="s">
        <v>19054</v>
      </c>
      <c r="F4046" t="s">
        <v>5</v>
      </c>
      <c r="G4046" t="s">
        <v>6</v>
      </c>
      <c r="L4046" t="s">
        <v>7</v>
      </c>
      <c r="M4046">
        <v>2025</v>
      </c>
      <c r="N4046" s="1">
        <v>45716</v>
      </c>
      <c r="O4046" t="s">
        <v>19055</v>
      </c>
      <c r="P4046">
        <v>1</v>
      </c>
      <c r="Q4046" t="s">
        <v>7728</v>
      </c>
      <c r="S4046">
        <v>208.95</v>
      </c>
      <c r="T4046">
        <v>240</v>
      </c>
      <c r="U4046">
        <v>180</v>
      </c>
      <c r="V4046" t="s">
        <v>42</v>
      </c>
      <c r="W4046" t="s">
        <v>107</v>
      </c>
      <c r="X4046" t="s">
        <v>108</v>
      </c>
      <c r="Y4046" t="s">
        <v>2244</v>
      </c>
      <c r="AF4046" t="s">
        <v>189</v>
      </c>
      <c r="AI4046" t="s">
        <v>15009</v>
      </c>
      <c r="AL4046" t="s">
        <v>638</v>
      </c>
      <c r="AM4046">
        <v>1</v>
      </c>
      <c r="AN4046" s="2"/>
    </row>
    <row r="4047" spans="1:40" x14ac:dyDescent="0.3">
      <c r="A4047" t="s">
        <v>19056</v>
      </c>
      <c r="B4047" t="s">
        <v>1</v>
      </c>
      <c r="C4047" t="s">
        <v>19057</v>
      </c>
      <c r="D4047" t="s">
        <v>19058</v>
      </c>
      <c r="E4047" t="s">
        <v>19059</v>
      </c>
      <c r="F4047" t="s">
        <v>5</v>
      </c>
      <c r="G4047" t="s">
        <v>6</v>
      </c>
      <c r="L4047" t="s">
        <v>7</v>
      </c>
      <c r="M4047">
        <v>2025</v>
      </c>
      <c r="N4047" s="1">
        <v>45777</v>
      </c>
      <c r="O4047" t="s">
        <v>19060</v>
      </c>
      <c r="P4047">
        <v>1</v>
      </c>
      <c r="S4047">
        <v>208.95</v>
      </c>
      <c r="T4047">
        <v>240</v>
      </c>
      <c r="U4047">
        <v>180</v>
      </c>
      <c r="V4047" t="s">
        <v>9</v>
      </c>
      <c r="W4047" t="s">
        <v>10</v>
      </c>
      <c r="X4047" t="s">
        <v>11</v>
      </c>
      <c r="Y4047" t="s">
        <v>12</v>
      </c>
      <c r="AF4047" t="s">
        <v>189</v>
      </c>
      <c r="AI4047" t="s">
        <v>15009</v>
      </c>
      <c r="AL4047" t="s">
        <v>638</v>
      </c>
      <c r="AM4047">
        <v>1</v>
      </c>
      <c r="AN4047" s="2"/>
    </row>
    <row r="4048" spans="1:40" x14ac:dyDescent="0.3">
      <c r="A4048" t="s">
        <v>19061</v>
      </c>
      <c r="B4048" t="s">
        <v>1</v>
      </c>
      <c r="C4048" t="s">
        <v>19062</v>
      </c>
      <c r="D4048" t="s">
        <v>19063</v>
      </c>
      <c r="E4048" t="s">
        <v>19064</v>
      </c>
      <c r="F4048" t="s">
        <v>5</v>
      </c>
      <c r="G4048" t="s">
        <v>6</v>
      </c>
      <c r="L4048" t="s">
        <v>7</v>
      </c>
      <c r="M4048">
        <v>2025</v>
      </c>
      <c r="N4048" s="1">
        <v>45777</v>
      </c>
      <c r="O4048" t="s">
        <v>19065</v>
      </c>
      <c r="P4048">
        <v>1</v>
      </c>
      <c r="S4048">
        <v>191.95</v>
      </c>
      <c r="T4048">
        <v>220</v>
      </c>
      <c r="U4048">
        <v>170</v>
      </c>
      <c r="V4048" t="s">
        <v>9</v>
      </c>
      <c r="W4048" t="s">
        <v>10</v>
      </c>
      <c r="X4048" t="s">
        <v>11</v>
      </c>
      <c r="Y4048" t="s">
        <v>12</v>
      </c>
      <c r="AF4048" t="s">
        <v>189</v>
      </c>
      <c r="AI4048" t="s">
        <v>15009</v>
      </c>
      <c r="AL4048" t="s">
        <v>638</v>
      </c>
      <c r="AM4048">
        <v>1</v>
      </c>
      <c r="AN4048" s="2"/>
    </row>
    <row r="4049" spans="1:40" x14ac:dyDescent="0.3">
      <c r="A4049" t="s">
        <v>19066</v>
      </c>
      <c r="B4049" t="s">
        <v>1</v>
      </c>
      <c r="C4049" t="s">
        <v>19067</v>
      </c>
      <c r="E4049" t="s">
        <v>19068</v>
      </c>
      <c r="F4049" t="s">
        <v>5</v>
      </c>
      <c r="G4049" t="s">
        <v>6</v>
      </c>
      <c r="L4049" t="s">
        <v>7</v>
      </c>
      <c r="M4049">
        <v>2025</v>
      </c>
      <c r="N4049" s="1">
        <v>45747</v>
      </c>
      <c r="O4049" t="s">
        <v>19069</v>
      </c>
      <c r="P4049">
        <v>1</v>
      </c>
      <c r="Q4049" t="s">
        <v>13309</v>
      </c>
      <c r="S4049">
        <v>339.95</v>
      </c>
      <c r="T4049">
        <v>390</v>
      </c>
      <c r="U4049">
        <v>300</v>
      </c>
      <c r="V4049" t="s">
        <v>42</v>
      </c>
      <c r="W4049" t="s">
        <v>116</v>
      </c>
      <c r="X4049" t="s">
        <v>116</v>
      </c>
      <c r="Y4049" t="s">
        <v>117</v>
      </c>
      <c r="AF4049" t="s">
        <v>189</v>
      </c>
      <c r="AI4049" t="s">
        <v>15009</v>
      </c>
      <c r="AL4049" t="s">
        <v>638</v>
      </c>
      <c r="AM4049">
        <v>1</v>
      </c>
      <c r="AN4049" s="2"/>
    </row>
    <row r="4050" spans="1:40" x14ac:dyDescent="0.3">
      <c r="A4050" t="s">
        <v>19070</v>
      </c>
      <c r="B4050" t="s">
        <v>1</v>
      </c>
      <c r="C4050" t="s">
        <v>19071</v>
      </c>
      <c r="E4050" t="s">
        <v>19072</v>
      </c>
      <c r="F4050" t="s">
        <v>5</v>
      </c>
      <c r="G4050" t="s">
        <v>6</v>
      </c>
      <c r="K4050" t="s">
        <v>18080</v>
      </c>
      <c r="L4050" t="s">
        <v>7</v>
      </c>
      <c r="M4050">
        <v>2025</v>
      </c>
      <c r="N4050" s="1">
        <v>45777</v>
      </c>
      <c r="O4050" t="s">
        <v>19073</v>
      </c>
      <c r="P4050">
        <v>1</v>
      </c>
      <c r="Q4050" t="s">
        <v>13460</v>
      </c>
      <c r="V4050" t="s">
        <v>297</v>
      </c>
      <c r="W4050" t="s">
        <v>20</v>
      </c>
      <c r="X4050" t="s">
        <v>20</v>
      </c>
      <c r="Y4050" t="s">
        <v>1914</v>
      </c>
      <c r="AF4050" t="s">
        <v>189</v>
      </c>
      <c r="AI4050" t="s">
        <v>15009</v>
      </c>
      <c r="AL4050" t="s">
        <v>638</v>
      </c>
      <c r="AM4050">
        <v>1</v>
      </c>
      <c r="AN4050" s="2"/>
    </row>
    <row r="4051" spans="1:40" x14ac:dyDescent="0.3">
      <c r="A4051" t="s">
        <v>19074</v>
      </c>
      <c r="B4051" t="s">
        <v>1</v>
      </c>
      <c r="C4051" t="s">
        <v>19075</v>
      </c>
      <c r="D4051" t="s">
        <v>19076</v>
      </c>
      <c r="E4051" t="s">
        <v>19077</v>
      </c>
      <c r="F4051" t="s">
        <v>5</v>
      </c>
      <c r="G4051" t="s">
        <v>6</v>
      </c>
      <c r="L4051" t="s">
        <v>7</v>
      </c>
      <c r="M4051">
        <v>2025</v>
      </c>
      <c r="N4051" s="1">
        <v>45777</v>
      </c>
      <c r="O4051" t="s">
        <v>19078</v>
      </c>
      <c r="P4051">
        <v>1</v>
      </c>
      <c r="S4051">
        <v>217.95</v>
      </c>
      <c r="T4051">
        <v>250</v>
      </c>
      <c r="U4051">
        <v>190</v>
      </c>
      <c r="V4051" t="s">
        <v>268</v>
      </c>
      <c r="W4051" t="s">
        <v>2337</v>
      </c>
      <c r="X4051" t="s">
        <v>2337</v>
      </c>
      <c r="Y4051" t="s">
        <v>2338</v>
      </c>
      <c r="AF4051" t="s">
        <v>189</v>
      </c>
      <c r="AI4051" t="s">
        <v>15009</v>
      </c>
      <c r="AL4051" t="s">
        <v>638</v>
      </c>
      <c r="AM4051">
        <v>1</v>
      </c>
      <c r="AN4051" s="2"/>
    </row>
    <row r="4052" spans="1:40" x14ac:dyDescent="0.3">
      <c r="A4052" t="s">
        <v>19079</v>
      </c>
      <c r="B4052" t="s">
        <v>1</v>
      </c>
      <c r="C4052" t="s">
        <v>19080</v>
      </c>
      <c r="E4052" t="s">
        <v>19081</v>
      </c>
      <c r="F4052" t="s">
        <v>5</v>
      </c>
      <c r="G4052" t="s">
        <v>6</v>
      </c>
      <c r="L4052" t="s">
        <v>7</v>
      </c>
      <c r="M4052">
        <v>2025</v>
      </c>
      <c r="N4052" s="1">
        <v>45777</v>
      </c>
      <c r="O4052" t="s">
        <v>19082</v>
      </c>
      <c r="P4052">
        <v>1</v>
      </c>
      <c r="S4052">
        <v>208.95</v>
      </c>
      <c r="T4052">
        <v>240</v>
      </c>
      <c r="U4052">
        <v>180</v>
      </c>
      <c r="V4052" t="s">
        <v>58</v>
      </c>
      <c r="W4052" t="s">
        <v>59</v>
      </c>
      <c r="X4052" t="s">
        <v>60</v>
      </c>
      <c r="Y4052" t="s">
        <v>169</v>
      </c>
      <c r="AF4052" t="s">
        <v>189</v>
      </c>
      <c r="AI4052" t="s">
        <v>15009</v>
      </c>
      <c r="AL4052" t="s">
        <v>638</v>
      </c>
      <c r="AM4052">
        <v>1</v>
      </c>
      <c r="AN4052" s="2"/>
    </row>
    <row r="4053" spans="1:40" x14ac:dyDescent="0.3">
      <c r="A4053" t="s">
        <v>19083</v>
      </c>
      <c r="B4053" t="s">
        <v>1</v>
      </c>
      <c r="C4053" t="s">
        <v>19084</v>
      </c>
      <c r="E4053" t="s">
        <v>19085</v>
      </c>
      <c r="F4053" t="s">
        <v>5</v>
      </c>
      <c r="G4053" t="s">
        <v>6</v>
      </c>
      <c r="L4053" t="s">
        <v>7</v>
      </c>
      <c r="M4053">
        <v>2025</v>
      </c>
      <c r="N4053" s="1">
        <v>45747</v>
      </c>
      <c r="O4053" t="s">
        <v>19086</v>
      </c>
      <c r="P4053">
        <v>1</v>
      </c>
      <c r="Q4053" t="s">
        <v>5754</v>
      </c>
      <c r="S4053">
        <v>208.95</v>
      </c>
      <c r="T4053">
        <v>240</v>
      </c>
      <c r="U4053">
        <v>180</v>
      </c>
      <c r="V4053" t="s">
        <v>79</v>
      </c>
      <c r="W4053" t="s">
        <v>123</v>
      </c>
      <c r="X4053" t="s">
        <v>123</v>
      </c>
      <c r="Y4053" t="s">
        <v>124</v>
      </c>
      <c r="AF4053" t="s">
        <v>189</v>
      </c>
      <c r="AI4053" t="s">
        <v>15009</v>
      </c>
      <c r="AL4053" t="s">
        <v>638</v>
      </c>
      <c r="AM4053">
        <v>1</v>
      </c>
      <c r="AN4053" s="2"/>
    </row>
    <row r="4054" spans="1:40" x14ac:dyDescent="0.3">
      <c r="A4054" t="s">
        <v>19087</v>
      </c>
      <c r="B4054" t="s">
        <v>1</v>
      </c>
      <c r="C4054" t="s">
        <v>19088</v>
      </c>
      <c r="D4054" t="s">
        <v>19089</v>
      </c>
      <c r="E4054" t="s">
        <v>19090</v>
      </c>
      <c r="F4054" t="s">
        <v>5</v>
      </c>
      <c r="G4054" t="s">
        <v>6</v>
      </c>
      <c r="L4054" t="s">
        <v>7</v>
      </c>
      <c r="M4054">
        <v>2024</v>
      </c>
      <c r="N4054" s="1">
        <v>45626</v>
      </c>
      <c r="O4054" t="s">
        <v>19091</v>
      </c>
      <c r="P4054">
        <v>1</v>
      </c>
      <c r="Q4054" t="s">
        <v>6729</v>
      </c>
      <c r="S4054">
        <v>226.95</v>
      </c>
      <c r="T4054">
        <v>260</v>
      </c>
      <c r="U4054">
        <v>200</v>
      </c>
      <c r="V4054" t="s">
        <v>79</v>
      </c>
      <c r="W4054" t="s">
        <v>138</v>
      </c>
      <c r="X4054" t="s">
        <v>138</v>
      </c>
      <c r="Y4054" t="s">
        <v>2824</v>
      </c>
      <c r="AF4054" t="s">
        <v>13</v>
      </c>
      <c r="AH4054" t="str">
        <f>HYPERLINK("http://www.degruyter.com/isbn/9781399532235")</f>
        <v>http://www.degruyter.com/isbn/9781399532235</v>
      </c>
      <c r="AI4054" t="s">
        <v>17444</v>
      </c>
      <c r="AL4054" t="s">
        <v>638</v>
      </c>
      <c r="AM4054">
        <v>1</v>
      </c>
      <c r="AN4054" s="2"/>
    </row>
    <row r="4055" spans="1:40" x14ac:dyDescent="0.3">
      <c r="A4055" t="s">
        <v>19092</v>
      </c>
      <c r="B4055" t="s">
        <v>1</v>
      </c>
      <c r="C4055" t="s">
        <v>19093</v>
      </c>
      <c r="E4055" t="s">
        <v>19094</v>
      </c>
      <c r="F4055" t="s">
        <v>5</v>
      </c>
      <c r="G4055" t="s">
        <v>6</v>
      </c>
      <c r="K4055" t="s">
        <v>18080</v>
      </c>
      <c r="L4055" t="s">
        <v>7</v>
      </c>
      <c r="M4055">
        <v>2025</v>
      </c>
      <c r="N4055" s="1">
        <v>45777</v>
      </c>
      <c r="O4055" t="s">
        <v>19095</v>
      </c>
      <c r="P4055">
        <v>1</v>
      </c>
      <c r="Q4055" t="s">
        <v>12974</v>
      </c>
      <c r="V4055" t="s">
        <v>449</v>
      </c>
      <c r="W4055" t="s">
        <v>450</v>
      </c>
      <c r="X4055" t="s">
        <v>450</v>
      </c>
      <c r="Y4055" t="s">
        <v>19096</v>
      </c>
      <c r="AF4055" t="s">
        <v>189</v>
      </c>
      <c r="AI4055" t="s">
        <v>15009</v>
      </c>
      <c r="AL4055" t="s">
        <v>638</v>
      </c>
      <c r="AM4055">
        <v>1</v>
      </c>
      <c r="AN4055" s="2"/>
    </row>
    <row r="4056" spans="1:40" x14ac:dyDescent="0.3">
      <c r="A4056" t="s">
        <v>19097</v>
      </c>
      <c r="B4056" t="s">
        <v>1</v>
      </c>
      <c r="C4056" t="s">
        <v>19098</v>
      </c>
      <c r="D4056" t="s">
        <v>19099</v>
      </c>
      <c r="E4056" t="s">
        <v>19100</v>
      </c>
      <c r="F4056" t="s">
        <v>5</v>
      </c>
      <c r="G4056" t="s">
        <v>6</v>
      </c>
      <c r="L4056" t="s">
        <v>7</v>
      </c>
      <c r="M4056">
        <v>2025</v>
      </c>
      <c r="N4056" s="1">
        <v>45747</v>
      </c>
      <c r="O4056" t="s">
        <v>19101</v>
      </c>
      <c r="P4056">
        <v>1</v>
      </c>
      <c r="Q4056" t="s">
        <v>18765</v>
      </c>
      <c r="S4056">
        <v>208.95</v>
      </c>
      <c r="T4056">
        <v>240</v>
      </c>
      <c r="U4056">
        <v>180</v>
      </c>
      <c r="V4056" t="s">
        <v>89</v>
      </c>
      <c r="W4056" t="s">
        <v>90</v>
      </c>
      <c r="X4056" t="s">
        <v>91</v>
      </c>
      <c r="Y4056" t="s">
        <v>717</v>
      </c>
      <c r="AF4056" t="s">
        <v>189</v>
      </c>
      <c r="AI4056" t="s">
        <v>15009</v>
      </c>
      <c r="AL4056" t="s">
        <v>638</v>
      </c>
      <c r="AM4056">
        <v>1</v>
      </c>
      <c r="AN4056" s="2"/>
    </row>
    <row r="4057" spans="1:40" x14ac:dyDescent="0.3">
      <c r="A4057" t="s">
        <v>19102</v>
      </c>
      <c r="B4057" t="s">
        <v>1</v>
      </c>
      <c r="C4057" t="s">
        <v>19103</v>
      </c>
      <c r="D4057" t="s">
        <v>19104</v>
      </c>
      <c r="E4057" t="s">
        <v>19105</v>
      </c>
      <c r="F4057" t="s">
        <v>5</v>
      </c>
      <c r="G4057" t="s">
        <v>6</v>
      </c>
      <c r="L4057" t="s">
        <v>7</v>
      </c>
      <c r="M4057">
        <v>2025</v>
      </c>
      <c r="N4057" s="1">
        <v>45777</v>
      </c>
      <c r="O4057" t="s">
        <v>19106</v>
      </c>
      <c r="P4057">
        <v>1</v>
      </c>
      <c r="Q4057" t="s">
        <v>8607</v>
      </c>
      <c r="S4057">
        <v>208.95</v>
      </c>
      <c r="T4057">
        <v>240</v>
      </c>
      <c r="U4057">
        <v>180</v>
      </c>
      <c r="V4057" t="s">
        <v>58</v>
      </c>
      <c r="W4057" t="s">
        <v>59</v>
      </c>
      <c r="X4057" t="s">
        <v>60</v>
      </c>
      <c r="Y4057" t="s">
        <v>19107</v>
      </c>
      <c r="AF4057" t="s">
        <v>189</v>
      </c>
      <c r="AI4057" t="s">
        <v>15009</v>
      </c>
      <c r="AL4057" t="s">
        <v>638</v>
      </c>
      <c r="AM4057">
        <v>1</v>
      </c>
      <c r="AN4057" s="2"/>
    </row>
    <row r="4058" spans="1:40" x14ac:dyDescent="0.3">
      <c r="A4058" t="s">
        <v>19108</v>
      </c>
      <c r="B4058" t="s">
        <v>1</v>
      </c>
      <c r="C4058" t="s">
        <v>19109</v>
      </c>
      <c r="E4058" t="s">
        <v>19110</v>
      </c>
      <c r="F4058" t="s">
        <v>5</v>
      </c>
      <c r="G4058" t="s">
        <v>6</v>
      </c>
      <c r="L4058" t="s">
        <v>7</v>
      </c>
      <c r="M4058">
        <v>2025</v>
      </c>
      <c r="N4058" s="1">
        <v>45747</v>
      </c>
      <c r="O4058" t="s">
        <v>19111</v>
      </c>
      <c r="P4058">
        <v>1</v>
      </c>
      <c r="S4058">
        <v>217.95</v>
      </c>
      <c r="T4058">
        <v>250</v>
      </c>
      <c r="U4058">
        <v>190</v>
      </c>
      <c r="V4058" t="s">
        <v>42</v>
      </c>
      <c r="W4058" t="s">
        <v>107</v>
      </c>
      <c r="X4058" t="s">
        <v>108</v>
      </c>
      <c r="Y4058" t="s">
        <v>952</v>
      </c>
      <c r="AF4058" t="s">
        <v>189</v>
      </c>
      <c r="AI4058" t="s">
        <v>15009</v>
      </c>
      <c r="AL4058" t="s">
        <v>638</v>
      </c>
      <c r="AM4058">
        <v>1</v>
      </c>
      <c r="AN4058" s="2"/>
    </row>
    <row r="4059" spans="1:40" x14ac:dyDescent="0.3">
      <c r="A4059" t="s">
        <v>19112</v>
      </c>
      <c r="B4059" t="s">
        <v>1</v>
      </c>
      <c r="C4059" t="s">
        <v>19113</v>
      </c>
      <c r="D4059" t="s">
        <v>19114</v>
      </c>
      <c r="E4059" t="s">
        <v>19115</v>
      </c>
      <c r="F4059" t="s">
        <v>5</v>
      </c>
      <c r="G4059" t="s">
        <v>6</v>
      </c>
      <c r="L4059" t="s">
        <v>7</v>
      </c>
      <c r="M4059">
        <v>2025</v>
      </c>
      <c r="N4059" s="1">
        <v>45777</v>
      </c>
      <c r="O4059" t="s">
        <v>19116</v>
      </c>
      <c r="P4059">
        <v>1</v>
      </c>
      <c r="S4059">
        <v>208.95</v>
      </c>
      <c r="T4059">
        <v>240</v>
      </c>
      <c r="U4059">
        <v>180</v>
      </c>
      <c r="V4059" t="s">
        <v>9</v>
      </c>
      <c r="W4059" t="s">
        <v>10</v>
      </c>
      <c r="X4059" t="s">
        <v>11</v>
      </c>
      <c r="Y4059" t="s">
        <v>52</v>
      </c>
      <c r="AF4059" t="s">
        <v>189</v>
      </c>
      <c r="AI4059" t="s">
        <v>15009</v>
      </c>
      <c r="AL4059" t="s">
        <v>638</v>
      </c>
      <c r="AM4059">
        <v>1</v>
      </c>
      <c r="AN4059" s="2"/>
    </row>
    <row r="4060" spans="1:40" x14ac:dyDescent="0.3">
      <c r="A4060" t="s">
        <v>19117</v>
      </c>
      <c r="B4060" t="s">
        <v>1</v>
      </c>
      <c r="C4060" t="s">
        <v>19118</v>
      </c>
      <c r="D4060" t="s">
        <v>19119</v>
      </c>
      <c r="E4060" t="s">
        <v>19120</v>
      </c>
      <c r="F4060" t="s">
        <v>5</v>
      </c>
      <c r="G4060" t="s">
        <v>6</v>
      </c>
      <c r="L4060" t="s">
        <v>7</v>
      </c>
      <c r="M4060">
        <v>2025</v>
      </c>
      <c r="N4060" s="1">
        <v>45777</v>
      </c>
      <c r="O4060" t="s">
        <v>19121</v>
      </c>
      <c r="P4060">
        <v>1</v>
      </c>
      <c r="Q4060" t="s">
        <v>7086</v>
      </c>
      <c r="S4060">
        <v>217.95</v>
      </c>
      <c r="T4060">
        <v>250</v>
      </c>
      <c r="U4060">
        <v>190</v>
      </c>
      <c r="V4060" t="s">
        <v>20</v>
      </c>
      <c r="W4060" t="s">
        <v>21</v>
      </c>
      <c r="X4060" t="s">
        <v>839</v>
      </c>
      <c r="Y4060" t="s">
        <v>13617</v>
      </c>
      <c r="AF4060" t="s">
        <v>189</v>
      </c>
      <c r="AI4060" t="s">
        <v>15009</v>
      </c>
      <c r="AL4060" t="s">
        <v>638</v>
      </c>
      <c r="AM4060">
        <v>1</v>
      </c>
      <c r="AN4060" s="2"/>
    </row>
    <row r="4061" spans="1:40" x14ac:dyDescent="0.3">
      <c r="A4061" t="s">
        <v>19122</v>
      </c>
      <c r="B4061" t="s">
        <v>1</v>
      </c>
      <c r="C4061" t="s">
        <v>19123</v>
      </c>
      <c r="D4061" t="s">
        <v>19124</v>
      </c>
      <c r="E4061" t="s">
        <v>19125</v>
      </c>
      <c r="F4061" t="s">
        <v>5</v>
      </c>
      <c r="G4061" t="s">
        <v>6</v>
      </c>
      <c r="L4061" t="s">
        <v>7</v>
      </c>
      <c r="M4061">
        <v>2025</v>
      </c>
      <c r="N4061" s="1">
        <v>45777</v>
      </c>
      <c r="O4061" t="s">
        <v>19126</v>
      </c>
      <c r="P4061">
        <v>1</v>
      </c>
      <c r="S4061">
        <v>208.95</v>
      </c>
      <c r="T4061">
        <v>240</v>
      </c>
      <c r="U4061">
        <v>180</v>
      </c>
      <c r="V4061" t="s">
        <v>42</v>
      </c>
      <c r="W4061" t="s">
        <v>116</v>
      </c>
      <c r="X4061" t="s">
        <v>116</v>
      </c>
      <c r="Y4061" t="s">
        <v>117</v>
      </c>
      <c r="AF4061" t="s">
        <v>189</v>
      </c>
      <c r="AI4061" t="s">
        <v>15009</v>
      </c>
      <c r="AL4061" t="s">
        <v>638</v>
      </c>
      <c r="AM4061">
        <v>1</v>
      </c>
      <c r="AN4061" s="2"/>
    </row>
    <row r="4062" spans="1:40" x14ac:dyDescent="0.3">
      <c r="A4062" t="s">
        <v>19127</v>
      </c>
      <c r="B4062" t="s">
        <v>1</v>
      </c>
      <c r="C4062" t="s">
        <v>19128</v>
      </c>
      <c r="D4062" t="s">
        <v>19129</v>
      </c>
      <c r="E4062" t="s">
        <v>19130</v>
      </c>
      <c r="F4062" t="s">
        <v>5</v>
      </c>
      <c r="G4062" t="s">
        <v>6</v>
      </c>
      <c r="L4062" t="s">
        <v>7</v>
      </c>
      <c r="M4062">
        <v>2025</v>
      </c>
      <c r="N4062" s="1">
        <v>45777</v>
      </c>
      <c r="O4062" t="s">
        <v>19131</v>
      </c>
      <c r="P4062">
        <v>1</v>
      </c>
      <c r="S4062">
        <v>217.95</v>
      </c>
      <c r="T4062">
        <v>250</v>
      </c>
      <c r="U4062">
        <v>190</v>
      </c>
      <c r="V4062" t="s">
        <v>42</v>
      </c>
      <c r="W4062" t="s">
        <v>107</v>
      </c>
      <c r="X4062" t="s">
        <v>108</v>
      </c>
      <c r="Y4062" t="s">
        <v>109</v>
      </c>
      <c r="AF4062" t="s">
        <v>189</v>
      </c>
      <c r="AI4062" t="s">
        <v>15009</v>
      </c>
      <c r="AL4062" t="s">
        <v>638</v>
      </c>
      <c r="AM4062">
        <v>1</v>
      </c>
      <c r="AN4062" s="2"/>
    </row>
    <row r="4063" spans="1:40" x14ac:dyDescent="0.3">
      <c r="A4063" t="s">
        <v>19132</v>
      </c>
      <c r="B4063" t="s">
        <v>1</v>
      </c>
      <c r="C4063" t="s">
        <v>19133</v>
      </c>
      <c r="D4063" t="s">
        <v>19134</v>
      </c>
      <c r="E4063" t="s">
        <v>19135</v>
      </c>
      <c r="F4063" t="s">
        <v>5</v>
      </c>
      <c r="G4063" t="s">
        <v>6</v>
      </c>
      <c r="L4063" t="s">
        <v>7</v>
      </c>
      <c r="M4063">
        <v>2025</v>
      </c>
      <c r="N4063" s="1">
        <v>45747</v>
      </c>
      <c r="O4063" t="s">
        <v>19136</v>
      </c>
      <c r="P4063">
        <v>1</v>
      </c>
      <c r="Q4063" t="s">
        <v>16423</v>
      </c>
      <c r="S4063">
        <v>208.95</v>
      </c>
      <c r="T4063">
        <v>240</v>
      </c>
      <c r="U4063">
        <v>180</v>
      </c>
      <c r="V4063" t="s">
        <v>58</v>
      </c>
      <c r="W4063" t="s">
        <v>59</v>
      </c>
      <c r="X4063" t="s">
        <v>60</v>
      </c>
      <c r="Y4063" t="s">
        <v>16830</v>
      </c>
      <c r="AF4063" t="s">
        <v>189</v>
      </c>
      <c r="AI4063" t="s">
        <v>15009</v>
      </c>
      <c r="AL4063" t="s">
        <v>638</v>
      </c>
      <c r="AM4063">
        <v>1</v>
      </c>
      <c r="AN4063" s="2"/>
    </row>
    <row r="4064" spans="1:40" x14ac:dyDescent="0.3">
      <c r="A4064" t="s">
        <v>19137</v>
      </c>
      <c r="B4064" t="s">
        <v>1</v>
      </c>
      <c r="C4064" t="s">
        <v>19138</v>
      </c>
      <c r="D4064" t="s">
        <v>19139</v>
      </c>
      <c r="E4064" t="s">
        <v>19140</v>
      </c>
      <c r="F4064" t="s">
        <v>5</v>
      </c>
      <c r="G4064" t="s">
        <v>6</v>
      </c>
      <c r="L4064" t="s">
        <v>7</v>
      </c>
      <c r="M4064">
        <v>2025</v>
      </c>
      <c r="N4064" s="1">
        <v>45747</v>
      </c>
      <c r="O4064" t="s">
        <v>19141</v>
      </c>
      <c r="P4064">
        <v>1</v>
      </c>
      <c r="S4064">
        <v>208.95</v>
      </c>
      <c r="T4064">
        <v>240</v>
      </c>
      <c r="U4064">
        <v>180</v>
      </c>
      <c r="V4064" t="s">
        <v>42</v>
      </c>
      <c r="W4064" t="s">
        <v>740</v>
      </c>
      <c r="X4064" t="s">
        <v>3249</v>
      </c>
      <c r="Y4064" t="s">
        <v>117</v>
      </c>
      <c r="AF4064" t="s">
        <v>189</v>
      </c>
      <c r="AI4064" t="s">
        <v>15009</v>
      </c>
      <c r="AL4064" t="s">
        <v>638</v>
      </c>
      <c r="AM4064">
        <v>1</v>
      </c>
      <c r="AN4064" s="2"/>
    </row>
    <row r="4065" spans="1:40" x14ac:dyDescent="0.3">
      <c r="A4065" t="s">
        <v>19142</v>
      </c>
      <c r="B4065" t="s">
        <v>1</v>
      </c>
      <c r="C4065" t="s">
        <v>19143</v>
      </c>
      <c r="D4065" t="s">
        <v>19144</v>
      </c>
      <c r="E4065" t="s">
        <v>19145</v>
      </c>
      <c r="F4065" t="s">
        <v>5</v>
      </c>
      <c r="G4065" t="s">
        <v>6</v>
      </c>
      <c r="L4065" t="s">
        <v>7</v>
      </c>
      <c r="M4065">
        <v>2025</v>
      </c>
      <c r="N4065" s="1">
        <v>45747</v>
      </c>
      <c r="O4065" t="s">
        <v>19146</v>
      </c>
      <c r="P4065">
        <v>1</v>
      </c>
      <c r="Q4065" t="s">
        <v>12961</v>
      </c>
      <c r="S4065">
        <v>243.95</v>
      </c>
      <c r="T4065">
        <v>280</v>
      </c>
      <c r="U4065">
        <v>210</v>
      </c>
      <c r="V4065" t="s">
        <v>20</v>
      </c>
      <c r="W4065" t="s">
        <v>21</v>
      </c>
      <c r="X4065" t="s">
        <v>839</v>
      </c>
      <c r="Y4065" t="s">
        <v>840</v>
      </c>
      <c r="AF4065" t="s">
        <v>189</v>
      </c>
      <c r="AI4065" t="s">
        <v>15009</v>
      </c>
      <c r="AL4065" t="s">
        <v>638</v>
      </c>
      <c r="AM4065">
        <v>1</v>
      </c>
      <c r="AN4065" s="2"/>
    </row>
    <row r="4066" spans="1:40" x14ac:dyDescent="0.3">
      <c r="A4066" t="s">
        <v>19147</v>
      </c>
      <c r="B4066" t="s">
        <v>1</v>
      </c>
      <c r="C4066" t="s">
        <v>19148</v>
      </c>
      <c r="D4066" t="s">
        <v>19149</v>
      </c>
      <c r="E4066" t="s">
        <v>19150</v>
      </c>
      <c r="F4066" t="s">
        <v>5</v>
      </c>
      <c r="G4066" t="s">
        <v>6</v>
      </c>
      <c r="L4066" t="s">
        <v>7</v>
      </c>
      <c r="M4066">
        <v>2025</v>
      </c>
      <c r="N4066" s="1">
        <v>45838</v>
      </c>
      <c r="O4066" t="s">
        <v>19151</v>
      </c>
      <c r="P4066">
        <v>1</v>
      </c>
      <c r="Q4066" t="s">
        <v>14065</v>
      </c>
      <c r="S4066">
        <v>217.95</v>
      </c>
      <c r="T4066">
        <v>250</v>
      </c>
      <c r="U4066">
        <v>190</v>
      </c>
      <c r="V4066" t="s">
        <v>42</v>
      </c>
      <c r="W4066" t="s">
        <v>107</v>
      </c>
      <c r="X4066" t="s">
        <v>108</v>
      </c>
      <c r="Y4066" t="s">
        <v>221</v>
      </c>
      <c r="AF4066" t="s">
        <v>189</v>
      </c>
      <c r="AI4066" t="s">
        <v>15009</v>
      </c>
      <c r="AL4066" t="s">
        <v>638</v>
      </c>
      <c r="AM4066">
        <v>1</v>
      </c>
      <c r="AN4066" s="2"/>
    </row>
    <row r="4067" spans="1:40" x14ac:dyDescent="0.3">
      <c r="A4067" t="s">
        <v>19152</v>
      </c>
      <c r="B4067" t="s">
        <v>1</v>
      </c>
      <c r="C4067" t="s">
        <v>19153</v>
      </c>
      <c r="D4067" t="s">
        <v>19154</v>
      </c>
      <c r="E4067" t="s">
        <v>19155</v>
      </c>
      <c r="F4067" t="s">
        <v>5</v>
      </c>
      <c r="G4067" t="s">
        <v>6</v>
      </c>
      <c r="L4067" t="s">
        <v>7</v>
      </c>
      <c r="M4067">
        <v>2025</v>
      </c>
      <c r="N4067" s="1">
        <v>45808</v>
      </c>
      <c r="O4067" t="s">
        <v>15133</v>
      </c>
      <c r="P4067">
        <v>1</v>
      </c>
      <c r="Q4067" t="s">
        <v>7810</v>
      </c>
      <c r="S4067">
        <v>208.95</v>
      </c>
      <c r="T4067">
        <v>240</v>
      </c>
      <c r="U4067">
        <v>180</v>
      </c>
      <c r="V4067" t="s">
        <v>79</v>
      </c>
      <c r="W4067" t="s">
        <v>227</v>
      </c>
      <c r="X4067" t="s">
        <v>3926</v>
      </c>
      <c r="Y4067" t="s">
        <v>699</v>
      </c>
      <c r="AF4067" t="s">
        <v>189</v>
      </c>
      <c r="AI4067" t="s">
        <v>15009</v>
      </c>
      <c r="AL4067" t="s">
        <v>638</v>
      </c>
      <c r="AM4067">
        <v>1</v>
      </c>
      <c r="AN4067" s="2"/>
    </row>
    <row r="4068" spans="1:40" x14ac:dyDescent="0.3">
      <c r="A4068" t="s">
        <v>19156</v>
      </c>
      <c r="B4068" t="s">
        <v>1</v>
      </c>
      <c r="C4068" t="s">
        <v>19157</v>
      </c>
      <c r="D4068" t="s">
        <v>19158</v>
      </c>
      <c r="E4068" t="s">
        <v>19159</v>
      </c>
      <c r="F4068" t="s">
        <v>5</v>
      </c>
      <c r="G4068" t="s">
        <v>6</v>
      </c>
      <c r="L4068" t="s">
        <v>7</v>
      </c>
      <c r="M4068">
        <v>2025</v>
      </c>
      <c r="N4068" s="1">
        <v>45838</v>
      </c>
      <c r="O4068" t="s">
        <v>19160</v>
      </c>
      <c r="P4068">
        <v>1</v>
      </c>
      <c r="S4068">
        <v>208.95</v>
      </c>
      <c r="T4068">
        <v>240</v>
      </c>
      <c r="U4068">
        <v>180</v>
      </c>
      <c r="V4068" t="s">
        <v>9</v>
      </c>
      <c r="W4068" t="s">
        <v>19161</v>
      </c>
      <c r="X4068" t="s">
        <v>19162</v>
      </c>
      <c r="Y4068" t="s">
        <v>169</v>
      </c>
      <c r="AF4068" t="s">
        <v>189</v>
      </c>
      <c r="AI4068" t="s">
        <v>15009</v>
      </c>
      <c r="AL4068" t="s">
        <v>638</v>
      </c>
      <c r="AM4068">
        <v>1</v>
      </c>
      <c r="AN4068" s="2"/>
    </row>
    <row r="4069" spans="1:40" x14ac:dyDescent="0.3">
      <c r="A4069" t="s">
        <v>19163</v>
      </c>
      <c r="B4069" t="s">
        <v>1</v>
      </c>
      <c r="C4069" t="s">
        <v>19164</v>
      </c>
      <c r="D4069" t="s">
        <v>19165</v>
      </c>
      <c r="E4069" t="s">
        <v>19166</v>
      </c>
      <c r="F4069" t="s">
        <v>5</v>
      </c>
      <c r="G4069" t="s">
        <v>6</v>
      </c>
      <c r="L4069" t="s">
        <v>7</v>
      </c>
      <c r="M4069">
        <v>2025</v>
      </c>
      <c r="N4069" s="1">
        <v>45838</v>
      </c>
      <c r="O4069" t="s">
        <v>19167</v>
      </c>
      <c r="P4069">
        <v>1</v>
      </c>
      <c r="Q4069" t="s">
        <v>9122</v>
      </c>
      <c r="S4069">
        <v>400.95</v>
      </c>
      <c r="T4069">
        <v>460</v>
      </c>
      <c r="U4069">
        <v>350</v>
      </c>
      <c r="V4069" t="s">
        <v>297</v>
      </c>
      <c r="W4069" t="s">
        <v>19168</v>
      </c>
      <c r="X4069" t="s">
        <v>19168</v>
      </c>
      <c r="Y4069" t="s">
        <v>14022</v>
      </c>
      <c r="AF4069" t="s">
        <v>189</v>
      </c>
      <c r="AI4069" t="s">
        <v>15009</v>
      </c>
      <c r="AL4069" t="s">
        <v>638</v>
      </c>
      <c r="AM4069">
        <v>1</v>
      </c>
      <c r="AN4069" s="2"/>
    </row>
    <row r="4070" spans="1:40" x14ac:dyDescent="0.3">
      <c r="A4070" t="s">
        <v>19169</v>
      </c>
      <c r="B4070" t="s">
        <v>1</v>
      </c>
      <c r="C4070" t="s">
        <v>19170</v>
      </c>
      <c r="E4070" t="s">
        <v>19171</v>
      </c>
      <c r="F4070" t="s">
        <v>5</v>
      </c>
      <c r="G4070" t="s">
        <v>6</v>
      </c>
      <c r="L4070" t="s">
        <v>7</v>
      </c>
      <c r="M4070">
        <v>2025</v>
      </c>
      <c r="N4070" s="1">
        <v>45776</v>
      </c>
      <c r="O4070" t="s">
        <v>19172</v>
      </c>
      <c r="P4070">
        <v>1</v>
      </c>
      <c r="Q4070" t="s">
        <v>8994</v>
      </c>
      <c r="S4070">
        <v>339.95</v>
      </c>
      <c r="T4070">
        <v>390</v>
      </c>
      <c r="U4070">
        <v>300</v>
      </c>
      <c r="V4070" t="s">
        <v>89</v>
      </c>
      <c r="W4070" t="s">
        <v>90</v>
      </c>
      <c r="X4070" t="s">
        <v>1210</v>
      </c>
      <c r="Y4070" t="s">
        <v>1211</v>
      </c>
      <c r="AF4070" t="s">
        <v>189</v>
      </c>
      <c r="AI4070" t="s">
        <v>15009</v>
      </c>
      <c r="AL4070" t="s">
        <v>638</v>
      </c>
      <c r="AM4070">
        <v>1</v>
      </c>
      <c r="AN4070" s="2"/>
    </row>
    <row r="4071" spans="1:40" x14ac:dyDescent="0.3">
      <c r="A4071" t="s">
        <v>19173</v>
      </c>
      <c r="B4071" t="s">
        <v>1</v>
      </c>
      <c r="C4071" t="s">
        <v>19174</v>
      </c>
      <c r="D4071" t="s">
        <v>19175</v>
      </c>
      <c r="E4071" t="s">
        <v>19176</v>
      </c>
      <c r="F4071" t="s">
        <v>5</v>
      </c>
      <c r="G4071" t="s">
        <v>6</v>
      </c>
      <c r="L4071" t="s">
        <v>7</v>
      </c>
      <c r="M4071">
        <v>2025</v>
      </c>
      <c r="N4071" s="1">
        <v>45838</v>
      </c>
      <c r="O4071" t="s">
        <v>19177</v>
      </c>
      <c r="P4071">
        <v>1</v>
      </c>
      <c r="Q4071" t="s">
        <v>10362</v>
      </c>
      <c r="S4071">
        <v>217.95</v>
      </c>
      <c r="T4071">
        <v>250</v>
      </c>
      <c r="U4071">
        <v>190</v>
      </c>
      <c r="V4071" t="s">
        <v>79</v>
      </c>
      <c r="W4071" t="s">
        <v>209</v>
      </c>
      <c r="X4071" t="s">
        <v>209</v>
      </c>
      <c r="Y4071" t="s">
        <v>19178</v>
      </c>
      <c r="AF4071" t="s">
        <v>189</v>
      </c>
      <c r="AI4071" t="s">
        <v>15009</v>
      </c>
      <c r="AL4071" t="s">
        <v>638</v>
      </c>
      <c r="AM4071">
        <v>1</v>
      </c>
      <c r="AN4071" s="2"/>
    </row>
    <row r="4072" spans="1:40" x14ac:dyDescent="0.3">
      <c r="A4072" t="s">
        <v>19179</v>
      </c>
      <c r="B4072" t="s">
        <v>1</v>
      </c>
      <c r="C4072" t="s">
        <v>19180</v>
      </c>
      <c r="D4072" t="s">
        <v>19181</v>
      </c>
      <c r="E4072" t="s">
        <v>19182</v>
      </c>
      <c r="F4072" t="s">
        <v>5</v>
      </c>
      <c r="G4072" t="s">
        <v>6</v>
      </c>
      <c r="L4072" t="s">
        <v>7</v>
      </c>
      <c r="M4072">
        <v>2025</v>
      </c>
      <c r="N4072" s="1">
        <v>45808</v>
      </c>
      <c r="O4072" t="s">
        <v>19183</v>
      </c>
      <c r="P4072">
        <v>1</v>
      </c>
      <c r="S4072">
        <v>200.95</v>
      </c>
      <c r="T4072">
        <v>230</v>
      </c>
      <c r="U4072">
        <v>180</v>
      </c>
      <c r="V4072" t="s">
        <v>42</v>
      </c>
      <c r="W4072" t="s">
        <v>107</v>
      </c>
      <c r="X4072" t="s">
        <v>108</v>
      </c>
      <c r="Y4072" t="s">
        <v>109</v>
      </c>
      <c r="AF4072" t="s">
        <v>189</v>
      </c>
      <c r="AI4072" t="s">
        <v>15009</v>
      </c>
      <c r="AL4072" t="s">
        <v>638</v>
      </c>
      <c r="AM4072">
        <v>1</v>
      </c>
      <c r="AN4072" s="2"/>
    </row>
    <row r="4073" spans="1:40" x14ac:dyDescent="0.3">
      <c r="A4073" t="s">
        <v>19184</v>
      </c>
      <c r="B4073" t="s">
        <v>1</v>
      </c>
      <c r="C4073" t="s">
        <v>19185</v>
      </c>
      <c r="D4073" t="s">
        <v>19186</v>
      </c>
      <c r="E4073" t="s">
        <v>19187</v>
      </c>
      <c r="F4073" t="s">
        <v>5</v>
      </c>
      <c r="G4073" t="s">
        <v>6</v>
      </c>
      <c r="L4073" t="s">
        <v>7</v>
      </c>
      <c r="M4073">
        <v>2025</v>
      </c>
      <c r="N4073" s="1">
        <v>45838</v>
      </c>
      <c r="O4073" t="s">
        <v>19188</v>
      </c>
      <c r="P4073">
        <v>1</v>
      </c>
      <c r="Q4073" t="s">
        <v>7086</v>
      </c>
      <c r="S4073">
        <v>191.95</v>
      </c>
      <c r="T4073">
        <v>220</v>
      </c>
      <c r="U4073">
        <v>170</v>
      </c>
      <c r="V4073" t="s">
        <v>297</v>
      </c>
      <c r="W4073" t="s">
        <v>298</v>
      </c>
      <c r="X4073" t="s">
        <v>298</v>
      </c>
      <c r="Y4073" t="s">
        <v>299</v>
      </c>
      <c r="AF4073" t="s">
        <v>189</v>
      </c>
      <c r="AI4073" t="s">
        <v>15009</v>
      </c>
      <c r="AL4073" t="s">
        <v>638</v>
      </c>
      <c r="AM4073">
        <v>1</v>
      </c>
      <c r="AN4073" s="2"/>
    </row>
    <row r="4074" spans="1:40" x14ac:dyDescent="0.3">
      <c r="A4074" t="s">
        <v>19189</v>
      </c>
      <c r="B4074" t="s">
        <v>1</v>
      </c>
      <c r="C4074" t="s">
        <v>19190</v>
      </c>
      <c r="E4074" t="s">
        <v>19191</v>
      </c>
      <c r="F4074" t="s">
        <v>5</v>
      </c>
      <c r="G4074" t="s">
        <v>6</v>
      </c>
      <c r="L4074" t="s">
        <v>7</v>
      </c>
      <c r="M4074">
        <v>2025</v>
      </c>
      <c r="N4074" s="1">
        <v>45838</v>
      </c>
      <c r="O4074" t="s">
        <v>19192</v>
      </c>
      <c r="P4074">
        <v>1</v>
      </c>
      <c r="S4074">
        <v>217.95</v>
      </c>
      <c r="T4074">
        <v>250</v>
      </c>
      <c r="U4074">
        <v>190</v>
      </c>
      <c r="V4074" t="s">
        <v>58</v>
      </c>
      <c r="W4074" t="s">
        <v>59</v>
      </c>
      <c r="X4074" t="s">
        <v>60</v>
      </c>
      <c r="Y4074" t="s">
        <v>5536</v>
      </c>
      <c r="AF4074" t="s">
        <v>189</v>
      </c>
      <c r="AI4074" t="s">
        <v>15009</v>
      </c>
      <c r="AL4074" t="s">
        <v>638</v>
      </c>
      <c r="AM4074">
        <v>1</v>
      </c>
      <c r="AN4074" s="2"/>
    </row>
    <row r="4075" spans="1:40" x14ac:dyDescent="0.3">
      <c r="A4075" t="s">
        <v>19193</v>
      </c>
      <c r="B4075" t="s">
        <v>1</v>
      </c>
      <c r="C4075" t="s">
        <v>19194</v>
      </c>
      <c r="D4075" t="s">
        <v>19195</v>
      </c>
      <c r="E4075" t="s">
        <v>19196</v>
      </c>
      <c r="F4075" t="s">
        <v>5</v>
      </c>
      <c r="G4075" t="s">
        <v>6</v>
      </c>
      <c r="L4075" t="s">
        <v>7</v>
      </c>
      <c r="M4075">
        <v>2025</v>
      </c>
      <c r="N4075" s="1">
        <v>45808</v>
      </c>
      <c r="O4075" t="s">
        <v>19197</v>
      </c>
      <c r="P4075">
        <v>1</v>
      </c>
      <c r="S4075">
        <v>208.95</v>
      </c>
      <c r="T4075">
        <v>240</v>
      </c>
      <c r="U4075">
        <v>180</v>
      </c>
      <c r="V4075" t="s">
        <v>42</v>
      </c>
      <c r="W4075" t="s">
        <v>116</v>
      </c>
      <c r="X4075" t="s">
        <v>116</v>
      </c>
      <c r="Y4075" t="s">
        <v>17995</v>
      </c>
      <c r="AF4075" t="s">
        <v>189</v>
      </c>
      <c r="AI4075" t="s">
        <v>15009</v>
      </c>
      <c r="AL4075" t="s">
        <v>638</v>
      </c>
      <c r="AM4075">
        <v>1</v>
      </c>
      <c r="AN4075" s="2"/>
    </row>
    <row r="4076" spans="1:40" x14ac:dyDescent="0.3">
      <c r="A4076" t="s">
        <v>19198</v>
      </c>
      <c r="B4076" t="s">
        <v>1</v>
      </c>
      <c r="C4076" t="s">
        <v>19199</v>
      </c>
      <c r="E4076" t="s">
        <v>19200</v>
      </c>
      <c r="F4076" t="s">
        <v>5</v>
      </c>
      <c r="G4076" t="s">
        <v>6</v>
      </c>
      <c r="L4076" t="s">
        <v>7</v>
      </c>
      <c r="M4076">
        <v>2025</v>
      </c>
      <c r="N4076" s="1">
        <v>45808</v>
      </c>
      <c r="O4076" t="s">
        <v>19201</v>
      </c>
      <c r="P4076">
        <v>1</v>
      </c>
      <c r="S4076">
        <v>208.95</v>
      </c>
      <c r="T4076">
        <v>240</v>
      </c>
      <c r="U4076">
        <v>180</v>
      </c>
      <c r="V4076" t="s">
        <v>305</v>
      </c>
      <c r="W4076" t="s">
        <v>2566</v>
      </c>
      <c r="X4076" t="s">
        <v>2567</v>
      </c>
      <c r="Y4076" t="s">
        <v>12</v>
      </c>
      <c r="AF4076" t="s">
        <v>189</v>
      </c>
      <c r="AI4076" t="s">
        <v>15009</v>
      </c>
      <c r="AL4076" t="s">
        <v>638</v>
      </c>
      <c r="AM4076">
        <v>1</v>
      </c>
      <c r="AN4076" s="2"/>
    </row>
    <row r="4077" spans="1:40" x14ac:dyDescent="0.3">
      <c r="A4077" t="s">
        <v>19202</v>
      </c>
      <c r="B4077" t="s">
        <v>1</v>
      </c>
      <c r="C4077" t="s">
        <v>19203</v>
      </c>
      <c r="D4077" t="s">
        <v>19204</v>
      </c>
      <c r="E4077" t="s">
        <v>19205</v>
      </c>
      <c r="F4077" t="s">
        <v>5</v>
      </c>
      <c r="G4077" t="s">
        <v>6</v>
      </c>
      <c r="K4077" t="s">
        <v>19206</v>
      </c>
      <c r="L4077" t="s">
        <v>7</v>
      </c>
      <c r="M4077">
        <v>2025</v>
      </c>
      <c r="N4077" s="1">
        <v>45838</v>
      </c>
      <c r="O4077" t="s">
        <v>2752</v>
      </c>
      <c r="P4077">
        <v>1</v>
      </c>
      <c r="Q4077" t="s">
        <v>18539</v>
      </c>
      <c r="V4077" t="s">
        <v>305</v>
      </c>
      <c r="W4077" t="s">
        <v>2566</v>
      </c>
      <c r="X4077" t="s">
        <v>2567</v>
      </c>
      <c r="Y4077" t="s">
        <v>7060</v>
      </c>
      <c r="AF4077" t="s">
        <v>189</v>
      </c>
      <c r="AI4077" t="s">
        <v>15009</v>
      </c>
      <c r="AL4077" t="s">
        <v>638</v>
      </c>
      <c r="AM4077">
        <v>1</v>
      </c>
      <c r="AN4077" s="2"/>
    </row>
    <row r="4078" spans="1:40" x14ac:dyDescent="0.3">
      <c r="A4078" t="s">
        <v>19207</v>
      </c>
      <c r="B4078" t="s">
        <v>1</v>
      </c>
      <c r="C4078" t="s">
        <v>19208</v>
      </c>
      <c r="D4078" t="s">
        <v>19209</v>
      </c>
      <c r="E4078" t="s">
        <v>19210</v>
      </c>
      <c r="F4078" t="s">
        <v>5</v>
      </c>
      <c r="G4078" t="s">
        <v>6</v>
      </c>
      <c r="L4078" t="s">
        <v>7</v>
      </c>
      <c r="M4078">
        <v>2012</v>
      </c>
      <c r="N4078" s="1">
        <v>44707</v>
      </c>
      <c r="O4078" t="s">
        <v>19211</v>
      </c>
      <c r="P4078">
        <v>1</v>
      </c>
      <c r="Q4078" t="s">
        <v>7266</v>
      </c>
      <c r="S4078">
        <v>243.95</v>
      </c>
      <c r="T4078">
        <v>280</v>
      </c>
      <c r="U4078">
        <v>210</v>
      </c>
      <c r="V4078" t="s">
        <v>42</v>
      </c>
      <c r="W4078" t="s">
        <v>107</v>
      </c>
      <c r="X4078" t="s">
        <v>108</v>
      </c>
      <c r="Y4078" t="s">
        <v>952</v>
      </c>
      <c r="AF4078" t="s">
        <v>13</v>
      </c>
      <c r="AH4078" t="str">
        <f>HYPERLINK("http://www.degruyter.com/isbn/9781474472388")</f>
        <v>http://www.degruyter.com/isbn/9781474472388</v>
      </c>
      <c r="AL4078" t="s">
        <v>47</v>
      </c>
      <c r="AM4078">
        <v>1</v>
      </c>
      <c r="AN4078" s="2"/>
    </row>
    <row r="4079" spans="1:40" x14ac:dyDescent="0.3">
      <c r="A4079" t="s">
        <v>19212</v>
      </c>
      <c r="B4079" t="s">
        <v>1</v>
      </c>
      <c r="C4079" t="s">
        <v>19213</v>
      </c>
      <c r="E4079" t="s">
        <v>19214</v>
      </c>
      <c r="F4079" t="s">
        <v>5</v>
      </c>
      <c r="G4079" t="s">
        <v>6</v>
      </c>
      <c r="L4079" t="s">
        <v>7</v>
      </c>
      <c r="M4079">
        <v>2025</v>
      </c>
      <c r="N4079" s="1">
        <v>45808</v>
      </c>
      <c r="O4079" t="s">
        <v>19215</v>
      </c>
      <c r="P4079">
        <v>1</v>
      </c>
      <c r="S4079">
        <v>286.95</v>
      </c>
      <c r="T4079">
        <v>330</v>
      </c>
      <c r="U4079">
        <v>250</v>
      </c>
      <c r="V4079" t="s">
        <v>42</v>
      </c>
      <c r="W4079" t="s">
        <v>43</v>
      </c>
      <c r="X4079" t="s">
        <v>8073</v>
      </c>
      <c r="Y4079" t="s">
        <v>742</v>
      </c>
      <c r="AF4079" t="s">
        <v>189</v>
      </c>
      <c r="AI4079" t="s">
        <v>15009</v>
      </c>
      <c r="AL4079" t="s">
        <v>638</v>
      </c>
      <c r="AM4079">
        <v>1</v>
      </c>
      <c r="AN4079" s="2"/>
    </row>
    <row r="4080" spans="1:40" x14ac:dyDescent="0.3">
      <c r="A4080" t="s">
        <v>19216</v>
      </c>
      <c r="B4080" t="s">
        <v>1</v>
      </c>
      <c r="C4080" t="s">
        <v>19217</v>
      </c>
      <c r="D4080" t="s">
        <v>19218</v>
      </c>
      <c r="E4080" t="s">
        <v>19219</v>
      </c>
      <c r="F4080" t="s">
        <v>5</v>
      </c>
      <c r="G4080" t="s">
        <v>6</v>
      </c>
      <c r="L4080" t="s">
        <v>7</v>
      </c>
      <c r="M4080">
        <v>2000</v>
      </c>
      <c r="N4080" s="1">
        <v>43676</v>
      </c>
      <c r="O4080" t="s">
        <v>19220</v>
      </c>
      <c r="P4080">
        <v>1</v>
      </c>
      <c r="S4080">
        <v>295.95</v>
      </c>
      <c r="T4080">
        <v>340</v>
      </c>
      <c r="U4080">
        <v>260</v>
      </c>
      <c r="V4080" t="s">
        <v>9</v>
      </c>
      <c r="W4080" t="s">
        <v>19161</v>
      </c>
      <c r="X4080" t="s">
        <v>19162</v>
      </c>
      <c r="Y4080" t="s">
        <v>169</v>
      </c>
      <c r="AF4080" t="s">
        <v>189</v>
      </c>
      <c r="AL4080" t="s">
        <v>15</v>
      </c>
      <c r="AM4080">
        <v>1</v>
      </c>
      <c r="AN4080" s="2"/>
    </row>
    <row r="4081" spans="1:40" x14ac:dyDescent="0.3">
      <c r="A4081" t="s">
        <v>19221</v>
      </c>
      <c r="B4081" t="s">
        <v>1</v>
      </c>
      <c r="C4081" t="s">
        <v>19222</v>
      </c>
      <c r="D4081" t="s">
        <v>19223</v>
      </c>
      <c r="E4081" t="s">
        <v>19224</v>
      </c>
      <c r="F4081" t="s">
        <v>5</v>
      </c>
      <c r="G4081" t="s">
        <v>6</v>
      </c>
      <c r="K4081" t="s">
        <v>19206</v>
      </c>
      <c r="L4081" t="s">
        <v>7</v>
      </c>
      <c r="M4081">
        <v>2025</v>
      </c>
      <c r="N4081" s="1">
        <v>45808</v>
      </c>
      <c r="O4081" t="s">
        <v>19225</v>
      </c>
      <c r="P4081">
        <v>1</v>
      </c>
      <c r="Q4081" t="s">
        <v>18539</v>
      </c>
      <c r="V4081" t="s">
        <v>305</v>
      </c>
      <c r="W4081" t="s">
        <v>2566</v>
      </c>
      <c r="X4081" t="s">
        <v>2567</v>
      </c>
      <c r="Y4081" t="s">
        <v>7060</v>
      </c>
      <c r="AF4081" t="s">
        <v>189</v>
      </c>
      <c r="AI4081" t="s">
        <v>15009</v>
      </c>
      <c r="AL4081" t="s">
        <v>638</v>
      </c>
      <c r="AM4081">
        <v>1</v>
      </c>
      <c r="AN4081" s="2"/>
    </row>
    <row r="4082" spans="1:40" x14ac:dyDescent="0.3">
      <c r="A4082" t="s">
        <v>19226</v>
      </c>
      <c r="B4082" t="s">
        <v>1</v>
      </c>
      <c r="C4082" t="s">
        <v>19227</v>
      </c>
      <c r="D4082" t="s">
        <v>19228</v>
      </c>
      <c r="E4082" t="s">
        <v>19229</v>
      </c>
      <c r="F4082" t="s">
        <v>5</v>
      </c>
      <c r="G4082" t="s">
        <v>6</v>
      </c>
      <c r="L4082" t="s">
        <v>7</v>
      </c>
      <c r="M4082">
        <v>2014</v>
      </c>
      <c r="N4082" s="1">
        <v>41943</v>
      </c>
      <c r="P4082">
        <v>1</v>
      </c>
      <c r="Q4082" t="s">
        <v>16816</v>
      </c>
      <c r="S4082">
        <v>86.95</v>
      </c>
      <c r="T4082">
        <v>100</v>
      </c>
      <c r="U4082">
        <v>72</v>
      </c>
      <c r="V4082" t="s">
        <v>297</v>
      </c>
      <c r="W4082" t="s">
        <v>298</v>
      </c>
      <c r="X4082" t="s">
        <v>298</v>
      </c>
      <c r="Y4082" t="s">
        <v>299</v>
      </c>
      <c r="AF4082" t="s">
        <v>13</v>
      </c>
      <c r="AH4082" t="str">
        <f>HYPERLINK("http://www.degruyter.com/isbn/9781909724464")</f>
        <v>http://www.degruyter.com/isbn/9781909724464</v>
      </c>
      <c r="AL4082" t="s">
        <v>83</v>
      </c>
      <c r="AM4082">
        <v>1</v>
      </c>
      <c r="AN4082" s="2"/>
    </row>
    <row r="4083" spans="1:40" x14ac:dyDescent="0.3">
      <c r="A4083" t="s">
        <v>19230</v>
      </c>
      <c r="B4083" t="s">
        <v>1</v>
      </c>
      <c r="C4083" t="s">
        <v>19231</v>
      </c>
      <c r="E4083" t="s">
        <v>19232</v>
      </c>
      <c r="F4083" t="s">
        <v>5</v>
      </c>
      <c r="G4083" t="s">
        <v>6</v>
      </c>
      <c r="L4083" t="s">
        <v>7</v>
      </c>
      <c r="M4083">
        <v>2007</v>
      </c>
      <c r="N4083" s="1">
        <v>44707</v>
      </c>
      <c r="O4083" t="s">
        <v>19233</v>
      </c>
      <c r="P4083">
        <v>1</v>
      </c>
      <c r="Q4083" t="s">
        <v>7266</v>
      </c>
      <c r="S4083">
        <v>226.95</v>
      </c>
      <c r="T4083">
        <v>260</v>
      </c>
      <c r="U4083">
        <v>200</v>
      </c>
      <c r="V4083" t="s">
        <v>42</v>
      </c>
      <c r="W4083" t="s">
        <v>116</v>
      </c>
      <c r="X4083" t="s">
        <v>116</v>
      </c>
      <c r="Y4083" t="s">
        <v>117</v>
      </c>
      <c r="AF4083" t="s">
        <v>13</v>
      </c>
      <c r="AH4083" t="str">
        <f>HYPERLINK("http://www.degruyter.com/isbn/9781474472395")</f>
        <v>http://www.degruyter.com/isbn/9781474472395</v>
      </c>
      <c r="AL4083" t="s">
        <v>47</v>
      </c>
      <c r="AM4083">
        <v>1</v>
      </c>
      <c r="AN4083" s="2"/>
    </row>
    <row r="4084" spans="1:40" x14ac:dyDescent="0.3">
      <c r="A4084" t="s">
        <v>19234</v>
      </c>
      <c r="B4084" t="s">
        <v>1</v>
      </c>
      <c r="C4084" t="s">
        <v>19235</v>
      </c>
      <c r="D4084" t="s">
        <v>19236</v>
      </c>
      <c r="E4084" t="s">
        <v>19237</v>
      </c>
      <c r="F4084" t="s">
        <v>5</v>
      </c>
      <c r="G4084" t="s">
        <v>6</v>
      </c>
      <c r="L4084" t="s">
        <v>7</v>
      </c>
      <c r="M4084">
        <v>2021</v>
      </c>
      <c r="N4084" s="1">
        <v>44799</v>
      </c>
      <c r="O4084" t="s">
        <v>19238</v>
      </c>
      <c r="P4084">
        <v>1</v>
      </c>
      <c r="S4084">
        <v>226.95</v>
      </c>
      <c r="T4084">
        <v>260</v>
      </c>
      <c r="U4084">
        <v>200</v>
      </c>
      <c r="V4084" t="s">
        <v>42</v>
      </c>
      <c r="W4084" t="s">
        <v>107</v>
      </c>
      <c r="X4084" t="s">
        <v>108</v>
      </c>
      <c r="Y4084" t="s">
        <v>2244</v>
      </c>
      <c r="AF4084" t="s">
        <v>13</v>
      </c>
      <c r="AH4084" t="str">
        <f>HYPERLINK("http://www.degruyter.com/isbn/9781474478007")</f>
        <v>http://www.degruyter.com/isbn/9781474478007</v>
      </c>
      <c r="AL4084" t="s">
        <v>47</v>
      </c>
      <c r="AM4084">
        <v>1</v>
      </c>
      <c r="AN4084" s="2"/>
    </row>
    <row r="4085" spans="1:40" x14ac:dyDescent="0.3">
      <c r="A4085" t="s">
        <v>19239</v>
      </c>
      <c r="B4085" t="s">
        <v>1</v>
      </c>
      <c r="C4085" t="s">
        <v>19240</v>
      </c>
      <c r="D4085" t="s">
        <v>19241</v>
      </c>
      <c r="E4085" t="s">
        <v>19242</v>
      </c>
      <c r="F4085" t="s">
        <v>5</v>
      </c>
      <c r="G4085" t="s">
        <v>6</v>
      </c>
      <c r="L4085" t="s">
        <v>7</v>
      </c>
      <c r="M4085">
        <v>2025</v>
      </c>
      <c r="N4085" s="1">
        <v>45838</v>
      </c>
      <c r="O4085" t="s">
        <v>19243</v>
      </c>
      <c r="P4085">
        <v>1</v>
      </c>
      <c r="Q4085" t="s">
        <v>13460</v>
      </c>
      <c r="S4085">
        <v>217.95</v>
      </c>
      <c r="T4085">
        <v>250</v>
      </c>
      <c r="U4085">
        <v>190</v>
      </c>
      <c r="V4085" t="s">
        <v>20</v>
      </c>
      <c r="W4085" t="s">
        <v>21</v>
      </c>
      <c r="X4085" t="s">
        <v>458</v>
      </c>
      <c r="Y4085" t="s">
        <v>1816</v>
      </c>
      <c r="AF4085" t="s">
        <v>189</v>
      </c>
      <c r="AI4085" t="s">
        <v>15009</v>
      </c>
      <c r="AL4085" t="s">
        <v>638</v>
      </c>
      <c r="AM4085">
        <v>1</v>
      </c>
      <c r="AN4085" s="2"/>
    </row>
    <row r="4086" spans="1:40" x14ac:dyDescent="0.3">
      <c r="A4086" t="s">
        <v>19244</v>
      </c>
      <c r="B4086" t="s">
        <v>1</v>
      </c>
      <c r="C4086" t="s">
        <v>19245</v>
      </c>
      <c r="E4086" t="s">
        <v>19246</v>
      </c>
      <c r="F4086" t="s">
        <v>5</v>
      </c>
      <c r="G4086" t="s">
        <v>6</v>
      </c>
      <c r="K4086" t="s">
        <v>19206</v>
      </c>
      <c r="L4086" t="s">
        <v>7</v>
      </c>
      <c r="M4086">
        <v>2025</v>
      </c>
      <c r="N4086" s="1">
        <v>45808</v>
      </c>
      <c r="O4086" t="s">
        <v>19247</v>
      </c>
      <c r="P4086">
        <v>1</v>
      </c>
      <c r="Q4086" t="s">
        <v>6665</v>
      </c>
      <c r="V4086" t="s">
        <v>305</v>
      </c>
      <c r="W4086" t="s">
        <v>2566</v>
      </c>
      <c r="X4086" t="s">
        <v>2567</v>
      </c>
      <c r="Y4086" t="s">
        <v>12</v>
      </c>
      <c r="AF4086" t="s">
        <v>189</v>
      </c>
      <c r="AI4086" t="s">
        <v>15009</v>
      </c>
      <c r="AL4086" t="s">
        <v>638</v>
      </c>
      <c r="AM4086">
        <v>1</v>
      </c>
      <c r="AN4086" s="2"/>
    </row>
    <row r="4087" spans="1:40" x14ac:dyDescent="0.3">
      <c r="A4087" t="s">
        <v>19248</v>
      </c>
      <c r="B4087" t="s">
        <v>1</v>
      </c>
      <c r="C4087" t="s">
        <v>19249</v>
      </c>
      <c r="E4087" t="s">
        <v>19250</v>
      </c>
      <c r="F4087" t="s">
        <v>5</v>
      </c>
      <c r="G4087" t="s">
        <v>6</v>
      </c>
      <c r="L4087" t="s">
        <v>7</v>
      </c>
      <c r="M4087">
        <v>2025</v>
      </c>
      <c r="N4087" s="1">
        <v>45838</v>
      </c>
      <c r="O4087" t="s">
        <v>19251</v>
      </c>
      <c r="P4087">
        <v>1</v>
      </c>
      <c r="Q4087" t="s">
        <v>12993</v>
      </c>
      <c r="S4087">
        <v>217.95</v>
      </c>
      <c r="T4087">
        <v>250</v>
      </c>
      <c r="U4087">
        <v>190</v>
      </c>
      <c r="V4087" t="s">
        <v>42</v>
      </c>
      <c r="W4087" t="s">
        <v>107</v>
      </c>
      <c r="X4087" t="s">
        <v>108</v>
      </c>
      <c r="Y4087" t="s">
        <v>952</v>
      </c>
      <c r="AF4087" t="s">
        <v>189</v>
      </c>
      <c r="AI4087" t="s">
        <v>15009</v>
      </c>
      <c r="AL4087" t="s">
        <v>638</v>
      </c>
      <c r="AM4087">
        <v>1</v>
      </c>
      <c r="AN4087" s="2"/>
    </row>
    <row r="4088" spans="1:40" x14ac:dyDescent="0.3">
      <c r="A4088" t="s">
        <v>19252</v>
      </c>
      <c r="B4088" t="s">
        <v>1</v>
      </c>
      <c r="C4088" t="s">
        <v>19253</v>
      </c>
      <c r="E4088" t="s">
        <v>19254</v>
      </c>
      <c r="F4088" t="s">
        <v>5</v>
      </c>
      <c r="G4088" t="s">
        <v>6</v>
      </c>
      <c r="L4088" t="s">
        <v>7</v>
      </c>
      <c r="M4088">
        <v>2007</v>
      </c>
      <c r="N4088" s="1">
        <v>44707</v>
      </c>
      <c r="O4088" t="s">
        <v>19255</v>
      </c>
      <c r="P4088">
        <v>1</v>
      </c>
      <c r="Q4088" t="s">
        <v>7266</v>
      </c>
      <c r="S4088">
        <v>278.95</v>
      </c>
      <c r="T4088">
        <v>320</v>
      </c>
      <c r="U4088">
        <v>240</v>
      </c>
      <c r="V4088" t="s">
        <v>42</v>
      </c>
      <c r="W4088" t="s">
        <v>107</v>
      </c>
      <c r="X4088" t="s">
        <v>108</v>
      </c>
      <c r="Y4088" t="s">
        <v>109</v>
      </c>
      <c r="AF4088" t="s">
        <v>13</v>
      </c>
      <c r="AH4088" t="str">
        <f>HYPERLINK("http://www.degruyter.com/isbn/9780748628315")</f>
        <v>http://www.degruyter.com/isbn/9780748628315</v>
      </c>
      <c r="AL4088" t="s">
        <v>47</v>
      </c>
      <c r="AM4088">
        <v>1</v>
      </c>
      <c r="AN4088" s="2"/>
    </row>
    <row r="4089" spans="1:40" x14ac:dyDescent="0.3">
      <c r="A4089" t="s">
        <v>19256</v>
      </c>
      <c r="B4089" t="s">
        <v>1</v>
      </c>
      <c r="C4089" t="s">
        <v>19257</v>
      </c>
      <c r="D4089" t="s">
        <v>19258</v>
      </c>
      <c r="E4089" t="s">
        <v>19259</v>
      </c>
      <c r="F4089" t="s">
        <v>5</v>
      </c>
      <c r="G4089" t="s">
        <v>6</v>
      </c>
      <c r="L4089" t="s">
        <v>7</v>
      </c>
      <c r="M4089">
        <v>2013</v>
      </c>
      <c r="N4089" s="1">
        <v>41516</v>
      </c>
      <c r="O4089" t="s">
        <v>19260</v>
      </c>
      <c r="P4089">
        <v>1</v>
      </c>
      <c r="Q4089" t="s">
        <v>16816</v>
      </c>
      <c r="S4089">
        <v>59.95</v>
      </c>
      <c r="T4089">
        <v>68</v>
      </c>
      <c r="U4089">
        <v>52</v>
      </c>
      <c r="V4089" t="s">
        <v>20</v>
      </c>
      <c r="W4089" t="s">
        <v>556</v>
      </c>
      <c r="X4089" t="s">
        <v>1540</v>
      </c>
      <c r="Y4089" t="s">
        <v>13617</v>
      </c>
      <c r="AF4089" t="s">
        <v>13</v>
      </c>
      <c r="AH4089" t="str">
        <f>HYPERLINK("http://www.degruyter.com/isbn/9781909724228")</f>
        <v>http://www.degruyter.com/isbn/9781909724228</v>
      </c>
      <c r="AL4089" t="s">
        <v>15</v>
      </c>
      <c r="AM4089">
        <v>1</v>
      </c>
      <c r="AN4089" s="2"/>
    </row>
    <row r="4090" spans="1:40" x14ac:dyDescent="0.3">
      <c r="A4090" t="s">
        <v>19261</v>
      </c>
      <c r="B4090" t="s">
        <v>1</v>
      </c>
      <c r="C4090" t="s">
        <v>17383</v>
      </c>
      <c r="D4090" t="s">
        <v>19262</v>
      </c>
      <c r="E4090" t="s">
        <v>17384</v>
      </c>
      <c r="F4090" t="s">
        <v>5</v>
      </c>
      <c r="G4090" t="s">
        <v>6</v>
      </c>
      <c r="L4090" t="s">
        <v>7</v>
      </c>
      <c r="M4090">
        <v>2025</v>
      </c>
      <c r="N4090" s="1">
        <v>45777</v>
      </c>
      <c r="O4090" t="s">
        <v>17385</v>
      </c>
      <c r="P4090">
        <v>3</v>
      </c>
      <c r="S4090">
        <v>243.95</v>
      </c>
      <c r="T4090">
        <v>280</v>
      </c>
      <c r="U4090">
        <v>210</v>
      </c>
      <c r="V4090" t="s">
        <v>98</v>
      </c>
      <c r="W4090" t="s">
        <v>99</v>
      </c>
      <c r="X4090" t="s">
        <v>2010</v>
      </c>
      <c r="Y4090" t="s">
        <v>2011</v>
      </c>
      <c r="AF4090" t="s">
        <v>189</v>
      </c>
      <c r="AI4090" t="s">
        <v>15009</v>
      </c>
      <c r="AL4090" t="s">
        <v>638</v>
      </c>
      <c r="AM4090">
        <v>1</v>
      </c>
      <c r="AN4090" s="2"/>
    </row>
    <row r="4091" spans="1:40" x14ac:dyDescent="0.3">
      <c r="A4091" t="s">
        <v>19263</v>
      </c>
      <c r="B4091" t="s">
        <v>1</v>
      </c>
      <c r="C4091" t="s">
        <v>19264</v>
      </c>
      <c r="D4091" t="s">
        <v>19265</v>
      </c>
      <c r="E4091" t="s">
        <v>19266</v>
      </c>
      <c r="F4091" t="s">
        <v>5</v>
      </c>
      <c r="G4091" t="s">
        <v>6</v>
      </c>
      <c r="L4091" t="s">
        <v>7</v>
      </c>
      <c r="M4091">
        <v>1998</v>
      </c>
      <c r="N4091" s="1">
        <v>35976</v>
      </c>
      <c r="O4091" t="s">
        <v>19267</v>
      </c>
      <c r="P4091">
        <v>1</v>
      </c>
      <c r="S4091">
        <v>73.95</v>
      </c>
      <c r="T4091">
        <v>84</v>
      </c>
      <c r="U4091">
        <v>64</v>
      </c>
      <c r="V4091" t="s">
        <v>42</v>
      </c>
      <c r="W4091" t="s">
        <v>107</v>
      </c>
      <c r="X4091" t="s">
        <v>108</v>
      </c>
      <c r="Y4091" t="s">
        <v>109</v>
      </c>
      <c r="AF4091" t="s">
        <v>13</v>
      </c>
      <c r="AH4091" t="str">
        <f>HYPERLINK("http://www.degruyter.com/isbn/9780748674183")</f>
        <v>http://www.degruyter.com/isbn/9780748674183</v>
      </c>
      <c r="AL4091" t="s">
        <v>47</v>
      </c>
      <c r="AM4091">
        <v>1</v>
      </c>
      <c r="AN4091" s="2"/>
    </row>
    <row r="4092" spans="1:40" x14ac:dyDescent="0.3">
      <c r="A4092" t="s">
        <v>19268</v>
      </c>
      <c r="B4092" t="s">
        <v>1</v>
      </c>
      <c r="C4092" t="s">
        <v>19269</v>
      </c>
      <c r="D4092" t="s">
        <v>19270</v>
      </c>
      <c r="E4092" t="s">
        <v>19271</v>
      </c>
      <c r="F4092" t="s">
        <v>5</v>
      </c>
      <c r="G4092" t="s">
        <v>6</v>
      </c>
      <c r="K4092" t="s">
        <v>19206</v>
      </c>
      <c r="L4092" t="s">
        <v>7</v>
      </c>
      <c r="M4092">
        <v>2025</v>
      </c>
      <c r="N4092" s="1">
        <v>45838</v>
      </c>
      <c r="O4092" t="s">
        <v>19272</v>
      </c>
      <c r="P4092">
        <v>1</v>
      </c>
      <c r="Q4092" t="s">
        <v>8587</v>
      </c>
      <c r="V4092" t="s">
        <v>297</v>
      </c>
      <c r="W4092" t="s">
        <v>19273</v>
      </c>
      <c r="X4092" t="s">
        <v>19273</v>
      </c>
      <c r="Y4092" t="s">
        <v>4410</v>
      </c>
      <c r="AF4092" t="s">
        <v>189</v>
      </c>
      <c r="AI4092" t="s">
        <v>15009</v>
      </c>
      <c r="AL4092" t="s">
        <v>638</v>
      </c>
      <c r="AM4092">
        <v>1</v>
      </c>
      <c r="AN4092" s="2"/>
    </row>
    <row r="4093" spans="1:40" x14ac:dyDescent="0.3">
      <c r="A4093" t="s">
        <v>19274</v>
      </c>
      <c r="B4093" t="s">
        <v>1</v>
      </c>
      <c r="C4093" t="s">
        <v>19275</v>
      </c>
      <c r="D4093" t="s">
        <v>19276</v>
      </c>
      <c r="E4093" t="s">
        <v>19277</v>
      </c>
      <c r="F4093" t="s">
        <v>5</v>
      </c>
      <c r="G4093" t="s">
        <v>6</v>
      </c>
      <c r="L4093" t="s">
        <v>7</v>
      </c>
      <c r="M4093">
        <v>2025</v>
      </c>
      <c r="N4093" s="1">
        <v>45838</v>
      </c>
      <c r="O4093" t="s">
        <v>19278</v>
      </c>
      <c r="P4093">
        <v>1</v>
      </c>
      <c r="S4093">
        <v>208.95</v>
      </c>
      <c r="T4093">
        <v>240</v>
      </c>
      <c r="U4093">
        <v>180</v>
      </c>
      <c r="V4093" t="s">
        <v>42</v>
      </c>
      <c r="W4093" t="s">
        <v>107</v>
      </c>
      <c r="X4093" t="s">
        <v>108</v>
      </c>
      <c r="Y4093" t="s">
        <v>109</v>
      </c>
      <c r="AF4093" t="s">
        <v>189</v>
      </c>
      <c r="AI4093" t="s">
        <v>15009</v>
      </c>
      <c r="AL4093" t="s">
        <v>638</v>
      </c>
      <c r="AM4093">
        <v>1</v>
      </c>
      <c r="AN4093" s="2"/>
    </row>
    <row r="4094" spans="1:40" x14ac:dyDescent="0.3">
      <c r="A4094" t="s">
        <v>19279</v>
      </c>
      <c r="B4094" t="s">
        <v>1</v>
      </c>
      <c r="C4094" t="s">
        <v>19280</v>
      </c>
      <c r="D4094" t="s">
        <v>19281</v>
      </c>
      <c r="E4094" t="s">
        <v>19282</v>
      </c>
      <c r="F4094" t="s">
        <v>5</v>
      </c>
      <c r="G4094" t="s">
        <v>6</v>
      </c>
      <c r="L4094" t="s">
        <v>7</v>
      </c>
      <c r="M4094">
        <v>2025</v>
      </c>
      <c r="N4094" s="1">
        <v>45838</v>
      </c>
      <c r="O4094" t="s">
        <v>19283</v>
      </c>
      <c r="P4094">
        <v>1</v>
      </c>
      <c r="S4094">
        <v>217.95</v>
      </c>
      <c r="T4094">
        <v>250</v>
      </c>
      <c r="U4094">
        <v>190</v>
      </c>
      <c r="V4094" t="s">
        <v>268</v>
      </c>
      <c r="W4094" t="s">
        <v>269</v>
      </c>
      <c r="X4094" t="s">
        <v>269</v>
      </c>
      <c r="Y4094" t="s">
        <v>360</v>
      </c>
      <c r="AF4094" t="s">
        <v>189</v>
      </c>
      <c r="AI4094" t="s">
        <v>15009</v>
      </c>
      <c r="AL4094" t="s">
        <v>638</v>
      </c>
      <c r="AM4094">
        <v>1</v>
      </c>
      <c r="AN4094" s="2"/>
    </row>
    <row r="4095" spans="1:40" x14ac:dyDescent="0.3">
      <c r="A4095" t="s">
        <v>19284</v>
      </c>
      <c r="B4095" t="s">
        <v>1</v>
      </c>
      <c r="C4095" t="s">
        <v>19285</v>
      </c>
      <c r="E4095" t="s">
        <v>19286</v>
      </c>
      <c r="F4095" t="s">
        <v>5</v>
      </c>
      <c r="G4095" t="s">
        <v>6</v>
      </c>
      <c r="L4095" t="s">
        <v>7</v>
      </c>
      <c r="M4095">
        <v>2025</v>
      </c>
      <c r="N4095" s="1">
        <v>45808</v>
      </c>
      <c r="O4095" t="s">
        <v>19287</v>
      </c>
      <c r="P4095">
        <v>1</v>
      </c>
      <c r="Q4095" t="s">
        <v>7973</v>
      </c>
      <c r="S4095">
        <v>286.95</v>
      </c>
      <c r="T4095">
        <v>330</v>
      </c>
      <c r="U4095">
        <v>250</v>
      </c>
      <c r="V4095" t="s">
        <v>329</v>
      </c>
      <c r="W4095" t="s">
        <v>330</v>
      </c>
      <c r="X4095" t="s">
        <v>228</v>
      </c>
      <c r="Y4095" t="s">
        <v>229</v>
      </c>
      <c r="AF4095" t="s">
        <v>189</v>
      </c>
      <c r="AI4095" t="s">
        <v>15009</v>
      </c>
      <c r="AL4095" t="s">
        <v>638</v>
      </c>
      <c r="AM4095">
        <v>1</v>
      </c>
      <c r="AN4095" s="2"/>
    </row>
    <row r="4096" spans="1:40" x14ac:dyDescent="0.3">
      <c r="A4096" t="s">
        <v>19288</v>
      </c>
      <c r="B4096" t="s">
        <v>1</v>
      </c>
      <c r="C4096" t="s">
        <v>19289</v>
      </c>
      <c r="D4096" t="s">
        <v>19290</v>
      </c>
      <c r="E4096" t="s">
        <v>19291</v>
      </c>
      <c r="F4096" t="s">
        <v>5</v>
      </c>
      <c r="G4096" t="s">
        <v>6</v>
      </c>
      <c r="L4096" t="s">
        <v>7</v>
      </c>
      <c r="M4096">
        <v>2025</v>
      </c>
      <c r="N4096" s="1">
        <v>45808</v>
      </c>
      <c r="O4096" t="s">
        <v>19292</v>
      </c>
      <c r="P4096">
        <v>1</v>
      </c>
      <c r="Q4096" t="s">
        <v>14976</v>
      </c>
      <c r="S4096">
        <v>208.95</v>
      </c>
      <c r="T4096">
        <v>240</v>
      </c>
      <c r="U4096">
        <v>180</v>
      </c>
      <c r="V4096" t="s">
        <v>305</v>
      </c>
      <c r="W4096" t="s">
        <v>650</v>
      </c>
      <c r="X4096" t="s">
        <v>650</v>
      </c>
      <c r="Y4096" t="s">
        <v>651</v>
      </c>
      <c r="AF4096" t="s">
        <v>189</v>
      </c>
      <c r="AI4096" t="s">
        <v>15009</v>
      </c>
      <c r="AL4096" t="s">
        <v>638</v>
      </c>
      <c r="AM4096">
        <v>1</v>
      </c>
      <c r="AN4096" s="2"/>
    </row>
    <row r="4097" spans="1:40" x14ac:dyDescent="0.3">
      <c r="A4097" t="s">
        <v>19293</v>
      </c>
      <c r="B4097" t="s">
        <v>1</v>
      </c>
      <c r="C4097" t="s">
        <v>19294</v>
      </c>
      <c r="D4097" t="s">
        <v>19295</v>
      </c>
      <c r="E4097" t="s">
        <v>19296</v>
      </c>
      <c r="F4097" t="s">
        <v>5</v>
      </c>
      <c r="G4097" t="s">
        <v>6</v>
      </c>
      <c r="L4097" t="s">
        <v>7</v>
      </c>
      <c r="M4097">
        <v>2013</v>
      </c>
      <c r="N4097" s="1">
        <v>41516</v>
      </c>
      <c r="O4097" t="s">
        <v>19260</v>
      </c>
      <c r="P4097">
        <v>1</v>
      </c>
      <c r="Q4097" t="s">
        <v>16816</v>
      </c>
      <c r="S4097">
        <v>71.95</v>
      </c>
      <c r="T4097">
        <v>82</v>
      </c>
      <c r="U4097">
        <v>62</v>
      </c>
      <c r="V4097" t="s">
        <v>20</v>
      </c>
      <c r="W4097" t="s">
        <v>556</v>
      </c>
      <c r="X4097" t="s">
        <v>1540</v>
      </c>
      <c r="Y4097" t="s">
        <v>13617</v>
      </c>
      <c r="AF4097" t="s">
        <v>13</v>
      </c>
      <c r="AH4097" t="str">
        <f>HYPERLINK("http://www.degruyter.com/isbn/9781909724167")</f>
        <v>http://www.degruyter.com/isbn/9781909724167</v>
      </c>
      <c r="AL4097" t="s">
        <v>15</v>
      </c>
      <c r="AM4097">
        <v>1</v>
      </c>
      <c r="AN4097" s="2"/>
    </row>
    <row r="4098" spans="1:40" x14ac:dyDescent="0.3">
      <c r="A4098" t="s">
        <v>19297</v>
      </c>
      <c r="B4098" t="s">
        <v>1</v>
      </c>
      <c r="C4098" t="s">
        <v>19298</v>
      </c>
      <c r="D4098" t="s">
        <v>19299</v>
      </c>
      <c r="E4098" t="s">
        <v>19300</v>
      </c>
      <c r="F4098" t="s">
        <v>5</v>
      </c>
      <c r="G4098" t="s">
        <v>6</v>
      </c>
      <c r="L4098" t="s">
        <v>7</v>
      </c>
      <c r="M4098">
        <v>2013</v>
      </c>
      <c r="N4098" s="1">
        <v>41547</v>
      </c>
      <c r="O4098" t="s">
        <v>19260</v>
      </c>
      <c r="P4098">
        <v>1</v>
      </c>
      <c r="Q4098" t="s">
        <v>16816</v>
      </c>
      <c r="S4098">
        <v>71.95</v>
      </c>
      <c r="T4098">
        <v>82</v>
      </c>
      <c r="U4098">
        <v>62</v>
      </c>
      <c r="V4098" t="s">
        <v>20</v>
      </c>
      <c r="W4098" t="s">
        <v>556</v>
      </c>
      <c r="X4098" t="s">
        <v>1540</v>
      </c>
      <c r="Y4098" t="s">
        <v>13617</v>
      </c>
      <c r="AF4098" t="s">
        <v>13</v>
      </c>
      <c r="AH4098" t="str">
        <f>HYPERLINK("http://www.degruyter.com/isbn/9781909724259")</f>
        <v>http://www.degruyter.com/isbn/9781909724259</v>
      </c>
      <c r="AL4098" t="s">
        <v>15</v>
      </c>
      <c r="AM4098">
        <v>1</v>
      </c>
      <c r="AN4098" s="2"/>
    </row>
    <row r="4099" spans="1:40" x14ac:dyDescent="0.3">
      <c r="A4099" t="s">
        <v>19301</v>
      </c>
      <c r="B4099" t="s">
        <v>1</v>
      </c>
      <c r="C4099" t="s">
        <v>19302</v>
      </c>
      <c r="E4099" t="s">
        <v>19303</v>
      </c>
      <c r="F4099" t="s">
        <v>5</v>
      </c>
      <c r="G4099" t="s">
        <v>6</v>
      </c>
      <c r="L4099" t="s">
        <v>7</v>
      </c>
      <c r="M4099">
        <v>2020</v>
      </c>
      <c r="N4099" s="1">
        <v>44165</v>
      </c>
      <c r="O4099" t="s">
        <v>19304</v>
      </c>
      <c r="P4099">
        <v>1</v>
      </c>
      <c r="Q4099" t="s">
        <v>12993</v>
      </c>
      <c r="S4099">
        <v>217.95</v>
      </c>
      <c r="T4099">
        <v>250</v>
      </c>
      <c r="U4099">
        <v>190</v>
      </c>
      <c r="V4099" t="s">
        <v>42</v>
      </c>
      <c r="W4099" t="s">
        <v>107</v>
      </c>
      <c r="X4099" t="s">
        <v>108</v>
      </c>
      <c r="Y4099" t="s">
        <v>952</v>
      </c>
      <c r="AF4099" t="s">
        <v>13</v>
      </c>
      <c r="AH4099" t="str">
        <f>HYPERLINK("http://www.degruyter.com/isbn/9780748695997")</f>
        <v>http://www.degruyter.com/isbn/9780748695997</v>
      </c>
      <c r="AL4099" t="s">
        <v>47</v>
      </c>
      <c r="AM4099">
        <v>1</v>
      </c>
      <c r="AN4099" s="2"/>
    </row>
    <row r="4100" spans="1:40" x14ac:dyDescent="0.3">
      <c r="A4100" t="s">
        <v>19305</v>
      </c>
      <c r="B4100" t="s">
        <v>1</v>
      </c>
      <c r="C4100" t="s">
        <v>19306</v>
      </c>
      <c r="E4100" t="s">
        <v>19307</v>
      </c>
      <c r="F4100" t="s">
        <v>5</v>
      </c>
      <c r="G4100" t="s">
        <v>6</v>
      </c>
      <c r="L4100" t="s">
        <v>7</v>
      </c>
      <c r="M4100">
        <v>2021</v>
      </c>
      <c r="N4100" s="1">
        <v>44227</v>
      </c>
      <c r="O4100" t="s">
        <v>19308</v>
      </c>
      <c r="P4100">
        <v>1</v>
      </c>
      <c r="Q4100" t="s">
        <v>16816</v>
      </c>
      <c r="S4100">
        <v>278.95</v>
      </c>
      <c r="T4100">
        <v>320</v>
      </c>
      <c r="U4100">
        <v>240</v>
      </c>
      <c r="V4100" t="s">
        <v>20</v>
      </c>
      <c r="W4100" t="s">
        <v>470</v>
      </c>
      <c r="X4100" t="s">
        <v>471</v>
      </c>
      <c r="Y4100" t="s">
        <v>472</v>
      </c>
      <c r="AF4100" t="s">
        <v>13</v>
      </c>
      <c r="AH4100" t="str">
        <f>HYPERLINK("http://www.degruyter.com/isbn/9781913604035")</f>
        <v>http://www.degruyter.com/isbn/9781913604035</v>
      </c>
      <c r="AL4100" t="s">
        <v>15</v>
      </c>
      <c r="AM4100">
        <v>1</v>
      </c>
      <c r="AN4100" s="2"/>
    </row>
    <row r="4101" spans="1:40" x14ac:dyDescent="0.3">
      <c r="A4101" t="s">
        <v>19309</v>
      </c>
      <c r="B4101" t="s">
        <v>1</v>
      </c>
      <c r="C4101" t="s">
        <v>19310</v>
      </c>
      <c r="D4101" t="s">
        <v>19311</v>
      </c>
      <c r="E4101" t="s">
        <v>19312</v>
      </c>
      <c r="F4101" t="s">
        <v>5</v>
      </c>
      <c r="G4101" t="s">
        <v>6</v>
      </c>
      <c r="L4101" t="s">
        <v>7</v>
      </c>
      <c r="M4101">
        <v>2020</v>
      </c>
      <c r="N4101" s="1">
        <v>43796</v>
      </c>
      <c r="O4101" t="s">
        <v>19313</v>
      </c>
      <c r="P4101">
        <v>1</v>
      </c>
      <c r="Q4101" t="s">
        <v>7622</v>
      </c>
      <c r="S4101">
        <v>260.95</v>
      </c>
      <c r="T4101">
        <v>300</v>
      </c>
      <c r="U4101">
        <v>230</v>
      </c>
      <c r="V4101" t="s">
        <v>98</v>
      </c>
      <c r="W4101" t="s">
        <v>99</v>
      </c>
      <c r="X4101" t="s">
        <v>2010</v>
      </c>
      <c r="Y4101" t="s">
        <v>2011</v>
      </c>
      <c r="AF4101" t="s">
        <v>13</v>
      </c>
      <c r="AH4101" t="str">
        <f>HYPERLINK("http://www.degruyter.com/isbn/9781474431231")</f>
        <v>http://www.degruyter.com/isbn/9781474431231</v>
      </c>
      <c r="AL4101" t="s">
        <v>102</v>
      </c>
      <c r="AM4101">
        <v>1</v>
      </c>
      <c r="AN4101" s="2"/>
    </row>
    <row r="4102" spans="1:40" x14ac:dyDescent="0.3">
      <c r="A4102" t="s">
        <v>19314</v>
      </c>
      <c r="B4102" t="s">
        <v>1</v>
      </c>
      <c r="C4102" t="s">
        <v>19315</v>
      </c>
      <c r="E4102" t="s">
        <v>19316</v>
      </c>
      <c r="F4102" t="s">
        <v>5</v>
      </c>
      <c r="G4102" t="s">
        <v>6</v>
      </c>
      <c r="L4102" t="s">
        <v>7</v>
      </c>
      <c r="M4102">
        <v>2018</v>
      </c>
      <c r="N4102" s="1">
        <v>43220</v>
      </c>
      <c r="O4102" t="s">
        <v>19317</v>
      </c>
      <c r="P4102">
        <v>1</v>
      </c>
      <c r="Q4102" t="s">
        <v>16816</v>
      </c>
      <c r="S4102">
        <v>59.95</v>
      </c>
      <c r="T4102">
        <v>68</v>
      </c>
      <c r="U4102">
        <v>52</v>
      </c>
      <c r="V4102" t="s">
        <v>329</v>
      </c>
      <c r="W4102" t="s">
        <v>19318</v>
      </c>
      <c r="X4102" t="s">
        <v>19318</v>
      </c>
      <c r="Y4102" t="s">
        <v>459</v>
      </c>
      <c r="AF4102" t="s">
        <v>13</v>
      </c>
      <c r="AH4102" t="str">
        <f>HYPERLINK("http://www.degruyter.com/isbn/9781909724952")</f>
        <v>http://www.degruyter.com/isbn/9781909724952</v>
      </c>
      <c r="AL4102" t="s">
        <v>333</v>
      </c>
      <c r="AM4102">
        <v>1</v>
      </c>
      <c r="AN4102" s="2"/>
    </row>
    <row r="4103" spans="1:40" x14ac:dyDescent="0.3">
      <c r="A4103" t="s">
        <v>19319</v>
      </c>
      <c r="B4103" t="s">
        <v>1</v>
      </c>
      <c r="C4103" t="s">
        <v>19320</v>
      </c>
      <c r="E4103" t="s">
        <v>19321</v>
      </c>
      <c r="F4103" t="s">
        <v>5</v>
      </c>
      <c r="G4103" t="s">
        <v>6</v>
      </c>
      <c r="L4103" t="s">
        <v>7</v>
      </c>
      <c r="M4103">
        <v>2025</v>
      </c>
      <c r="N4103" s="1">
        <v>45808</v>
      </c>
      <c r="O4103" t="s">
        <v>19322</v>
      </c>
      <c r="P4103">
        <v>1</v>
      </c>
      <c r="Q4103" t="s">
        <v>19323</v>
      </c>
      <c r="S4103">
        <v>217.95</v>
      </c>
      <c r="T4103">
        <v>250</v>
      </c>
      <c r="U4103">
        <v>190</v>
      </c>
      <c r="V4103" t="s">
        <v>20</v>
      </c>
      <c r="W4103" t="s">
        <v>1018</v>
      </c>
      <c r="X4103" t="s">
        <v>1018</v>
      </c>
      <c r="Y4103" t="s">
        <v>840</v>
      </c>
      <c r="AF4103" t="s">
        <v>189</v>
      </c>
      <c r="AL4103" t="s">
        <v>638</v>
      </c>
      <c r="AM4103">
        <v>1</v>
      </c>
      <c r="AN4103" s="2"/>
    </row>
    <row r="4104" spans="1:40" x14ac:dyDescent="0.3">
      <c r="A4104" t="s">
        <v>19324</v>
      </c>
      <c r="B4104" t="s">
        <v>1</v>
      </c>
      <c r="C4104" t="s">
        <v>19325</v>
      </c>
      <c r="E4104" t="s">
        <v>19326</v>
      </c>
      <c r="F4104" t="s">
        <v>5</v>
      </c>
      <c r="G4104" t="s">
        <v>6</v>
      </c>
      <c r="L4104" t="s">
        <v>7</v>
      </c>
      <c r="M4104">
        <v>2008</v>
      </c>
      <c r="N4104" s="1">
        <v>44707</v>
      </c>
      <c r="O4104" t="s">
        <v>19327</v>
      </c>
      <c r="P4104">
        <v>1</v>
      </c>
      <c r="S4104">
        <v>226.95</v>
      </c>
      <c r="T4104">
        <v>260</v>
      </c>
      <c r="U4104">
        <v>200</v>
      </c>
      <c r="V4104" t="s">
        <v>42</v>
      </c>
      <c r="W4104" t="s">
        <v>107</v>
      </c>
      <c r="X4104" t="s">
        <v>108</v>
      </c>
      <c r="Y4104" t="s">
        <v>109</v>
      </c>
      <c r="AF4104" t="s">
        <v>13</v>
      </c>
      <c r="AH4104" t="str">
        <f>HYPERLINK("http://www.degruyter.com/isbn/9780748679751")</f>
        <v>http://www.degruyter.com/isbn/9780748679751</v>
      </c>
      <c r="AL4104" t="s">
        <v>47</v>
      </c>
      <c r="AM4104">
        <v>1</v>
      </c>
      <c r="AN4104" s="2"/>
    </row>
    <row r="4105" spans="1:40" x14ac:dyDescent="0.3">
      <c r="A4105" t="s">
        <v>19328</v>
      </c>
      <c r="B4105" t="s">
        <v>1</v>
      </c>
      <c r="C4105" t="s">
        <v>19329</v>
      </c>
      <c r="D4105" t="s">
        <v>19330</v>
      </c>
      <c r="E4105" t="s">
        <v>19331</v>
      </c>
      <c r="F4105" t="s">
        <v>5</v>
      </c>
      <c r="G4105" t="s">
        <v>6</v>
      </c>
      <c r="L4105" t="s">
        <v>7</v>
      </c>
      <c r="M4105">
        <v>2015</v>
      </c>
      <c r="N4105" s="1">
        <v>42083</v>
      </c>
      <c r="O4105" t="s">
        <v>19332</v>
      </c>
      <c r="P4105">
        <v>1</v>
      </c>
      <c r="Q4105" t="s">
        <v>8587</v>
      </c>
      <c r="S4105">
        <v>217.95</v>
      </c>
      <c r="T4105">
        <v>250</v>
      </c>
      <c r="U4105">
        <v>190</v>
      </c>
      <c r="V4105" t="s">
        <v>329</v>
      </c>
      <c r="W4105" t="s">
        <v>19318</v>
      </c>
      <c r="X4105" t="s">
        <v>19318</v>
      </c>
      <c r="Y4105" t="s">
        <v>459</v>
      </c>
      <c r="AF4105" t="s">
        <v>189</v>
      </c>
      <c r="AL4105" t="s">
        <v>333</v>
      </c>
      <c r="AM4105">
        <v>1</v>
      </c>
      <c r="AN4105" s="2"/>
    </row>
    <row r="4106" spans="1:40" x14ac:dyDescent="0.3">
      <c r="A4106" t="s">
        <v>19333</v>
      </c>
      <c r="B4106" t="s">
        <v>1</v>
      </c>
      <c r="C4106" t="s">
        <v>19334</v>
      </c>
      <c r="E4106" t="s">
        <v>19335</v>
      </c>
      <c r="F4106" t="s">
        <v>5</v>
      </c>
      <c r="G4106" t="s">
        <v>6</v>
      </c>
      <c r="L4106" t="s">
        <v>7</v>
      </c>
      <c r="M4106">
        <v>2016</v>
      </c>
      <c r="N4106" s="1">
        <v>42613</v>
      </c>
      <c r="O4106" t="s">
        <v>19336</v>
      </c>
      <c r="P4106">
        <v>1</v>
      </c>
      <c r="Q4106" t="s">
        <v>16816</v>
      </c>
      <c r="S4106">
        <v>226.95</v>
      </c>
      <c r="T4106">
        <v>260</v>
      </c>
      <c r="U4106">
        <v>200</v>
      </c>
      <c r="V4106" t="s">
        <v>20</v>
      </c>
      <c r="W4106" t="s">
        <v>21</v>
      </c>
      <c r="X4106" t="s">
        <v>575</v>
      </c>
      <c r="Y4106" t="s">
        <v>4876</v>
      </c>
      <c r="AF4106" t="s">
        <v>13</v>
      </c>
      <c r="AH4106" t="str">
        <f>HYPERLINK("http://www.degruyter.com/isbn/9781909724839")</f>
        <v>http://www.degruyter.com/isbn/9781909724839</v>
      </c>
      <c r="AL4106" t="s">
        <v>15</v>
      </c>
      <c r="AM4106">
        <v>1</v>
      </c>
      <c r="AN4106" s="2"/>
    </row>
    <row r="4107" spans="1:40" x14ac:dyDescent="0.3">
      <c r="A4107" t="s">
        <v>19337</v>
      </c>
      <c r="B4107" t="s">
        <v>1</v>
      </c>
      <c r="C4107" t="s">
        <v>19338</v>
      </c>
      <c r="E4107" t="s">
        <v>19339</v>
      </c>
      <c r="F4107" t="s">
        <v>5</v>
      </c>
      <c r="G4107" t="s">
        <v>6</v>
      </c>
      <c r="L4107" t="s">
        <v>7</v>
      </c>
      <c r="M4107">
        <v>2017</v>
      </c>
      <c r="N4107" s="1">
        <v>43069</v>
      </c>
      <c r="O4107" t="s">
        <v>19340</v>
      </c>
      <c r="P4107">
        <v>1</v>
      </c>
      <c r="Q4107" t="s">
        <v>16816</v>
      </c>
      <c r="S4107">
        <v>226.95</v>
      </c>
      <c r="T4107">
        <v>260</v>
      </c>
      <c r="U4107">
        <v>200</v>
      </c>
      <c r="V4107" t="s">
        <v>329</v>
      </c>
      <c r="W4107" t="s">
        <v>19318</v>
      </c>
      <c r="X4107" t="s">
        <v>19318</v>
      </c>
      <c r="Y4107" t="s">
        <v>459</v>
      </c>
      <c r="AF4107" t="s">
        <v>13</v>
      </c>
      <c r="AH4107" t="str">
        <f>HYPERLINK("http://www.degruyter.com/isbn/9781909724990")</f>
        <v>http://www.degruyter.com/isbn/9781909724990</v>
      </c>
      <c r="AL4107" t="s">
        <v>333</v>
      </c>
      <c r="AM4107">
        <v>1</v>
      </c>
      <c r="AN4107" s="2"/>
    </row>
    <row r="4108" spans="1:40" x14ac:dyDescent="0.3">
      <c r="A4108" t="s">
        <v>19341</v>
      </c>
      <c r="B4108" t="s">
        <v>1</v>
      </c>
      <c r="C4108" t="s">
        <v>19342</v>
      </c>
      <c r="D4108" t="s">
        <v>19343</v>
      </c>
      <c r="E4108" t="s">
        <v>19344</v>
      </c>
      <c r="F4108" t="s">
        <v>5</v>
      </c>
      <c r="G4108" t="s">
        <v>6</v>
      </c>
      <c r="L4108" t="s">
        <v>7</v>
      </c>
      <c r="M4108">
        <v>1998</v>
      </c>
      <c r="N4108" s="1">
        <v>44977</v>
      </c>
      <c r="O4108" t="s">
        <v>19345</v>
      </c>
      <c r="P4108">
        <v>1</v>
      </c>
      <c r="S4108">
        <v>295.95</v>
      </c>
      <c r="T4108">
        <v>340</v>
      </c>
      <c r="U4108">
        <v>260</v>
      </c>
      <c r="V4108" t="s">
        <v>58</v>
      </c>
      <c r="W4108" t="s">
        <v>59</v>
      </c>
      <c r="X4108" t="s">
        <v>60</v>
      </c>
      <c r="Y4108" t="s">
        <v>145</v>
      </c>
      <c r="AF4108" t="s">
        <v>13</v>
      </c>
      <c r="AH4108" t="str">
        <f>HYPERLINK("http://www.degruyter.com/isbn/9780748672813")</f>
        <v>http://www.degruyter.com/isbn/9780748672813</v>
      </c>
      <c r="AL4108" t="s">
        <v>62</v>
      </c>
      <c r="AM4108">
        <v>1</v>
      </c>
      <c r="AN4108" s="2"/>
    </row>
    <row r="4109" spans="1:40" x14ac:dyDescent="0.3">
      <c r="A4109" t="s">
        <v>19346</v>
      </c>
      <c r="B4109" t="s">
        <v>1</v>
      </c>
      <c r="C4109" t="s">
        <v>19347</v>
      </c>
      <c r="E4109" t="s">
        <v>19348</v>
      </c>
      <c r="F4109" t="s">
        <v>5</v>
      </c>
      <c r="G4109" t="s">
        <v>6</v>
      </c>
      <c r="L4109" t="s">
        <v>7</v>
      </c>
      <c r="M4109">
        <v>2021</v>
      </c>
      <c r="N4109" s="1">
        <v>44408</v>
      </c>
      <c r="O4109" t="s">
        <v>19349</v>
      </c>
      <c r="P4109">
        <v>1</v>
      </c>
      <c r="Q4109" t="s">
        <v>16816</v>
      </c>
      <c r="S4109">
        <v>252.95</v>
      </c>
      <c r="T4109">
        <v>290</v>
      </c>
      <c r="U4109">
        <v>220</v>
      </c>
      <c r="V4109" t="s">
        <v>329</v>
      </c>
      <c r="W4109" t="s">
        <v>19318</v>
      </c>
      <c r="X4109" t="s">
        <v>19318</v>
      </c>
      <c r="Y4109" t="s">
        <v>459</v>
      </c>
      <c r="AF4109" t="s">
        <v>13</v>
      </c>
      <c r="AH4109" t="str">
        <f>HYPERLINK("http://www.degruyter.com/isbn/9781913604073")</f>
        <v>http://www.degruyter.com/isbn/9781913604073</v>
      </c>
      <c r="AL4109" t="s">
        <v>333</v>
      </c>
      <c r="AM4109">
        <v>1</v>
      </c>
      <c r="AN4109" s="2"/>
    </row>
    <row r="4110" spans="1:40" x14ac:dyDescent="0.3">
      <c r="A4110" t="s">
        <v>19350</v>
      </c>
      <c r="B4110" t="s">
        <v>1</v>
      </c>
      <c r="C4110" t="s">
        <v>19351</v>
      </c>
      <c r="E4110" t="s">
        <v>19352</v>
      </c>
      <c r="F4110" t="s">
        <v>5</v>
      </c>
      <c r="G4110" t="s">
        <v>6</v>
      </c>
      <c r="L4110" t="s">
        <v>7</v>
      </c>
      <c r="M4110">
        <v>2021</v>
      </c>
      <c r="N4110" s="1">
        <v>44227</v>
      </c>
      <c r="O4110" t="s">
        <v>19353</v>
      </c>
      <c r="P4110">
        <v>1</v>
      </c>
      <c r="Q4110" t="s">
        <v>13444</v>
      </c>
      <c r="S4110">
        <v>217.95</v>
      </c>
      <c r="T4110">
        <v>250</v>
      </c>
      <c r="U4110">
        <v>190</v>
      </c>
      <c r="V4110" t="s">
        <v>268</v>
      </c>
      <c r="W4110" t="s">
        <v>269</v>
      </c>
      <c r="X4110" t="s">
        <v>269</v>
      </c>
      <c r="Y4110" t="s">
        <v>360</v>
      </c>
      <c r="AF4110" t="s">
        <v>13</v>
      </c>
      <c r="AH4110" t="str">
        <f>HYPERLINK("http://www.degruyter.com/isbn/9781474450164")</f>
        <v>http://www.degruyter.com/isbn/9781474450164</v>
      </c>
      <c r="AL4110" t="s">
        <v>272</v>
      </c>
      <c r="AM4110">
        <v>1</v>
      </c>
      <c r="AN4110" s="2"/>
    </row>
    <row r="4111" spans="1:40" x14ac:dyDescent="0.3">
      <c r="A4111" t="s">
        <v>19354</v>
      </c>
      <c r="B4111" t="s">
        <v>1</v>
      </c>
      <c r="C4111" t="s">
        <v>19355</v>
      </c>
      <c r="E4111" t="s">
        <v>19356</v>
      </c>
      <c r="F4111" t="s">
        <v>5</v>
      </c>
      <c r="G4111" t="s">
        <v>6</v>
      </c>
      <c r="L4111" t="s">
        <v>7</v>
      </c>
      <c r="M4111">
        <v>2020</v>
      </c>
      <c r="N4111" s="1">
        <v>44061</v>
      </c>
      <c r="O4111" t="s">
        <v>19357</v>
      </c>
      <c r="P4111">
        <v>1</v>
      </c>
      <c r="Q4111" t="s">
        <v>17292</v>
      </c>
      <c r="S4111">
        <v>217.95</v>
      </c>
      <c r="T4111">
        <v>250</v>
      </c>
      <c r="U4111">
        <v>190</v>
      </c>
      <c r="V4111" t="s">
        <v>268</v>
      </c>
      <c r="W4111" t="s">
        <v>4786</v>
      </c>
      <c r="X4111" t="s">
        <v>4787</v>
      </c>
      <c r="Y4111" t="s">
        <v>4788</v>
      </c>
      <c r="AF4111" t="s">
        <v>13</v>
      </c>
      <c r="AH4111" t="str">
        <f>HYPERLINK("http://www.degruyter.com/isbn/9781474483704")</f>
        <v>http://www.degruyter.com/isbn/9781474483704</v>
      </c>
      <c r="AL4111" t="s">
        <v>272</v>
      </c>
      <c r="AM4111">
        <v>1</v>
      </c>
      <c r="AN4111" s="2"/>
    </row>
    <row r="4112" spans="1:40" x14ac:dyDescent="0.3">
      <c r="A4112" t="s">
        <v>19358</v>
      </c>
      <c r="B4112" t="s">
        <v>1</v>
      </c>
      <c r="C4112" t="s">
        <v>19359</v>
      </c>
      <c r="E4112" t="s">
        <v>19360</v>
      </c>
      <c r="F4112" t="s">
        <v>5</v>
      </c>
      <c r="G4112" t="s">
        <v>6</v>
      </c>
      <c r="L4112" t="s">
        <v>7</v>
      </c>
      <c r="M4112">
        <v>2014</v>
      </c>
      <c r="N4112" s="1">
        <v>41743</v>
      </c>
      <c r="O4112" t="s">
        <v>19361</v>
      </c>
      <c r="P4112">
        <v>1</v>
      </c>
      <c r="Q4112" t="s">
        <v>6630</v>
      </c>
      <c r="S4112">
        <v>217.95</v>
      </c>
      <c r="T4112">
        <v>250</v>
      </c>
      <c r="U4112">
        <v>190</v>
      </c>
      <c r="V4112" t="s">
        <v>42</v>
      </c>
      <c r="W4112" t="s">
        <v>43</v>
      </c>
      <c r="X4112" t="s">
        <v>178</v>
      </c>
      <c r="Y4112" t="s">
        <v>2453</v>
      </c>
      <c r="AF4112" t="s">
        <v>189</v>
      </c>
      <c r="AL4112" t="s">
        <v>47</v>
      </c>
      <c r="AM4112">
        <v>1</v>
      </c>
      <c r="AN4112" s="2"/>
    </row>
    <row r="4113" spans="1:40" x14ac:dyDescent="0.3">
      <c r="A4113" t="s">
        <v>19362</v>
      </c>
      <c r="B4113" t="s">
        <v>1</v>
      </c>
      <c r="C4113" t="s">
        <v>19363</v>
      </c>
      <c r="E4113" t="s">
        <v>19364</v>
      </c>
      <c r="F4113" t="s">
        <v>5</v>
      </c>
      <c r="G4113" t="s">
        <v>6</v>
      </c>
      <c r="L4113" t="s">
        <v>7</v>
      </c>
      <c r="M4113">
        <v>2020</v>
      </c>
      <c r="N4113" s="1">
        <v>44061</v>
      </c>
      <c r="O4113" t="s">
        <v>19365</v>
      </c>
      <c r="P4113">
        <v>1</v>
      </c>
      <c r="Q4113" t="s">
        <v>17292</v>
      </c>
      <c r="S4113">
        <v>217.95</v>
      </c>
      <c r="T4113">
        <v>250</v>
      </c>
      <c r="U4113">
        <v>190</v>
      </c>
      <c r="V4113" t="s">
        <v>268</v>
      </c>
      <c r="W4113" t="s">
        <v>17277</v>
      </c>
      <c r="X4113" t="s">
        <v>17278</v>
      </c>
      <c r="Y4113" t="s">
        <v>17279</v>
      </c>
      <c r="AF4113" t="s">
        <v>13</v>
      </c>
      <c r="AH4113" t="str">
        <f>HYPERLINK("http://www.degruyter.com/isbn/9781474483629")</f>
        <v>http://www.degruyter.com/isbn/9781474483629</v>
      </c>
      <c r="AL4113" t="s">
        <v>272</v>
      </c>
      <c r="AM4113">
        <v>1</v>
      </c>
      <c r="AN4113" s="2"/>
    </row>
    <row r="4114" spans="1:40" x14ac:dyDescent="0.3">
      <c r="A4114" t="s">
        <v>19366</v>
      </c>
      <c r="B4114" t="s">
        <v>1</v>
      </c>
      <c r="C4114" t="s">
        <v>19367</v>
      </c>
      <c r="D4114" t="s">
        <v>19368</v>
      </c>
      <c r="E4114" t="s">
        <v>18246</v>
      </c>
      <c r="F4114" t="s">
        <v>5</v>
      </c>
      <c r="G4114" t="s">
        <v>6</v>
      </c>
      <c r="L4114" t="s">
        <v>7</v>
      </c>
      <c r="M4114">
        <v>2020</v>
      </c>
      <c r="N4114" s="1">
        <v>43889</v>
      </c>
      <c r="O4114" t="s">
        <v>18824</v>
      </c>
      <c r="P4114">
        <v>1</v>
      </c>
      <c r="Q4114" t="s">
        <v>18248</v>
      </c>
      <c r="S4114">
        <v>486.95</v>
      </c>
      <c r="T4114">
        <v>560</v>
      </c>
      <c r="U4114">
        <v>430</v>
      </c>
      <c r="V4114" t="s">
        <v>42</v>
      </c>
      <c r="W4114" t="s">
        <v>116</v>
      </c>
      <c r="X4114" t="s">
        <v>116</v>
      </c>
      <c r="Y4114" t="s">
        <v>9177</v>
      </c>
      <c r="AF4114" t="s">
        <v>13</v>
      </c>
      <c r="AH4114" t="str">
        <f>HYPERLINK("http://www.degruyter.com/isbn/9781474445467")</f>
        <v>http://www.degruyter.com/isbn/9781474445467</v>
      </c>
      <c r="AL4114" t="s">
        <v>47</v>
      </c>
      <c r="AM4114">
        <v>1</v>
      </c>
      <c r="AN4114" s="2"/>
    </row>
    <row r="4115" spans="1:40" x14ac:dyDescent="0.3">
      <c r="A4115" t="s">
        <v>19369</v>
      </c>
      <c r="B4115" t="s">
        <v>1</v>
      </c>
      <c r="C4115" t="s">
        <v>19208</v>
      </c>
      <c r="D4115" t="s">
        <v>19370</v>
      </c>
      <c r="E4115" t="s">
        <v>19210</v>
      </c>
      <c r="F4115" t="s">
        <v>5</v>
      </c>
      <c r="G4115" t="s">
        <v>6</v>
      </c>
      <c r="L4115" t="s">
        <v>7</v>
      </c>
      <c r="M4115">
        <v>2012</v>
      </c>
      <c r="N4115" s="1">
        <v>44707</v>
      </c>
      <c r="O4115" t="s">
        <v>19211</v>
      </c>
      <c r="P4115">
        <v>1</v>
      </c>
      <c r="Q4115" t="s">
        <v>7266</v>
      </c>
      <c r="S4115">
        <v>243.95</v>
      </c>
      <c r="T4115">
        <v>280</v>
      </c>
      <c r="U4115">
        <v>210</v>
      </c>
      <c r="V4115" t="s">
        <v>42</v>
      </c>
      <c r="W4115" t="s">
        <v>107</v>
      </c>
      <c r="X4115" t="s">
        <v>108</v>
      </c>
      <c r="Y4115" t="s">
        <v>952</v>
      </c>
      <c r="AF4115" t="s">
        <v>13</v>
      </c>
      <c r="AH4115" t="str">
        <f>HYPERLINK("http://www.degruyter.com/isbn/9780748628421")</f>
        <v>http://www.degruyter.com/isbn/9780748628421</v>
      </c>
      <c r="AL4115" t="s">
        <v>47</v>
      </c>
      <c r="AM4115">
        <v>1</v>
      </c>
      <c r="AN4115" s="2"/>
    </row>
    <row r="4116" spans="1:40" x14ac:dyDescent="0.3">
      <c r="A4116" t="s">
        <v>19371</v>
      </c>
      <c r="B4116" t="s">
        <v>1</v>
      </c>
      <c r="C4116" t="s">
        <v>19372</v>
      </c>
      <c r="E4116" t="s">
        <v>19373</v>
      </c>
      <c r="F4116" t="s">
        <v>5</v>
      </c>
      <c r="G4116" t="s">
        <v>6</v>
      </c>
      <c r="L4116" t="s">
        <v>7</v>
      </c>
      <c r="M4116">
        <v>2014</v>
      </c>
      <c r="N4116" s="1">
        <v>41912</v>
      </c>
      <c r="O4116" t="s">
        <v>19374</v>
      </c>
      <c r="P4116">
        <v>1</v>
      </c>
      <c r="Q4116" t="s">
        <v>16816</v>
      </c>
      <c r="S4116">
        <v>59.95</v>
      </c>
      <c r="T4116">
        <v>68</v>
      </c>
      <c r="U4116">
        <v>52</v>
      </c>
      <c r="V4116" t="s">
        <v>329</v>
      </c>
      <c r="W4116" t="s">
        <v>19318</v>
      </c>
      <c r="X4116" t="s">
        <v>19318</v>
      </c>
      <c r="Y4116" t="s">
        <v>459</v>
      </c>
      <c r="AF4116" t="s">
        <v>13</v>
      </c>
      <c r="AH4116" t="str">
        <f>HYPERLINK("http://www.degruyter.com/isbn/9781909724495")</f>
        <v>http://www.degruyter.com/isbn/9781909724495</v>
      </c>
      <c r="AL4116" t="s">
        <v>333</v>
      </c>
      <c r="AM4116">
        <v>1</v>
      </c>
      <c r="AN4116" s="2"/>
    </row>
    <row r="4117" spans="1:40" x14ac:dyDescent="0.3">
      <c r="A4117" t="s">
        <v>19375</v>
      </c>
      <c r="B4117" t="s">
        <v>1</v>
      </c>
      <c r="C4117" t="s">
        <v>19376</v>
      </c>
      <c r="D4117" t="s">
        <v>19377</v>
      </c>
      <c r="E4117" t="s">
        <v>19378</v>
      </c>
      <c r="F4117" t="s">
        <v>5</v>
      </c>
      <c r="G4117" t="s">
        <v>6</v>
      </c>
      <c r="L4117" t="s">
        <v>7</v>
      </c>
      <c r="M4117">
        <v>1902</v>
      </c>
      <c r="N4117" s="1">
        <v>41516</v>
      </c>
      <c r="O4117" t="s">
        <v>19260</v>
      </c>
      <c r="P4117">
        <v>1</v>
      </c>
      <c r="Q4117" t="s">
        <v>16816</v>
      </c>
      <c r="S4117">
        <v>86.95</v>
      </c>
      <c r="T4117">
        <v>100</v>
      </c>
      <c r="U4117">
        <v>72</v>
      </c>
      <c r="V4117" t="s">
        <v>20</v>
      </c>
      <c r="W4117" t="s">
        <v>556</v>
      </c>
      <c r="X4117" t="s">
        <v>1540</v>
      </c>
      <c r="Y4117" t="s">
        <v>13617</v>
      </c>
      <c r="AF4117" t="s">
        <v>13</v>
      </c>
      <c r="AH4117" t="str">
        <f>HYPERLINK("http://www.degruyter.com/isbn/9781909724105")</f>
        <v>http://www.degruyter.com/isbn/9781909724105</v>
      </c>
      <c r="AL4117" t="s">
        <v>15</v>
      </c>
      <c r="AM4117">
        <v>1</v>
      </c>
      <c r="AN4117" s="2"/>
    </row>
    <row r="4118" spans="1:40" x14ac:dyDescent="0.3">
      <c r="A4118" t="s">
        <v>19379</v>
      </c>
      <c r="B4118" t="s">
        <v>1</v>
      </c>
      <c r="C4118" t="s">
        <v>19380</v>
      </c>
      <c r="E4118" t="s">
        <v>19381</v>
      </c>
      <c r="F4118" t="s">
        <v>5</v>
      </c>
      <c r="G4118" t="s">
        <v>6</v>
      </c>
      <c r="L4118" t="s">
        <v>7</v>
      </c>
      <c r="M4118">
        <v>2015</v>
      </c>
      <c r="N4118" s="1">
        <v>42327</v>
      </c>
      <c r="O4118" t="s">
        <v>19382</v>
      </c>
      <c r="P4118">
        <v>1</v>
      </c>
      <c r="S4118">
        <v>177.95</v>
      </c>
      <c r="T4118">
        <v>204</v>
      </c>
      <c r="U4118">
        <v>154</v>
      </c>
      <c r="V4118" t="s">
        <v>98</v>
      </c>
      <c r="W4118" t="s">
        <v>2283</v>
      </c>
      <c r="X4118" t="s">
        <v>17243</v>
      </c>
      <c r="Y4118" t="s">
        <v>3097</v>
      </c>
      <c r="AF4118" t="s">
        <v>13</v>
      </c>
      <c r="AH4118" t="str">
        <f>HYPERLINK("http://www.degruyter.com/isbn/9780748691708")</f>
        <v>http://www.degruyter.com/isbn/9780748691708</v>
      </c>
      <c r="AL4118" t="s">
        <v>102</v>
      </c>
      <c r="AM4118">
        <v>1</v>
      </c>
      <c r="AN4118" s="2"/>
    </row>
    <row r="4119" spans="1:40" x14ac:dyDescent="0.3">
      <c r="A4119" t="s">
        <v>19383</v>
      </c>
      <c r="B4119" t="s">
        <v>1</v>
      </c>
      <c r="C4119" t="s">
        <v>19253</v>
      </c>
      <c r="E4119" t="s">
        <v>19254</v>
      </c>
      <c r="F4119" t="s">
        <v>5</v>
      </c>
      <c r="G4119" t="s">
        <v>6</v>
      </c>
      <c r="L4119" t="s">
        <v>7</v>
      </c>
      <c r="M4119">
        <v>2019</v>
      </c>
      <c r="N4119" s="1">
        <v>43676</v>
      </c>
      <c r="O4119" t="s">
        <v>19255</v>
      </c>
      <c r="P4119">
        <v>1</v>
      </c>
      <c r="S4119">
        <v>59.95</v>
      </c>
      <c r="T4119">
        <v>68</v>
      </c>
      <c r="U4119">
        <v>52</v>
      </c>
      <c r="V4119" t="s">
        <v>42</v>
      </c>
      <c r="W4119" t="s">
        <v>116</v>
      </c>
      <c r="X4119" t="s">
        <v>116</v>
      </c>
      <c r="Y4119" t="s">
        <v>1129</v>
      </c>
      <c r="AF4119" t="s">
        <v>13</v>
      </c>
      <c r="AH4119" t="str">
        <f>HYPERLINK("http://www.degruyter.com/isbn/9781474468343")</f>
        <v>http://www.degruyter.com/isbn/9781474468343</v>
      </c>
      <c r="AL4119" t="s">
        <v>47</v>
      </c>
      <c r="AM4119">
        <v>1</v>
      </c>
      <c r="AN4119" s="2"/>
    </row>
    <row r="4120" spans="1:40" x14ac:dyDescent="0.3">
      <c r="A4120" t="s">
        <v>19384</v>
      </c>
      <c r="B4120" t="s">
        <v>1</v>
      </c>
      <c r="C4120" t="s">
        <v>19385</v>
      </c>
      <c r="E4120" t="s">
        <v>19386</v>
      </c>
      <c r="F4120" t="s">
        <v>5</v>
      </c>
      <c r="G4120" t="s">
        <v>6</v>
      </c>
      <c r="L4120" t="s">
        <v>7</v>
      </c>
      <c r="M4120">
        <v>2012</v>
      </c>
      <c r="N4120" s="1">
        <v>41059</v>
      </c>
      <c r="O4120" t="s">
        <v>19387</v>
      </c>
      <c r="P4120">
        <v>1</v>
      </c>
      <c r="Q4120" t="s">
        <v>16816</v>
      </c>
      <c r="S4120">
        <v>48.95</v>
      </c>
      <c r="T4120">
        <v>56</v>
      </c>
      <c r="U4120">
        <v>42</v>
      </c>
      <c r="V4120" t="s">
        <v>329</v>
      </c>
      <c r="W4120" t="s">
        <v>19318</v>
      </c>
      <c r="X4120" t="s">
        <v>19318</v>
      </c>
      <c r="Y4120" t="s">
        <v>459</v>
      </c>
      <c r="AF4120" t="s">
        <v>13</v>
      </c>
      <c r="AH4120" t="str">
        <f>HYPERLINK("http://www.degruyter.com/isbn/9780906094976")</f>
        <v>http://www.degruyter.com/isbn/9780906094976</v>
      </c>
      <c r="AL4120" t="s">
        <v>333</v>
      </c>
      <c r="AM4120">
        <v>1</v>
      </c>
      <c r="AN4120" s="2"/>
    </row>
    <row r="4121" spans="1:40" x14ac:dyDescent="0.3">
      <c r="A4121" t="s">
        <v>19388</v>
      </c>
      <c r="B4121" t="s">
        <v>1</v>
      </c>
      <c r="C4121" t="s">
        <v>19389</v>
      </c>
      <c r="E4121" t="s">
        <v>19390</v>
      </c>
      <c r="F4121" t="s">
        <v>5</v>
      </c>
      <c r="G4121" t="s">
        <v>6</v>
      </c>
      <c r="L4121" t="s">
        <v>7</v>
      </c>
      <c r="M4121">
        <v>2001</v>
      </c>
      <c r="N4121" s="1">
        <v>44377</v>
      </c>
      <c r="O4121" t="s">
        <v>19391</v>
      </c>
      <c r="P4121">
        <v>1</v>
      </c>
      <c r="Q4121" t="s">
        <v>6998</v>
      </c>
      <c r="S4121">
        <v>860.95</v>
      </c>
      <c r="T4121">
        <v>990</v>
      </c>
      <c r="U4121">
        <v>760</v>
      </c>
      <c r="V4121" t="s">
        <v>1325</v>
      </c>
      <c r="W4121" t="s">
        <v>1326</v>
      </c>
      <c r="X4121" t="s">
        <v>1326</v>
      </c>
      <c r="Y4121" t="s">
        <v>6999</v>
      </c>
      <c r="AF4121" t="s">
        <v>13</v>
      </c>
      <c r="AH4121" t="str">
        <f>HYPERLINK("http://www.degruyter.com/isbn/9781474499934")</f>
        <v>http://www.degruyter.com/isbn/9781474499934</v>
      </c>
      <c r="AL4121" t="s">
        <v>1328</v>
      </c>
      <c r="AM4121">
        <v>1</v>
      </c>
      <c r="AN4121" s="2"/>
    </row>
    <row r="4122" spans="1:40" x14ac:dyDescent="0.3">
      <c r="A4122" t="s">
        <v>19392</v>
      </c>
      <c r="B4122" t="s">
        <v>1</v>
      </c>
      <c r="C4122" t="s">
        <v>19393</v>
      </c>
      <c r="E4122" t="s">
        <v>19394</v>
      </c>
      <c r="F4122" t="s">
        <v>5</v>
      </c>
      <c r="G4122" t="s">
        <v>6</v>
      </c>
      <c r="L4122" t="s">
        <v>7</v>
      </c>
      <c r="M4122">
        <v>2021</v>
      </c>
      <c r="N4122" s="1">
        <v>44799</v>
      </c>
      <c r="O4122" t="s">
        <v>19395</v>
      </c>
      <c r="P4122">
        <v>1</v>
      </c>
      <c r="S4122">
        <v>217.95</v>
      </c>
      <c r="T4122">
        <v>250</v>
      </c>
      <c r="U4122">
        <v>190</v>
      </c>
      <c r="V4122" t="s">
        <v>847</v>
      </c>
      <c r="W4122" t="s">
        <v>3102</v>
      </c>
      <c r="X4122" t="s">
        <v>3102</v>
      </c>
      <c r="Y4122" t="s">
        <v>3606</v>
      </c>
      <c r="AF4122" t="s">
        <v>13</v>
      </c>
      <c r="AH4122" t="str">
        <f>HYPERLINK("http://www.degruyter.com/isbn/9781474457514")</f>
        <v>http://www.degruyter.com/isbn/9781474457514</v>
      </c>
      <c r="AL4122" t="s">
        <v>1070</v>
      </c>
      <c r="AM4122">
        <v>1</v>
      </c>
      <c r="AN4122" s="2"/>
    </row>
    <row r="4123" spans="1:40" x14ac:dyDescent="0.3">
      <c r="A4123" t="s">
        <v>19396</v>
      </c>
      <c r="B4123" t="s">
        <v>1</v>
      </c>
      <c r="C4123" t="s">
        <v>19397</v>
      </c>
      <c r="D4123" t="s">
        <v>19398</v>
      </c>
      <c r="E4123" t="s">
        <v>19399</v>
      </c>
      <c r="F4123" t="s">
        <v>5</v>
      </c>
      <c r="G4123" t="s">
        <v>6</v>
      </c>
      <c r="L4123" t="s">
        <v>7</v>
      </c>
      <c r="M4123">
        <v>2013</v>
      </c>
      <c r="N4123" s="1">
        <v>41516</v>
      </c>
      <c r="O4123" t="s">
        <v>19260</v>
      </c>
      <c r="P4123">
        <v>1</v>
      </c>
      <c r="Q4123" t="s">
        <v>16816</v>
      </c>
      <c r="S4123">
        <v>71.95</v>
      </c>
      <c r="T4123">
        <v>82</v>
      </c>
      <c r="U4123">
        <v>62</v>
      </c>
      <c r="V4123" t="s">
        <v>20</v>
      </c>
      <c r="W4123" t="s">
        <v>556</v>
      </c>
      <c r="X4123" t="s">
        <v>1540</v>
      </c>
      <c r="Y4123" t="s">
        <v>13617</v>
      </c>
      <c r="AF4123" t="s">
        <v>13</v>
      </c>
      <c r="AH4123" t="str">
        <f>HYPERLINK("http://www.degruyter.com/isbn/9781909724112")</f>
        <v>http://www.degruyter.com/isbn/9781909724112</v>
      </c>
      <c r="AL4123" t="s">
        <v>15</v>
      </c>
      <c r="AM4123">
        <v>1</v>
      </c>
      <c r="AN4123" s="2"/>
    </row>
    <row r="4124" spans="1:40" x14ac:dyDescent="0.3">
      <c r="A4124" t="s">
        <v>19400</v>
      </c>
      <c r="B4124" t="s">
        <v>1</v>
      </c>
      <c r="C4124" t="s">
        <v>19401</v>
      </c>
      <c r="D4124" t="s">
        <v>19402</v>
      </c>
      <c r="E4124" t="s">
        <v>19403</v>
      </c>
      <c r="F4124" t="s">
        <v>5</v>
      </c>
      <c r="G4124" t="s">
        <v>6</v>
      </c>
      <c r="L4124" t="s">
        <v>7</v>
      </c>
      <c r="M4124">
        <v>1982</v>
      </c>
      <c r="N4124" s="1">
        <v>30316</v>
      </c>
      <c r="O4124" t="s">
        <v>19404</v>
      </c>
      <c r="P4124">
        <v>1</v>
      </c>
      <c r="Q4124" t="s">
        <v>16816</v>
      </c>
      <c r="S4124">
        <v>106.95</v>
      </c>
      <c r="T4124">
        <v>122</v>
      </c>
      <c r="U4124">
        <v>94</v>
      </c>
      <c r="V4124" t="s">
        <v>329</v>
      </c>
      <c r="W4124" t="s">
        <v>19318</v>
      </c>
      <c r="X4124" t="s">
        <v>19318</v>
      </c>
      <c r="Y4124" t="s">
        <v>459</v>
      </c>
      <c r="AF4124" t="s">
        <v>13</v>
      </c>
      <c r="AH4124" t="str">
        <f>HYPERLINK("http://www.degruyter.com/isbn/9781909724754")</f>
        <v>http://www.degruyter.com/isbn/9781909724754</v>
      </c>
      <c r="AL4124" t="s">
        <v>333</v>
      </c>
      <c r="AM4124">
        <v>1</v>
      </c>
      <c r="AN4124" s="2"/>
    </row>
    <row r="4125" spans="1:40" x14ac:dyDescent="0.3">
      <c r="A4125" t="s">
        <v>19405</v>
      </c>
      <c r="B4125" t="s">
        <v>1</v>
      </c>
      <c r="C4125" t="s">
        <v>19406</v>
      </c>
      <c r="D4125" t="s">
        <v>19407</v>
      </c>
      <c r="E4125" t="s">
        <v>19408</v>
      </c>
      <c r="F4125" t="s">
        <v>5</v>
      </c>
      <c r="G4125" t="s">
        <v>6</v>
      </c>
      <c r="L4125" t="s">
        <v>7</v>
      </c>
      <c r="M4125">
        <v>2014</v>
      </c>
      <c r="N4125" s="1">
        <v>41973</v>
      </c>
      <c r="O4125" t="s">
        <v>1051</v>
      </c>
      <c r="P4125">
        <v>1</v>
      </c>
      <c r="Q4125" t="s">
        <v>16816</v>
      </c>
      <c r="S4125">
        <v>156.94999999999999</v>
      </c>
      <c r="T4125">
        <v>180</v>
      </c>
      <c r="U4125">
        <v>140</v>
      </c>
      <c r="V4125" t="s">
        <v>297</v>
      </c>
      <c r="W4125" t="s">
        <v>19409</v>
      </c>
      <c r="X4125" t="s">
        <v>19409</v>
      </c>
      <c r="Y4125" t="s">
        <v>393</v>
      </c>
      <c r="AF4125" t="s">
        <v>13</v>
      </c>
      <c r="AH4125" t="str">
        <f>HYPERLINK("http://www.degruyter.com/isbn/9781909724433")</f>
        <v>http://www.degruyter.com/isbn/9781909724433</v>
      </c>
      <c r="AL4125" t="s">
        <v>83</v>
      </c>
      <c r="AM4125">
        <v>1</v>
      </c>
      <c r="AN4125" s="2"/>
    </row>
    <row r="4126" spans="1:40" x14ac:dyDescent="0.3">
      <c r="A4126" t="s">
        <v>19410</v>
      </c>
      <c r="B4126" t="s">
        <v>1</v>
      </c>
      <c r="C4126" t="s">
        <v>19411</v>
      </c>
      <c r="D4126" t="s">
        <v>19412</v>
      </c>
      <c r="E4126" t="s">
        <v>19413</v>
      </c>
      <c r="F4126" t="s">
        <v>5</v>
      </c>
      <c r="G4126" t="s">
        <v>6</v>
      </c>
      <c r="L4126" t="s">
        <v>7</v>
      </c>
      <c r="M4126">
        <v>1997</v>
      </c>
      <c r="N4126" s="1">
        <v>43682</v>
      </c>
      <c r="O4126" t="s">
        <v>19414</v>
      </c>
      <c r="P4126">
        <v>1</v>
      </c>
      <c r="S4126">
        <v>217.95</v>
      </c>
      <c r="T4126">
        <v>250</v>
      </c>
      <c r="U4126">
        <v>190</v>
      </c>
      <c r="V4126" t="s">
        <v>187</v>
      </c>
      <c r="W4126" t="s">
        <v>187</v>
      </c>
      <c r="X4126" t="s">
        <v>187</v>
      </c>
      <c r="Y4126" t="s">
        <v>19415</v>
      </c>
      <c r="AF4126" t="s">
        <v>189</v>
      </c>
      <c r="AL4126" t="s">
        <v>190</v>
      </c>
      <c r="AM4126">
        <v>1</v>
      </c>
      <c r="AN4126" s="2"/>
    </row>
    <row r="4127" spans="1:40" x14ac:dyDescent="0.3">
      <c r="A4127" t="s">
        <v>19416</v>
      </c>
      <c r="B4127" t="s">
        <v>1</v>
      </c>
      <c r="C4127" t="s">
        <v>19417</v>
      </c>
      <c r="D4127" t="s">
        <v>19418</v>
      </c>
      <c r="E4127" t="s">
        <v>19419</v>
      </c>
      <c r="F4127" t="s">
        <v>5</v>
      </c>
      <c r="G4127" t="s">
        <v>6</v>
      </c>
      <c r="L4127" t="s">
        <v>7</v>
      </c>
      <c r="M4127">
        <v>2025</v>
      </c>
      <c r="N4127" s="1">
        <v>45808</v>
      </c>
      <c r="O4127" t="s">
        <v>19420</v>
      </c>
      <c r="P4127">
        <v>1</v>
      </c>
      <c r="Q4127" t="s">
        <v>19421</v>
      </c>
      <c r="S4127">
        <v>208.95</v>
      </c>
      <c r="T4127">
        <v>240</v>
      </c>
      <c r="U4127">
        <v>180</v>
      </c>
      <c r="V4127" t="s">
        <v>58</v>
      </c>
      <c r="W4127" t="s">
        <v>129</v>
      </c>
      <c r="X4127" t="s">
        <v>130</v>
      </c>
      <c r="Y4127" t="s">
        <v>131</v>
      </c>
      <c r="AF4127" t="s">
        <v>189</v>
      </c>
      <c r="AL4127" t="s">
        <v>638</v>
      </c>
      <c r="AM4127">
        <v>1</v>
      </c>
      <c r="AN4127" s="2"/>
    </row>
    <row r="4128" spans="1:40" x14ac:dyDescent="0.3">
      <c r="A4128" t="s">
        <v>19422</v>
      </c>
      <c r="B4128" t="s">
        <v>1</v>
      </c>
      <c r="C4128" t="s">
        <v>19423</v>
      </c>
      <c r="E4128" t="s">
        <v>19424</v>
      </c>
      <c r="F4128" t="s">
        <v>5</v>
      </c>
      <c r="G4128" t="s">
        <v>6</v>
      </c>
      <c r="L4128" t="s">
        <v>7</v>
      </c>
      <c r="M4128">
        <v>2014</v>
      </c>
      <c r="N4128" s="1">
        <v>36068</v>
      </c>
      <c r="O4128" t="s">
        <v>19425</v>
      </c>
      <c r="P4128">
        <v>1</v>
      </c>
      <c r="Q4128" t="s">
        <v>16816</v>
      </c>
      <c r="S4128">
        <v>78.95</v>
      </c>
      <c r="T4128">
        <v>90</v>
      </c>
      <c r="U4128">
        <v>70</v>
      </c>
      <c r="V4128" t="s">
        <v>329</v>
      </c>
      <c r="W4128" t="s">
        <v>19318</v>
      </c>
      <c r="X4128" t="s">
        <v>19318</v>
      </c>
      <c r="Y4128" t="s">
        <v>459</v>
      </c>
      <c r="AF4128" t="s">
        <v>189</v>
      </c>
      <c r="AL4128" t="s">
        <v>333</v>
      </c>
      <c r="AM4128">
        <v>1</v>
      </c>
      <c r="AN4128" s="2"/>
    </row>
    <row r="4129" spans="1:40" x14ac:dyDescent="0.3">
      <c r="A4129" t="s">
        <v>19426</v>
      </c>
      <c r="B4129" t="s">
        <v>1</v>
      </c>
      <c r="C4129" t="s">
        <v>19427</v>
      </c>
      <c r="D4129" t="s">
        <v>19428</v>
      </c>
      <c r="E4129" t="s">
        <v>19429</v>
      </c>
      <c r="F4129" t="s">
        <v>5</v>
      </c>
      <c r="G4129" t="s">
        <v>6</v>
      </c>
      <c r="L4129" t="s">
        <v>7</v>
      </c>
      <c r="M4129">
        <v>2025</v>
      </c>
      <c r="N4129" s="1">
        <v>45808</v>
      </c>
      <c r="O4129" t="s">
        <v>19430</v>
      </c>
      <c r="P4129">
        <v>1</v>
      </c>
      <c r="Q4129" t="s">
        <v>19431</v>
      </c>
      <c r="S4129">
        <v>208.95</v>
      </c>
      <c r="T4129">
        <v>240</v>
      </c>
      <c r="U4129">
        <v>180</v>
      </c>
      <c r="V4129" t="s">
        <v>42</v>
      </c>
      <c r="W4129" t="s">
        <v>116</v>
      </c>
      <c r="X4129" t="s">
        <v>116</v>
      </c>
      <c r="Y4129" t="s">
        <v>15123</v>
      </c>
      <c r="AF4129" t="s">
        <v>189</v>
      </c>
      <c r="AL4129" t="s">
        <v>638</v>
      </c>
      <c r="AM4129">
        <v>1</v>
      </c>
      <c r="AN4129" s="2"/>
    </row>
    <row r="4130" spans="1:40" x14ac:dyDescent="0.3">
      <c r="A4130" t="s">
        <v>19432</v>
      </c>
      <c r="B4130" t="s">
        <v>1</v>
      </c>
      <c r="C4130" t="s">
        <v>19433</v>
      </c>
      <c r="E4130" t="s">
        <v>19434</v>
      </c>
      <c r="F4130" t="s">
        <v>5</v>
      </c>
      <c r="G4130" t="s">
        <v>6</v>
      </c>
      <c r="L4130" t="s">
        <v>7</v>
      </c>
      <c r="M4130">
        <v>1999</v>
      </c>
      <c r="N4130" s="1">
        <v>36433</v>
      </c>
      <c r="O4130" t="s">
        <v>19435</v>
      </c>
      <c r="P4130">
        <v>1</v>
      </c>
      <c r="S4130">
        <v>78.95</v>
      </c>
      <c r="T4130">
        <v>90</v>
      </c>
      <c r="U4130">
        <v>68</v>
      </c>
      <c r="V4130" t="s">
        <v>42</v>
      </c>
      <c r="W4130" t="s">
        <v>107</v>
      </c>
      <c r="X4130" t="s">
        <v>108</v>
      </c>
      <c r="Y4130" t="s">
        <v>109</v>
      </c>
      <c r="AF4130" t="s">
        <v>13</v>
      </c>
      <c r="AH4130" t="str">
        <f>HYPERLINK("http://www.degruyter.com/isbn/9780748674091")</f>
        <v>http://www.degruyter.com/isbn/9780748674091</v>
      </c>
      <c r="AL4130" t="s">
        <v>47</v>
      </c>
      <c r="AM4130">
        <v>1</v>
      </c>
      <c r="AN4130" s="2"/>
    </row>
    <row r="4131" spans="1:40" x14ac:dyDescent="0.3">
      <c r="A4131" t="s">
        <v>19436</v>
      </c>
      <c r="B4131" t="s">
        <v>1</v>
      </c>
      <c r="C4131" t="s">
        <v>19437</v>
      </c>
      <c r="E4131" t="s">
        <v>19438</v>
      </c>
      <c r="F4131" t="s">
        <v>5</v>
      </c>
      <c r="G4131" t="s">
        <v>6</v>
      </c>
      <c r="L4131" t="s">
        <v>7</v>
      </c>
      <c r="M4131">
        <v>2013</v>
      </c>
      <c r="N4131" s="1">
        <v>41639</v>
      </c>
      <c r="O4131" t="s">
        <v>19439</v>
      </c>
      <c r="P4131">
        <v>1</v>
      </c>
      <c r="Q4131" t="s">
        <v>16816</v>
      </c>
      <c r="S4131">
        <v>226.95</v>
      </c>
      <c r="T4131">
        <v>260</v>
      </c>
      <c r="U4131">
        <v>200</v>
      </c>
      <c r="V4131" t="s">
        <v>329</v>
      </c>
      <c r="W4131" t="s">
        <v>19318</v>
      </c>
      <c r="X4131" t="s">
        <v>19318</v>
      </c>
      <c r="Y4131" t="s">
        <v>459</v>
      </c>
      <c r="AF4131" t="s">
        <v>13</v>
      </c>
      <c r="AH4131" t="str">
        <f>HYPERLINK("http://www.degruyter.com/isbn/9780906094891")</f>
        <v>http://www.degruyter.com/isbn/9780906094891</v>
      </c>
      <c r="AL4131" t="s">
        <v>333</v>
      </c>
      <c r="AM4131">
        <v>1</v>
      </c>
      <c r="AN4131" s="2"/>
    </row>
    <row r="4132" spans="1:40" x14ac:dyDescent="0.3">
      <c r="A4132" t="s">
        <v>19440</v>
      </c>
      <c r="B4132" t="s">
        <v>1</v>
      </c>
      <c r="C4132" t="s">
        <v>19441</v>
      </c>
      <c r="E4132" t="s">
        <v>19442</v>
      </c>
      <c r="F4132" t="s">
        <v>5</v>
      </c>
      <c r="G4132" t="s">
        <v>6</v>
      </c>
      <c r="L4132" t="s">
        <v>7</v>
      </c>
      <c r="M4132">
        <v>1997</v>
      </c>
      <c r="N4132" s="1">
        <v>43677</v>
      </c>
      <c r="O4132" t="s">
        <v>19443</v>
      </c>
      <c r="P4132">
        <v>1</v>
      </c>
      <c r="S4132">
        <v>286.95</v>
      </c>
      <c r="T4132">
        <v>330</v>
      </c>
      <c r="U4132">
        <v>250</v>
      </c>
      <c r="V4132" t="s">
        <v>98</v>
      </c>
      <c r="W4132" t="s">
        <v>256</v>
      </c>
      <c r="X4132" t="s">
        <v>16478</v>
      </c>
      <c r="Y4132" t="s">
        <v>387</v>
      </c>
      <c r="AF4132" t="s">
        <v>189</v>
      </c>
      <c r="AL4132" t="s">
        <v>102</v>
      </c>
      <c r="AM4132">
        <v>1</v>
      </c>
      <c r="AN4132" s="2"/>
    </row>
    <row r="4133" spans="1:40" x14ac:dyDescent="0.3">
      <c r="A4133" t="s">
        <v>19444</v>
      </c>
      <c r="B4133" t="s">
        <v>1</v>
      </c>
      <c r="C4133" t="s">
        <v>19445</v>
      </c>
      <c r="D4133" t="s">
        <v>19446</v>
      </c>
      <c r="E4133" t="s">
        <v>19447</v>
      </c>
      <c r="F4133" t="s">
        <v>5</v>
      </c>
      <c r="G4133" t="s">
        <v>6</v>
      </c>
      <c r="L4133" t="s">
        <v>7</v>
      </c>
      <c r="M4133">
        <v>2012</v>
      </c>
      <c r="N4133" s="1">
        <v>41090</v>
      </c>
      <c r="O4133" t="s">
        <v>19448</v>
      </c>
      <c r="P4133">
        <v>1</v>
      </c>
      <c r="Q4133" t="s">
        <v>16816</v>
      </c>
      <c r="S4133">
        <v>52.95</v>
      </c>
      <c r="T4133">
        <v>60</v>
      </c>
      <c r="U4133">
        <v>50</v>
      </c>
      <c r="V4133" t="s">
        <v>329</v>
      </c>
      <c r="W4133" t="s">
        <v>19318</v>
      </c>
      <c r="X4133" t="s">
        <v>19318</v>
      </c>
      <c r="Y4133" t="s">
        <v>459</v>
      </c>
      <c r="AF4133" t="s">
        <v>13</v>
      </c>
      <c r="AH4133" t="str">
        <f>HYPERLINK("http://www.degruyter.com/isbn/9781909724051")</f>
        <v>http://www.degruyter.com/isbn/9781909724051</v>
      </c>
      <c r="AL4133" t="s">
        <v>333</v>
      </c>
      <c r="AM4133">
        <v>1</v>
      </c>
      <c r="AN4133" s="2"/>
    </row>
    <row r="4134" spans="1:40" x14ac:dyDescent="0.3">
      <c r="A4134" t="s">
        <v>19449</v>
      </c>
      <c r="B4134" t="s">
        <v>1</v>
      </c>
      <c r="C4134" t="s">
        <v>19445</v>
      </c>
      <c r="D4134" t="s">
        <v>19450</v>
      </c>
      <c r="E4134" t="s">
        <v>19447</v>
      </c>
      <c r="F4134" t="s">
        <v>5</v>
      </c>
      <c r="G4134" t="s">
        <v>6</v>
      </c>
      <c r="L4134" t="s">
        <v>7</v>
      </c>
      <c r="M4134">
        <v>1982</v>
      </c>
      <c r="N4134" s="1">
        <v>30316</v>
      </c>
      <c r="O4134" t="s">
        <v>19448</v>
      </c>
      <c r="P4134">
        <v>1</v>
      </c>
      <c r="Q4134" t="s">
        <v>16816</v>
      </c>
      <c r="S4134">
        <v>52.95</v>
      </c>
      <c r="T4134">
        <v>60</v>
      </c>
      <c r="U4134">
        <v>50</v>
      </c>
      <c r="V4134" t="s">
        <v>42</v>
      </c>
      <c r="W4134" t="s">
        <v>740</v>
      </c>
      <c r="X4134" t="s">
        <v>741</v>
      </c>
      <c r="Y4134" t="s">
        <v>19451</v>
      </c>
      <c r="AF4134" t="s">
        <v>13</v>
      </c>
      <c r="AH4134" t="str">
        <f>HYPERLINK("http://www.degruyter.com/isbn/9781909724020")</f>
        <v>http://www.degruyter.com/isbn/9781909724020</v>
      </c>
      <c r="AL4134" t="s">
        <v>47</v>
      </c>
      <c r="AM4134">
        <v>1</v>
      </c>
      <c r="AN4134" s="2"/>
    </row>
    <row r="4135" spans="1:40" x14ac:dyDescent="0.3">
      <c r="A4135" t="s">
        <v>19452</v>
      </c>
      <c r="B4135" t="s">
        <v>1</v>
      </c>
      <c r="C4135" t="s">
        <v>14706</v>
      </c>
      <c r="D4135" t="s">
        <v>19453</v>
      </c>
      <c r="E4135" t="s">
        <v>14708</v>
      </c>
      <c r="F4135" t="s">
        <v>5</v>
      </c>
      <c r="G4135" t="s">
        <v>6</v>
      </c>
      <c r="L4135" t="s">
        <v>7</v>
      </c>
      <c r="M4135">
        <v>2022</v>
      </c>
      <c r="N4135" s="1">
        <v>44627</v>
      </c>
      <c r="O4135" t="s">
        <v>19454</v>
      </c>
      <c r="P4135">
        <v>1</v>
      </c>
      <c r="S4135">
        <v>217.95</v>
      </c>
      <c r="T4135">
        <v>250</v>
      </c>
      <c r="U4135">
        <v>190</v>
      </c>
      <c r="V4135" t="s">
        <v>79</v>
      </c>
      <c r="W4135" t="s">
        <v>17722</v>
      </c>
      <c r="X4135" t="s">
        <v>19455</v>
      </c>
      <c r="Y4135" t="s">
        <v>19456</v>
      </c>
      <c r="AF4135" t="s">
        <v>13</v>
      </c>
      <c r="AH4135" t="str">
        <f>HYPERLINK("http://www.degruyter.com/isbn/9781474488822")</f>
        <v>http://www.degruyter.com/isbn/9781474488822</v>
      </c>
      <c r="AL4135" t="s">
        <v>638</v>
      </c>
      <c r="AM4135">
        <v>1</v>
      </c>
      <c r="AN4135" s="2"/>
    </row>
    <row r="4136" spans="1:40" x14ac:dyDescent="0.3">
      <c r="A4136" t="s">
        <v>19457</v>
      </c>
      <c r="B4136" t="s">
        <v>1</v>
      </c>
      <c r="C4136" t="s">
        <v>19458</v>
      </c>
      <c r="E4136" t="s">
        <v>19459</v>
      </c>
      <c r="F4136" t="s">
        <v>5</v>
      </c>
      <c r="G4136" t="s">
        <v>6</v>
      </c>
      <c r="L4136" t="s">
        <v>7</v>
      </c>
      <c r="M4136">
        <v>1996</v>
      </c>
      <c r="N4136" s="1">
        <v>43617</v>
      </c>
      <c r="O4136" t="s">
        <v>19460</v>
      </c>
      <c r="P4136">
        <v>1</v>
      </c>
      <c r="Q4136" t="s">
        <v>6929</v>
      </c>
      <c r="S4136">
        <v>217.95</v>
      </c>
      <c r="T4136">
        <v>250</v>
      </c>
      <c r="U4136">
        <v>190</v>
      </c>
      <c r="V4136" t="s">
        <v>58</v>
      </c>
      <c r="W4136" t="s">
        <v>129</v>
      </c>
      <c r="X4136" t="s">
        <v>10126</v>
      </c>
      <c r="Y4136" t="s">
        <v>10127</v>
      </c>
      <c r="AF4136" t="s">
        <v>189</v>
      </c>
      <c r="AL4136" t="s">
        <v>62</v>
      </c>
      <c r="AM4136">
        <v>1</v>
      </c>
      <c r="AN4136" s="2"/>
    </row>
    <row r="4137" spans="1:40" x14ac:dyDescent="0.3">
      <c r="A4137" t="s">
        <v>19461</v>
      </c>
      <c r="B4137" t="s">
        <v>1</v>
      </c>
      <c r="C4137" t="s">
        <v>19462</v>
      </c>
      <c r="D4137" t="s">
        <v>19463</v>
      </c>
      <c r="E4137" t="s">
        <v>19464</v>
      </c>
      <c r="F4137" t="s">
        <v>5</v>
      </c>
      <c r="G4137" t="s">
        <v>6</v>
      </c>
      <c r="L4137" t="s">
        <v>7</v>
      </c>
      <c r="M4137">
        <v>2012</v>
      </c>
      <c r="N4137" s="1">
        <v>41121</v>
      </c>
      <c r="O4137" t="s">
        <v>19465</v>
      </c>
      <c r="P4137">
        <v>1</v>
      </c>
      <c r="Q4137" t="s">
        <v>16816</v>
      </c>
      <c r="S4137">
        <v>156.94999999999999</v>
      </c>
      <c r="T4137">
        <v>180</v>
      </c>
      <c r="U4137">
        <v>140</v>
      </c>
      <c r="V4137" t="s">
        <v>329</v>
      </c>
      <c r="W4137" t="s">
        <v>19318</v>
      </c>
      <c r="X4137" t="s">
        <v>19318</v>
      </c>
      <c r="Y4137" t="s">
        <v>459</v>
      </c>
      <c r="AF4137" t="s">
        <v>13</v>
      </c>
      <c r="AH4137" t="str">
        <f>HYPERLINK("http://www.degruyter.com/isbn/9780906094822")</f>
        <v>http://www.degruyter.com/isbn/9780906094822</v>
      </c>
      <c r="AL4137" t="s">
        <v>333</v>
      </c>
      <c r="AM4137">
        <v>1</v>
      </c>
      <c r="AN4137" s="2"/>
    </row>
    <row r="4138" spans="1:40" x14ac:dyDescent="0.3">
      <c r="A4138" t="s">
        <v>19466</v>
      </c>
      <c r="B4138" t="s">
        <v>1</v>
      </c>
      <c r="C4138" t="s">
        <v>19467</v>
      </c>
      <c r="D4138" t="s">
        <v>19468</v>
      </c>
      <c r="E4138" t="s">
        <v>19469</v>
      </c>
      <c r="F4138" t="s">
        <v>5</v>
      </c>
      <c r="G4138" t="s">
        <v>6</v>
      </c>
      <c r="L4138" t="s">
        <v>7</v>
      </c>
      <c r="M4138">
        <v>2013</v>
      </c>
      <c r="N4138" s="1">
        <v>41608</v>
      </c>
      <c r="O4138" t="s">
        <v>19470</v>
      </c>
      <c r="P4138">
        <v>1</v>
      </c>
      <c r="Q4138" t="s">
        <v>16816</v>
      </c>
      <c r="S4138">
        <v>182.95</v>
      </c>
      <c r="T4138">
        <v>210</v>
      </c>
      <c r="U4138">
        <v>160</v>
      </c>
      <c r="V4138" t="s">
        <v>42</v>
      </c>
      <c r="W4138" t="s">
        <v>43</v>
      </c>
      <c r="X4138" t="s">
        <v>178</v>
      </c>
      <c r="Y4138" t="s">
        <v>179</v>
      </c>
      <c r="AF4138" t="s">
        <v>13</v>
      </c>
      <c r="AH4138" t="str">
        <f>HYPERLINK("http://www.degruyter.com/isbn/9780906094549")</f>
        <v>http://www.degruyter.com/isbn/9780906094549</v>
      </c>
      <c r="AL4138" t="s">
        <v>47</v>
      </c>
      <c r="AM4138">
        <v>1</v>
      </c>
      <c r="AN4138" s="2"/>
    </row>
    <row r="4139" spans="1:40" x14ac:dyDescent="0.3">
      <c r="A4139" t="s">
        <v>19471</v>
      </c>
      <c r="B4139" t="s">
        <v>1</v>
      </c>
      <c r="C4139" t="s">
        <v>19472</v>
      </c>
      <c r="E4139" t="s">
        <v>19473</v>
      </c>
      <c r="F4139" t="s">
        <v>5</v>
      </c>
      <c r="G4139" t="s">
        <v>6</v>
      </c>
      <c r="L4139" t="s">
        <v>7</v>
      </c>
      <c r="M4139">
        <v>2007</v>
      </c>
      <c r="N4139" s="1">
        <v>39416</v>
      </c>
      <c r="P4139">
        <v>1</v>
      </c>
      <c r="Q4139" t="s">
        <v>16816</v>
      </c>
      <c r="S4139">
        <v>278.95</v>
      </c>
      <c r="T4139">
        <v>320</v>
      </c>
      <c r="U4139">
        <v>240</v>
      </c>
      <c r="V4139" t="s">
        <v>297</v>
      </c>
      <c r="W4139" t="s">
        <v>19474</v>
      </c>
      <c r="X4139" t="s">
        <v>19474</v>
      </c>
      <c r="Y4139" t="s">
        <v>10737</v>
      </c>
      <c r="AF4139" t="s">
        <v>13</v>
      </c>
      <c r="AH4139" t="str">
        <f>HYPERLINK("http://www.degruyter.com/isbn/9781909724327")</f>
        <v>http://www.degruyter.com/isbn/9781909724327</v>
      </c>
      <c r="AL4139" t="s">
        <v>83</v>
      </c>
      <c r="AM4139">
        <v>1</v>
      </c>
      <c r="AN4139" s="2"/>
    </row>
    <row r="4140" spans="1:40" x14ac:dyDescent="0.3">
      <c r="A4140" t="s">
        <v>19475</v>
      </c>
      <c r="B4140" t="s">
        <v>1</v>
      </c>
      <c r="C4140" t="s">
        <v>19445</v>
      </c>
      <c r="D4140" t="s">
        <v>19476</v>
      </c>
      <c r="E4140" t="s">
        <v>19447</v>
      </c>
      <c r="F4140" t="s">
        <v>5</v>
      </c>
      <c r="G4140" t="s">
        <v>6</v>
      </c>
      <c r="L4140" t="s">
        <v>7</v>
      </c>
      <c r="M4140">
        <v>2013</v>
      </c>
      <c r="N4140" s="1">
        <v>41486</v>
      </c>
      <c r="O4140" t="s">
        <v>19448</v>
      </c>
      <c r="P4140">
        <v>1</v>
      </c>
      <c r="Q4140" t="s">
        <v>16816</v>
      </c>
      <c r="S4140">
        <v>52.95</v>
      </c>
      <c r="T4140">
        <v>60</v>
      </c>
      <c r="U4140">
        <v>50</v>
      </c>
      <c r="V4140" t="s">
        <v>329</v>
      </c>
      <c r="W4140" t="s">
        <v>19318</v>
      </c>
      <c r="X4140" t="s">
        <v>19318</v>
      </c>
      <c r="Y4140" t="s">
        <v>459</v>
      </c>
      <c r="AF4140" t="s">
        <v>13</v>
      </c>
      <c r="AH4140" t="str">
        <f>HYPERLINK("http://www.degruyter.com/isbn/9781909724082")</f>
        <v>http://www.degruyter.com/isbn/9781909724082</v>
      </c>
      <c r="AL4140" t="s">
        <v>333</v>
      </c>
      <c r="AM4140">
        <v>1</v>
      </c>
      <c r="AN4140" s="2"/>
    </row>
    <row r="4141" spans="1:40" x14ac:dyDescent="0.3">
      <c r="A4141" t="s">
        <v>19477</v>
      </c>
      <c r="B4141" t="s">
        <v>1</v>
      </c>
      <c r="C4141" t="s">
        <v>19478</v>
      </c>
      <c r="D4141" t="s">
        <v>19479</v>
      </c>
      <c r="E4141" t="s">
        <v>19480</v>
      </c>
      <c r="F4141" t="s">
        <v>5</v>
      </c>
      <c r="G4141" t="s">
        <v>6</v>
      </c>
      <c r="L4141" t="s">
        <v>7</v>
      </c>
      <c r="M4141">
        <v>2013</v>
      </c>
      <c r="N4141" s="1">
        <v>41516</v>
      </c>
      <c r="O4141" t="s">
        <v>19260</v>
      </c>
      <c r="P4141">
        <v>1</v>
      </c>
      <c r="Q4141" t="s">
        <v>16816</v>
      </c>
      <c r="S4141">
        <v>59.95</v>
      </c>
      <c r="T4141">
        <v>68</v>
      </c>
      <c r="U4141">
        <v>52</v>
      </c>
      <c r="V4141" t="s">
        <v>297</v>
      </c>
      <c r="W4141" t="s">
        <v>19409</v>
      </c>
      <c r="X4141" t="s">
        <v>19409</v>
      </c>
      <c r="Y4141" t="s">
        <v>393</v>
      </c>
      <c r="AF4141" t="s">
        <v>13</v>
      </c>
      <c r="AH4141" t="str">
        <f>HYPERLINK("http://www.degruyter.com/isbn/9781909724198")</f>
        <v>http://www.degruyter.com/isbn/9781909724198</v>
      </c>
      <c r="AL4141" t="s">
        <v>83</v>
      </c>
      <c r="AM4141">
        <v>1</v>
      </c>
      <c r="AN4141" s="2"/>
    </row>
    <row r="4142" spans="1:40" x14ac:dyDescent="0.3">
      <c r="A4142" t="s">
        <v>19481</v>
      </c>
      <c r="B4142" t="s">
        <v>1</v>
      </c>
      <c r="C4142" t="s">
        <v>19482</v>
      </c>
      <c r="E4142" t="s">
        <v>19483</v>
      </c>
      <c r="F4142" t="s">
        <v>5</v>
      </c>
      <c r="G4142" t="s">
        <v>6</v>
      </c>
      <c r="L4142" t="s">
        <v>7</v>
      </c>
      <c r="M4142">
        <v>1996</v>
      </c>
      <c r="N4142" s="1">
        <v>43684</v>
      </c>
      <c r="O4142" t="s">
        <v>19211</v>
      </c>
      <c r="P4142">
        <v>1</v>
      </c>
      <c r="Q4142" t="s">
        <v>7266</v>
      </c>
      <c r="S4142">
        <v>226.95</v>
      </c>
      <c r="T4142">
        <v>260</v>
      </c>
      <c r="U4142">
        <v>200</v>
      </c>
      <c r="V4142" t="s">
        <v>42</v>
      </c>
      <c r="W4142" t="s">
        <v>116</v>
      </c>
      <c r="X4142" t="s">
        <v>116</v>
      </c>
      <c r="Y4142" t="s">
        <v>117</v>
      </c>
      <c r="AF4142" t="s">
        <v>13</v>
      </c>
      <c r="AH4142" t="str">
        <f>HYPERLINK("http://www.degruyter.com/isbn/9781474472371")</f>
        <v>http://www.degruyter.com/isbn/9781474472371</v>
      </c>
      <c r="AL4142" t="s">
        <v>47</v>
      </c>
      <c r="AM4142">
        <v>1</v>
      </c>
      <c r="AN4142" s="2"/>
    </row>
    <row r="4143" spans="1:40" x14ac:dyDescent="0.3">
      <c r="A4143" t="s">
        <v>19484</v>
      </c>
      <c r="B4143" t="s">
        <v>1</v>
      </c>
      <c r="C4143" t="s">
        <v>19485</v>
      </c>
      <c r="E4143" t="s">
        <v>19486</v>
      </c>
      <c r="F4143" t="s">
        <v>5</v>
      </c>
      <c r="G4143" t="s">
        <v>6</v>
      </c>
      <c r="L4143" t="s">
        <v>7</v>
      </c>
      <c r="M4143">
        <v>2009</v>
      </c>
      <c r="N4143" s="1">
        <v>39964</v>
      </c>
      <c r="O4143" t="s">
        <v>19487</v>
      </c>
      <c r="P4143">
        <v>1</v>
      </c>
      <c r="Q4143" t="s">
        <v>16816</v>
      </c>
      <c r="S4143">
        <v>226.95</v>
      </c>
      <c r="T4143">
        <v>260</v>
      </c>
      <c r="U4143">
        <v>200</v>
      </c>
      <c r="V4143" t="s">
        <v>20</v>
      </c>
      <c r="W4143" t="s">
        <v>1018</v>
      </c>
      <c r="X4143" t="s">
        <v>1018</v>
      </c>
      <c r="Y4143" t="s">
        <v>1339</v>
      </c>
      <c r="AF4143" t="s">
        <v>13</v>
      </c>
      <c r="AH4143" t="str">
        <f>HYPERLINK("http://www.degruyter.com/isbn/9781909724723")</f>
        <v>http://www.degruyter.com/isbn/9781909724723</v>
      </c>
      <c r="AL4143" t="s">
        <v>15</v>
      </c>
      <c r="AM4143">
        <v>1</v>
      </c>
      <c r="AN4143" s="2"/>
    </row>
    <row r="4144" spans="1:40" x14ac:dyDescent="0.3">
      <c r="A4144" t="s">
        <v>19488</v>
      </c>
      <c r="B4144" t="s">
        <v>1</v>
      </c>
      <c r="C4144" t="s">
        <v>19489</v>
      </c>
      <c r="D4144" t="s">
        <v>19490</v>
      </c>
      <c r="E4144" t="s">
        <v>19491</v>
      </c>
      <c r="F4144" t="s">
        <v>5</v>
      </c>
      <c r="G4144" t="s">
        <v>6</v>
      </c>
      <c r="L4144" t="s">
        <v>7</v>
      </c>
      <c r="M4144">
        <v>2025</v>
      </c>
      <c r="N4144" s="1">
        <v>45657</v>
      </c>
      <c r="O4144" t="s">
        <v>19492</v>
      </c>
      <c r="P4144">
        <v>1</v>
      </c>
      <c r="S4144">
        <v>217.95</v>
      </c>
      <c r="T4144">
        <v>250</v>
      </c>
      <c r="U4144">
        <v>190</v>
      </c>
      <c r="V4144" t="s">
        <v>79</v>
      </c>
      <c r="W4144" t="s">
        <v>16641</v>
      </c>
      <c r="X4144" t="s">
        <v>16642</v>
      </c>
      <c r="Y4144" t="s">
        <v>16643</v>
      </c>
      <c r="AF4144" t="s">
        <v>13</v>
      </c>
      <c r="AH4144" t="str">
        <f>HYPERLINK("http://www.degruyter.com/isbn/9781399540469")</f>
        <v>http://www.degruyter.com/isbn/9781399540469</v>
      </c>
      <c r="AI4144" t="s">
        <v>15009</v>
      </c>
      <c r="AL4144" t="s">
        <v>638</v>
      </c>
      <c r="AM4144">
        <v>1</v>
      </c>
      <c r="AN4144" s="2"/>
    </row>
    <row r="4145" spans="1:40" x14ac:dyDescent="0.3">
      <c r="A4145" t="s">
        <v>19493</v>
      </c>
      <c r="B4145" t="s">
        <v>1</v>
      </c>
      <c r="C4145" t="s">
        <v>19494</v>
      </c>
      <c r="D4145" t="s">
        <v>19495</v>
      </c>
      <c r="E4145" t="s">
        <v>19496</v>
      </c>
      <c r="F4145" t="s">
        <v>5</v>
      </c>
      <c r="G4145" t="s">
        <v>6</v>
      </c>
      <c r="L4145" t="s">
        <v>7</v>
      </c>
      <c r="M4145">
        <v>2025</v>
      </c>
      <c r="N4145" s="1">
        <v>45808</v>
      </c>
      <c r="O4145" t="s">
        <v>19497</v>
      </c>
      <c r="P4145">
        <v>1</v>
      </c>
      <c r="S4145">
        <v>208.95</v>
      </c>
      <c r="T4145">
        <v>240</v>
      </c>
      <c r="U4145">
        <v>180</v>
      </c>
      <c r="V4145" t="s">
        <v>58</v>
      </c>
      <c r="W4145" t="s">
        <v>59</v>
      </c>
      <c r="X4145" t="s">
        <v>60</v>
      </c>
      <c r="Y4145" t="s">
        <v>61</v>
      </c>
      <c r="AF4145" t="s">
        <v>189</v>
      </c>
      <c r="AI4145" t="s">
        <v>15009</v>
      </c>
      <c r="AL4145" t="s">
        <v>638</v>
      </c>
      <c r="AM4145">
        <v>1</v>
      </c>
      <c r="AN4145" s="2"/>
    </row>
    <row r="4146" spans="1:40" x14ac:dyDescent="0.3">
      <c r="A4146" t="s">
        <v>19498</v>
      </c>
      <c r="B4146" t="s">
        <v>1</v>
      </c>
      <c r="C4146" t="s">
        <v>19499</v>
      </c>
      <c r="D4146" t="s">
        <v>17104</v>
      </c>
      <c r="E4146" t="s">
        <v>19500</v>
      </c>
      <c r="F4146" t="s">
        <v>5</v>
      </c>
      <c r="G4146" t="s">
        <v>6</v>
      </c>
      <c r="L4146" t="s">
        <v>7</v>
      </c>
      <c r="M4146">
        <v>2025</v>
      </c>
      <c r="N4146" s="1">
        <v>45777</v>
      </c>
      <c r="O4146" t="s">
        <v>19501</v>
      </c>
      <c r="P4146">
        <v>1</v>
      </c>
      <c r="S4146">
        <v>286.95</v>
      </c>
      <c r="T4146">
        <v>330</v>
      </c>
      <c r="U4146">
        <v>250</v>
      </c>
      <c r="V4146" t="s">
        <v>268</v>
      </c>
      <c r="W4146" t="s">
        <v>269</v>
      </c>
      <c r="X4146" t="s">
        <v>269</v>
      </c>
      <c r="Y4146" t="s">
        <v>19502</v>
      </c>
      <c r="AF4146" t="s">
        <v>189</v>
      </c>
      <c r="AI4146" t="s">
        <v>15009</v>
      </c>
      <c r="AL4146" t="s">
        <v>638</v>
      </c>
      <c r="AM4146">
        <v>1</v>
      </c>
      <c r="AN4146" s="2"/>
    </row>
    <row r="4147" spans="1:40" x14ac:dyDescent="0.3">
      <c r="A4147" t="s">
        <v>19503</v>
      </c>
      <c r="B4147" t="s">
        <v>1</v>
      </c>
      <c r="C4147" t="s">
        <v>19504</v>
      </c>
      <c r="D4147" t="s">
        <v>19505</v>
      </c>
      <c r="E4147" t="s">
        <v>19506</v>
      </c>
      <c r="F4147" t="s">
        <v>5</v>
      </c>
      <c r="G4147" t="s">
        <v>6</v>
      </c>
      <c r="L4147" t="s">
        <v>7</v>
      </c>
      <c r="M4147">
        <v>2025</v>
      </c>
      <c r="N4147" s="1">
        <v>45838</v>
      </c>
      <c r="O4147" t="s">
        <v>19507</v>
      </c>
      <c r="P4147">
        <v>1</v>
      </c>
      <c r="S4147">
        <v>208.95</v>
      </c>
      <c r="T4147">
        <v>240</v>
      </c>
      <c r="U4147">
        <v>180</v>
      </c>
      <c r="V4147" t="s">
        <v>42</v>
      </c>
      <c r="W4147" t="s">
        <v>290</v>
      </c>
      <c r="X4147" t="s">
        <v>290</v>
      </c>
      <c r="Y4147" t="s">
        <v>515</v>
      </c>
      <c r="AF4147" t="s">
        <v>189</v>
      </c>
      <c r="AI4147" t="s">
        <v>15009</v>
      </c>
      <c r="AL4147" t="s">
        <v>638</v>
      </c>
      <c r="AM4147">
        <v>1</v>
      </c>
      <c r="AN4147" s="2"/>
    </row>
    <row r="4148" spans="1:40" x14ac:dyDescent="0.3">
      <c r="A4148" t="s">
        <v>19508</v>
      </c>
      <c r="B4148" t="s">
        <v>1</v>
      </c>
      <c r="C4148" t="s">
        <v>19509</v>
      </c>
      <c r="E4148" t="s">
        <v>19510</v>
      </c>
      <c r="F4148" t="s">
        <v>5</v>
      </c>
      <c r="G4148" t="s">
        <v>6</v>
      </c>
      <c r="L4148" t="s">
        <v>7</v>
      </c>
      <c r="M4148">
        <v>2025</v>
      </c>
      <c r="N4148" s="1">
        <v>45838</v>
      </c>
      <c r="O4148" t="s">
        <v>19511</v>
      </c>
      <c r="P4148">
        <v>1</v>
      </c>
      <c r="S4148">
        <v>226.95</v>
      </c>
      <c r="T4148">
        <v>260</v>
      </c>
      <c r="U4148">
        <v>200</v>
      </c>
      <c r="V4148" t="s">
        <v>98</v>
      </c>
      <c r="W4148" t="s">
        <v>256</v>
      </c>
      <c r="X4148" t="s">
        <v>19512</v>
      </c>
      <c r="Y4148" t="s">
        <v>4420</v>
      </c>
      <c r="AF4148" t="s">
        <v>189</v>
      </c>
      <c r="AI4148" t="s">
        <v>15009</v>
      </c>
      <c r="AL4148" t="s">
        <v>638</v>
      </c>
      <c r="AM4148">
        <v>1</v>
      </c>
      <c r="AN4148" s="2"/>
    </row>
    <row r="4149" spans="1:40" x14ac:dyDescent="0.3">
      <c r="A4149" t="s">
        <v>19513</v>
      </c>
      <c r="B4149" t="s">
        <v>1</v>
      </c>
      <c r="C4149" t="s">
        <v>19514</v>
      </c>
      <c r="E4149" t="s">
        <v>19515</v>
      </c>
      <c r="F4149" t="s">
        <v>5</v>
      </c>
      <c r="G4149" t="s">
        <v>6</v>
      </c>
      <c r="L4149" t="s">
        <v>7</v>
      </c>
      <c r="M4149">
        <v>2025</v>
      </c>
      <c r="N4149" s="1">
        <v>45838</v>
      </c>
      <c r="O4149" t="s">
        <v>19516</v>
      </c>
      <c r="P4149">
        <v>1</v>
      </c>
      <c r="Q4149" t="s">
        <v>18543</v>
      </c>
      <c r="S4149">
        <v>217.95</v>
      </c>
      <c r="T4149">
        <v>250</v>
      </c>
      <c r="U4149">
        <v>190</v>
      </c>
      <c r="V4149" t="s">
        <v>42</v>
      </c>
      <c r="W4149" t="s">
        <v>290</v>
      </c>
      <c r="X4149" t="s">
        <v>290</v>
      </c>
      <c r="Y4149" t="s">
        <v>291</v>
      </c>
      <c r="AF4149" t="s">
        <v>189</v>
      </c>
      <c r="AI4149" t="s">
        <v>15009</v>
      </c>
      <c r="AL4149" t="s">
        <v>638</v>
      </c>
      <c r="AM4149">
        <v>1</v>
      </c>
      <c r="AN4149" s="2"/>
    </row>
    <row r="4150" spans="1:40" x14ac:dyDescent="0.3">
      <c r="A4150" t="s">
        <v>19517</v>
      </c>
      <c r="B4150" t="s">
        <v>1</v>
      </c>
      <c r="C4150" t="s">
        <v>19518</v>
      </c>
      <c r="D4150" t="s">
        <v>19519</v>
      </c>
      <c r="E4150" t="s">
        <v>19520</v>
      </c>
      <c r="F4150" t="s">
        <v>5</v>
      </c>
      <c r="G4150" t="s">
        <v>6</v>
      </c>
      <c r="L4150" t="s">
        <v>7</v>
      </c>
      <c r="M4150">
        <v>2025</v>
      </c>
      <c r="N4150" s="1">
        <v>45808</v>
      </c>
      <c r="O4150" t="s">
        <v>19521</v>
      </c>
      <c r="P4150">
        <v>1</v>
      </c>
      <c r="Q4150" t="s">
        <v>13324</v>
      </c>
      <c r="S4150">
        <v>226.95</v>
      </c>
      <c r="T4150">
        <v>260</v>
      </c>
      <c r="U4150">
        <v>200</v>
      </c>
      <c r="V4150" t="s">
        <v>297</v>
      </c>
      <c r="W4150" t="s">
        <v>7781</v>
      </c>
      <c r="X4150" t="s">
        <v>7781</v>
      </c>
      <c r="Y4150" t="s">
        <v>7782</v>
      </c>
      <c r="AF4150" t="s">
        <v>189</v>
      </c>
      <c r="AI4150" t="s">
        <v>15009</v>
      </c>
      <c r="AL4150" t="s">
        <v>638</v>
      </c>
      <c r="AM4150">
        <v>1</v>
      </c>
      <c r="AN4150" s="2"/>
    </row>
    <row r="4151" spans="1:40" x14ac:dyDescent="0.3">
      <c r="A4151" t="s">
        <v>19522</v>
      </c>
      <c r="B4151" t="s">
        <v>1</v>
      </c>
      <c r="C4151" t="s">
        <v>19523</v>
      </c>
      <c r="D4151" t="s">
        <v>19524</v>
      </c>
      <c r="E4151" t="s">
        <v>19525</v>
      </c>
      <c r="F4151" t="s">
        <v>5</v>
      </c>
      <c r="G4151" t="s">
        <v>6</v>
      </c>
      <c r="L4151" t="s">
        <v>7</v>
      </c>
      <c r="M4151">
        <v>2025</v>
      </c>
      <c r="N4151" s="1">
        <v>45808</v>
      </c>
      <c r="O4151" t="s">
        <v>19526</v>
      </c>
      <c r="P4151">
        <v>1</v>
      </c>
      <c r="S4151">
        <v>217.95</v>
      </c>
      <c r="T4151">
        <v>250</v>
      </c>
      <c r="U4151">
        <v>190</v>
      </c>
      <c r="V4151" t="s">
        <v>42</v>
      </c>
      <c r="W4151" t="s">
        <v>107</v>
      </c>
      <c r="X4151" t="s">
        <v>108</v>
      </c>
      <c r="Y4151" t="s">
        <v>109</v>
      </c>
      <c r="AF4151" t="s">
        <v>189</v>
      </c>
      <c r="AI4151" t="s">
        <v>15009</v>
      </c>
      <c r="AL4151" t="s">
        <v>638</v>
      </c>
      <c r="AM4151">
        <v>1</v>
      </c>
      <c r="AN4151" s="2"/>
    </row>
    <row r="4152" spans="1:40" x14ac:dyDescent="0.3">
      <c r="A4152" t="s">
        <v>19527</v>
      </c>
      <c r="B4152" t="s">
        <v>1</v>
      </c>
      <c r="C4152" t="s">
        <v>19528</v>
      </c>
      <c r="D4152" t="s">
        <v>19529</v>
      </c>
      <c r="E4152" t="s">
        <v>19530</v>
      </c>
      <c r="F4152" t="s">
        <v>5</v>
      </c>
      <c r="G4152" t="s">
        <v>6</v>
      </c>
      <c r="L4152" t="s">
        <v>7</v>
      </c>
      <c r="M4152">
        <v>2025</v>
      </c>
      <c r="N4152" s="1">
        <v>45808</v>
      </c>
      <c r="O4152" t="s">
        <v>19531</v>
      </c>
      <c r="P4152">
        <v>1</v>
      </c>
      <c r="S4152">
        <v>208.95</v>
      </c>
      <c r="T4152">
        <v>240</v>
      </c>
      <c r="U4152">
        <v>180</v>
      </c>
      <c r="V4152" t="s">
        <v>58</v>
      </c>
      <c r="W4152" t="s">
        <v>59</v>
      </c>
      <c r="X4152" t="s">
        <v>15207</v>
      </c>
      <c r="Y4152" t="s">
        <v>15208</v>
      </c>
      <c r="AF4152" t="s">
        <v>189</v>
      </c>
      <c r="AI4152" t="s">
        <v>15009</v>
      </c>
      <c r="AL4152" t="s">
        <v>638</v>
      </c>
      <c r="AM4152">
        <v>1</v>
      </c>
      <c r="AN4152" s="2"/>
    </row>
    <row r="4153" spans="1:40" x14ac:dyDescent="0.3">
      <c r="A4153" t="s">
        <v>19532</v>
      </c>
      <c r="B4153" t="s">
        <v>1</v>
      </c>
      <c r="C4153" t="s">
        <v>19533</v>
      </c>
      <c r="D4153" t="s">
        <v>19534</v>
      </c>
      <c r="E4153" t="s">
        <v>19535</v>
      </c>
      <c r="F4153" t="s">
        <v>5</v>
      </c>
      <c r="G4153" t="s">
        <v>6</v>
      </c>
      <c r="L4153" t="s">
        <v>7</v>
      </c>
      <c r="M4153">
        <v>2025</v>
      </c>
      <c r="N4153" s="1">
        <v>45808</v>
      </c>
      <c r="O4153" t="s">
        <v>19536</v>
      </c>
      <c r="P4153">
        <v>1</v>
      </c>
      <c r="S4153">
        <v>208.95</v>
      </c>
      <c r="T4153">
        <v>240</v>
      </c>
      <c r="U4153">
        <v>180</v>
      </c>
      <c r="V4153" t="s">
        <v>20</v>
      </c>
      <c r="W4153" t="s">
        <v>21</v>
      </c>
      <c r="X4153" t="s">
        <v>575</v>
      </c>
      <c r="Y4153" t="s">
        <v>23</v>
      </c>
      <c r="AF4153" t="s">
        <v>189</v>
      </c>
      <c r="AI4153" t="s">
        <v>15009</v>
      </c>
      <c r="AL4153" t="s">
        <v>638</v>
      </c>
      <c r="AM4153">
        <v>1</v>
      </c>
      <c r="AN4153" s="2"/>
    </row>
    <row r="4154" spans="1:40" x14ac:dyDescent="0.3">
      <c r="A4154" t="s">
        <v>19537</v>
      </c>
      <c r="B4154" t="s">
        <v>1</v>
      </c>
      <c r="C4154" t="s">
        <v>19538</v>
      </c>
      <c r="E4154" t="s">
        <v>19539</v>
      </c>
      <c r="F4154" t="s">
        <v>5</v>
      </c>
      <c r="G4154" t="s">
        <v>6</v>
      </c>
      <c r="L4154" t="s">
        <v>7</v>
      </c>
      <c r="M4154">
        <v>2025</v>
      </c>
      <c r="N4154" s="1">
        <v>45808</v>
      </c>
      <c r="O4154" t="s">
        <v>19540</v>
      </c>
      <c r="P4154">
        <v>1</v>
      </c>
      <c r="Q4154" t="s">
        <v>6876</v>
      </c>
      <c r="S4154">
        <v>208.95</v>
      </c>
      <c r="T4154">
        <v>240</v>
      </c>
      <c r="U4154">
        <v>180</v>
      </c>
      <c r="V4154" t="s">
        <v>297</v>
      </c>
      <c r="W4154" t="s">
        <v>19409</v>
      </c>
      <c r="X4154" t="s">
        <v>19409</v>
      </c>
      <c r="Y4154" t="s">
        <v>393</v>
      </c>
      <c r="AF4154" t="s">
        <v>189</v>
      </c>
      <c r="AI4154" t="s">
        <v>15009</v>
      </c>
      <c r="AL4154" t="s">
        <v>638</v>
      </c>
      <c r="AM4154">
        <v>1</v>
      </c>
      <c r="AN4154" s="2"/>
    </row>
    <row r="4155" spans="1:40" x14ac:dyDescent="0.3">
      <c r="A4155" t="s">
        <v>19541</v>
      </c>
      <c r="B4155" t="s">
        <v>1</v>
      </c>
      <c r="C4155" t="s">
        <v>19542</v>
      </c>
      <c r="D4155" t="s">
        <v>19543</v>
      </c>
      <c r="E4155" t="s">
        <v>19544</v>
      </c>
      <c r="F4155" t="s">
        <v>5</v>
      </c>
      <c r="G4155" t="s">
        <v>6</v>
      </c>
      <c r="L4155" t="s">
        <v>7</v>
      </c>
      <c r="M4155">
        <v>2025</v>
      </c>
      <c r="N4155" s="1">
        <v>45838</v>
      </c>
      <c r="O4155" t="s">
        <v>19545</v>
      </c>
      <c r="P4155">
        <v>1</v>
      </c>
      <c r="S4155">
        <v>208.95</v>
      </c>
      <c r="T4155">
        <v>240</v>
      </c>
      <c r="U4155">
        <v>180</v>
      </c>
      <c r="V4155" t="s">
        <v>305</v>
      </c>
      <c r="W4155" t="s">
        <v>2566</v>
      </c>
      <c r="X4155" t="s">
        <v>2567</v>
      </c>
      <c r="Y4155" t="s">
        <v>12</v>
      </c>
      <c r="AF4155" t="s">
        <v>189</v>
      </c>
      <c r="AI4155" t="s">
        <v>15009</v>
      </c>
      <c r="AL4155" t="s">
        <v>638</v>
      </c>
      <c r="AM4155">
        <v>1</v>
      </c>
      <c r="AN4155" s="2"/>
    </row>
    <row r="4156" spans="1:40" x14ac:dyDescent="0.3">
      <c r="A4156" t="s">
        <v>19546</v>
      </c>
      <c r="B4156" t="s">
        <v>1</v>
      </c>
      <c r="C4156" t="s">
        <v>19547</v>
      </c>
      <c r="D4156" t="s">
        <v>19548</v>
      </c>
      <c r="E4156" t="s">
        <v>19549</v>
      </c>
      <c r="F4156" t="s">
        <v>5</v>
      </c>
      <c r="G4156" t="s">
        <v>6</v>
      </c>
      <c r="L4156" t="s">
        <v>7</v>
      </c>
      <c r="M4156">
        <v>2025</v>
      </c>
      <c r="N4156" s="1">
        <v>45838</v>
      </c>
      <c r="O4156" t="s">
        <v>19550</v>
      </c>
      <c r="P4156">
        <v>1</v>
      </c>
      <c r="Q4156" t="s">
        <v>18092</v>
      </c>
      <c r="S4156">
        <v>208.95</v>
      </c>
      <c r="T4156">
        <v>240</v>
      </c>
      <c r="U4156">
        <v>180</v>
      </c>
      <c r="V4156" t="s">
        <v>305</v>
      </c>
      <c r="W4156" t="s">
        <v>2566</v>
      </c>
      <c r="X4156" t="s">
        <v>2567</v>
      </c>
      <c r="Y4156" t="s">
        <v>2473</v>
      </c>
      <c r="AF4156" t="s">
        <v>189</v>
      </c>
      <c r="AI4156" t="s">
        <v>15009</v>
      </c>
      <c r="AL4156" t="s">
        <v>638</v>
      </c>
      <c r="AM4156">
        <v>1</v>
      </c>
      <c r="AN4156" s="2"/>
    </row>
    <row r="4157" spans="1:40" x14ac:dyDescent="0.3">
      <c r="A4157" t="s">
        <v>19551</v>
      </c>
      <c r="B4157" t="s">
        <v>1</v>
      </c>
      <c r="C4157" t="s">
        <v>19552</v>
      </c>
      <c r="D4157" t="s">
        <v>19553</v>
      </c>
      <c r="E4157" t="s">
        <v>19554</v>
      </c>
      <c r="F4157" t="s">
        <v>5</v>
      </c>
      <c r="G4157" t="s">
        <v>6</v>
      </c>
      <c r="L4157" t="s">
        <v>7</v>
      </c>
      <c r="M4157">
        <v>2025</v>
      </c>
      <c r="N4157" s="1">
        <v>45838</v>
      </c>
      <c r="O4157" t="s">
        <v>19555</v>
      </c>
      <c r="P4157">
        <v>1</v>
      </c>
      <c r="S4157">
        <v>208.95</v>
      </c>
      <c r="T4157">
        <v>240</v>
      </c>
      <c r="U4157">
        <v>180</v>
      </c>
      <c r="V4157" t="s">
        <v>42</v>
      </c>
      <c r="W4157" t="s">
        <v>107</v>
      </c>
      <c r="X4157" t="s">
        <v>108</v>
      </c>
      <c r="Y4157" t="s">
        <v>109</v>
      </c>
      <c r="AF4157" t="s">
        <v>189</v>
      </c>
      <c r="AI4157" t="s">
        <v>15009</v>
      </c>
      <c r="AL4157" t="s">
        <v>638</v>
      </c>
      <c r="AM4157">
        <v>1</v>
      </c>
      <c r="AN4157" s="2"/>
    </row>
    <row r="4158" spans="1:40" x14ac:dyDescent="0.3">
      <c r="A4158" t="s">
        <v>19556</v>
      </c>
      <c r="B4158" t="s">
        <v>1</v>
      </c>
      <c r="C4158" t="s">
        <v>19170</v>
      </c>
      <c r="E4158" t="s">
        <v>19171</v>
      </c>
      <c r="F4158" t="s">
        <v>5</v>
      </c>
      <c r="G4158" t="s">
        <v>6</v>
      </c>
      <c r="L4158" t="s">
        <v>7</v>
      </c>
      <c r="M4158">
        <v>2025</v>
      </c>
      <c r="N4158" s="1">
        <v>45776</v>
      </c>
      <c r="O4158" t="s">
        <v>19172</v>
      </c>
      <c r="P4158">
        <v>1</v>
      </c>
      <c r="Q4158" t="s">
        <v>8994</v>
      </c>
      <c r="S4158">
        <v>339.95</v>
      </c>
      <c r="T4158">
        <v>390</v>
      </c>
      <c r="U4158">
        <v>300</v>
      </c>
      <c r="V4158" t="s">
        <v>89</v>
      </c>
      <c r="W4158" t="s">
        <v>90</v>
      </c>
      <c r="X4158" t="s">
        <v>1210</v>
      </c>
      <c r="Y4158" t="s">
        <v>1211</v>
      </c>
      <c r="AF4158" t="s">
        <v>189</v>
      </c>
      <c r="AI4158" t="s">
        <v>15009</v>
      </c>
      <c r="AL4158" t="s">
        <v>638</v>
      </c>
      <c r="AM4158">
        <v>1</v>
      </c>
      <c r="AN4158" s="2"/>
    </row>
    <row r="4159" spans="1:40" x14ac:dyDescent="0.3">
      <c r="A4159" t="s">
        <v>19557</v>
      </c>
      <c r="B4159" t="s">
        <v>1</v>
      </c>
      <c r="C4159" t="s">
        <v>19558</v>
      </c>
      <c r="D4159" t="s">
        <v>19559</v>
      </c>
      <c r="E4159" t="s">
        <v>19560</v>
      </c>
      <c r="F4159" t="s">
        <v>5</v>
      </c>
      <c r="G4159" t="s">
        <v>6</v>
      </c>
      <c r="L4159" t="s">
        <v>7</v>
      </c>
      <c r="M4159">
        <v>2025</v>
      </c>
      <c r="N4159" s="1">
        <v>45808</v>
      </c>
      <c r="O4159" t="s">
        <v>19561</v>
      </c>
      <c r="P4159">
        <v>1</v>
      </c>
      <c r="Q4159" t="s">
        <v>9611</v>
      </c>
      <c r="S4159">
        <v>208.95</v>
      </c>
      <c r="T4159">
        <v>240</v>
      </c>
      <c r="U4159">
        <v>180</v>
      </c>
      <c r="V4159" t="s">
        <v>329</v>
      </c>
      <c r="W4159" t="s">
        <v>19318</v>
      </c>
      <c r="X4159" t="s">
        <v>19318</v>
      </c>
      <c r="Y4159" t="s">
        <v>459</v>
      </c>
      <c r="AF4159" t="s">
        <v>189</v>
      </c>
      <c r="AI4159" t="s">
        <v>15009</v>
      </c>
      <c r="AL4159" t="s">
        <v>638</v>
      </c>
      <c r="AM4159">
        <v>1</v>
      </c>
      <c r="AN4159" s="2"/>
    </row>
    <row r="4160" spans="1:40" x14ac:dyDescent="0.3">
      <c r="A4160" t="s">
        <v>19562</v>
      </c>
      <c r="B4160" t="s">
        <v>1</v>
      </c>
      <c r="C4160" t="s">
        <v>19563</v>
      </c>
      <c r="D4160" t="s">
        <v>19564</v>
      </c>
      <c r="E4160" t="s">
        <v>19565</v>
      </c>
      <c r="F4160" t="s">
        <v>5</v>
      </c>
      <c r="G4160" t="s">
        <v>6</v>
      </c>
      <c r="L4160" t="s">
        <v>7</v>
      </c>
      <c r="M4160">
        <v>2025</v>
      </c>
      <c r="N4160" s="1">
        <v>45838</v>
      </c>
      <c r="O4160" t="s">
        <v>19566</v>
      </c>
      <c r="P4160">
        <v>1</v>
      </c>
      <c r="Q4160" t="s">
        <v>13672</v>
      </c>
      <c r="S4160">
        <v>208.95</v>
      </c>
      <c r="T4160">
        <v>240</v>
      </c>
      <c r="U4160">
        <v>180</v>
      </c>
      <c r="V4160" t="s">
        <v>847</v>
      </c>
      <c r="W4160" t="s">
        <v>5219</v>
      </c>
      <c r="X4160" t="s">
        <v>19567</v>
      </c>
      <c r="Y4160" t="s">
        <v>16752</v>
      </c>
      <c r="AF4160" t="s">
        <v>189</v>
      </c>
      <c r="AI4160" t="s">
        <v>15009</v>
      </c>
      <c r="AL4160" t="s">
        <v>638</v>
      </c>
      <c r="AM4160">
        <v>1</v>
      </c>
      <c r="AN4160" s="2"/>
    </row>
    <row r="4161" spans="1:40" x14ac:dyDescent="0.3">
      <c r="A4161" t="s">
        <v>19568</v>
      </c>
      <c r="B4161" t="s">
        <v>1</v>
      </c>
      <c r="C4161" t="s">
        <v>19569</v>
      </c>
      <c r="E4161" t="s">
        <v>19570</v>
      </c>
      <c r="F4161" t="s">
        <v>5</v>
      </c>
      <c r="G4161" t="s">
        <v>6</v>
      </c>
      <c r="L4161" t="s">
        <v>7</v>
      </c>
      <c r="M4161">
        <v>2025</v>
      </c>
      <c r="N4161" s="1">
        <v>45838</v>
      </c>
      <c r="O4161" t="s">
        <v>19571</v>
      </c>
      <c r="P4161">
        <v>1</v>
      </c>
      <c r="S4161">
        <v>208.95</v>
      </c>
      <c r="T4161">
        <v>240</v>
      </c>
      <c r="U4161">
        <v>180</v>
      </c>
      <c r="V4161" t="s">
        <v>20</v>
      </c>
      <c r="W4161" t="s">
        <v>470</v>
      </c>
      <c r="X4161" t="s">
        <v>471</v>
      </c>
      <c r="Y4161" t="s">
        <v>472</v>
      </c>
      <c r="AF4161" t="s">
        <v>189</v>
      </c>
      <c r="AI4161" t="s">
        <v>15009</v>
      </c>
      <c r="AL4161" t="s">
        <v>638</v>
      </c>
      <c r="AM4161">
        <v>1</v>
      </c>
      <c r="AN4161" s="2"/>
    </row>
    <row r="4162" spans="1:40" x14ac:dyDescent="0.3">
      <c r="A4162" t="s">
        <v>19572</v>
      </c>
      <c r="B4162" t="s">
        <v>1</v>
      </c>
      <c r="C4162" t="s">
        <v>19573</v>
      </c>
      <c r="E4162" t="s">
        <v>19574</v>
      </c>
      <c r="F4162" t="s">
        <v>5</v>
      </c>
      <c r="G4162" t="s">
        <v>6</v>
      </c>
      <c r="L4162" t="s">
        <v>7</v>
      </c>
      <c r="M4162">
        <v>2025</v>
      </c>
      <c r="N4162" s="1">
        <v>45686</v>
      </c>
      <c r="O4162" t="s">
        <v>19575</v>
      </c>
      <c r="P4162">
        <v>1</v>
      </c>
      <c r="Q4162" t="s">
        <v>6987</v>
      </c>
      <c r="S4162">
        <v>226.95</v>
      </c>
      <c r="T4162">
        <v>260</v>
      </c>
      <c r="U4162">
        <v>200</v>
      </c>
      <c r="V4162" t="s">
        <v>305</v>
      </c>
      <c r="W4162" t="s">
        <v>2566</v>
      </c>
      <c r="X4162" t="s">
        <v>2567</v>
      </c>
      <c r="Y4162" t="s">
        <v>7060</v>
      </c>
      <c r="AF4162" t="s">
        <v>13</v>
      </c>
      <c r="AH4162" t="str">
        <f>HYPERLINK("http://www.degruyter.com/isbn/9781399532631")</f>
        <v>http://www.degruyter.com/isbn/9781399532631</v>
      </c>
      <c r="AI4162" t="s">
        <v>15009</v>
      </c>
      <c r="AL4162" t="s">
        <v>638</v>
      </c>
      <c r="AM4162">
        <v>1</v>
      </c>
      <c r="AN4162" s="2"/>
    </row>
    <row r="4163" spans="1:40" x14ac:dyDescent="0.3">
      <c r="A4163" t="s">
        <v>19576</v>
      </c>
      <c r="B4163" t="s">
        <v>1</v>
      </c>
      <c r="C4163" t="s">
        <v>19577</v>
      </c>
      <c r="D4163" t="s">
        <v>19578</v>
      </c>
      <c r="E4163" t="s">
        <v>19579</v>
      </c>
      <c r="F4163" t="s">
        <v>5</v>
      </c>
      <c r="G4163" t="s">
        <v>6</v>
      </c>
      <c r="L4163" t="s">
        <v>7</v>
      </c>
      <c r="M4163">
        <v>2025</v>
      </c>
      <c r="N4163" s="1">
        <v>45808</v>
      </c>
      <c r="O4163" t="s">
        <v>19580</v>
      </c>
      <c r="P4163">
        <v>1</v>
      </c>
      <c r="S4163">
        <v>208.95</v>
      </c>
      <c r="T4163">
        <v>240</v>
      </c>
      <c r="U4163">
        <v>180</v>
      </c>
      <c r="V4163" t="s">
        <v>42</v>
      </c>
      <c r="W4163" t="s">
        <v>290</v>
      </c>
      <c r="X4163" t="s">
        <v>290</v>
      </c>
      <c r="Y4163" t="s">
        <v>515</v>
      </c>
      <c r="AF4163" t="s">
        <v>189</v>
      </c>
      <c r="AI4163" t="s">
        <v>15009</v>
      </c>
      <c r="AL4163" t="s">
        <v>638</v>
      </c>
      <c r="AM4163">
        <v>1</v>
      </c>
      <c r="AN4163" s="2"/>
    </row>
    <row r="4164" spans="1:40" x14ac:dyDescent="0.3">
      <c r="A4164" t="s">
        <v>19581</v>
      </c>
      <c r="B4164" t="s">
        <v>1</v>
      </c>
      <c r="C4164" t="s">
        <v>19582</v>
      </c>
      <c r="D4164" t="s">
        <v>19583</v>
      </c>
      <c r="E4164" t="s">
        <v>19584</v>
      </c>
      <c r="F4164" t="s">
        <v>5</v>
      </c>
      <c r="G4164" t="s">
        <v>6</v>
      </c>
      <c r="L4164" t="s">
        <v>7</v>
      </c>
      <c r="M4164">
        <v>2025</v>
      </c>
      <c r="N4164" s="1">
        <v>45838</v>
      </c>
      <c r="O4164" t="s">
        <v>19585</v>
      </c>
      <c r="P4164">
        <v>1</v>
      </c>
      <c r="S4164">
        <v>208.95</v>
      </c>
      <c r="T4164">
        <v>240</v>
      </c>
      <c r="U4164">
        <v>180</v>
      </c>
      <c r="V4164" t="s">
        <v>9</v>
      </c>
      <c r="W4164" t="s">
        <v>19161</v>
      </c>
      <c r="X4164" t="s">
        <v>19162</v>
      </c>
      <c r="Y4164" t="s">
        <v>169</v>
      </c>
      <c r="AF4164" t="s">
        <v>189</v>
      </c>
      <c r="AI4164" t="s">
        <v>15009</v>
      </c>
      <c r="AL4164" t="s">
        <v>638</v>
      </c>
      <c r="AM4164">
        <v>1</v>
      </c>
      <c r="AN4164" s="2"/>
    </row>
    <row r="4165" spans="1:40" x14ac:dyDescent="0.3">
      <c r="A4165" t="s">
        <v>19586</v>
      </c>
      <c r="B4165" t="s">
        <v>1</v>
      </c>
      <c r="C4165" t="s">
        <v>19587</v>
      </c>
      <c r="D4165" t="s">
        <v>19588</v>
      </c>
      <c r="E4165" t="s">
        <v>19589</v>
      </c>
      <c r="F4165" t="s">
        <v>5</v>
      </c>
      <c r="G4165" t="s">
        <v>6</v>
      </c>
      <c r="L4165" t="s">
        <v>7</v>
      </c>
      <c r="M4165">
        <v>2025</v>
      </c>
      <c r="N4165" s="1">
        <v>45808</v>
      </c>
      <c r="O4165" t="s">
        <v>19590</v>
      </c>
      <c r="P4165">
        <v>1</v>
      </c>
      <c r="Q4165" t="s">
        <v>6606</v>
      </c>
      <c r="S4165">
        <v>208.95</v>
      </c>
      <c r="T4165">
        <v>240</v>
      </c>
      <c r="U4165">
        <v>180</v>
      </c>
      <c r="V4165" t="s">
        <v>79</v>
      </c>
      <c r="W4165" t="s">
        <v>16641</v>
      </c>
      <c r="X4165" t="s">
        <v>16642</v>
      </c>
      <c r="Y4165" t="s">
        <v>16643</v>
      </c>
      <c r="AF4165" t="s">
        <v>189</v>
      </c>
      <c r="AI4165" t="s">
        <v>15009</v>
      </c>
      <c r="AL4165" t="s">
        <v>638</v>
      </c>
      <c r="AM4165">
        <v>1</v>
      </c>
      <c r="AN4165" s="2"/>
    </row>
    <row r="4166" spans="1:40" x14ac:dyDescent="0.3">
      <c r="A4166" t="s">
        <v>19591</v>
      </c>
      <c r="B4166" t="s">
        <v>1</v>
      </c>
      <c r="C4166" t="s">
        <v>19592</v>
      </c>
      <c r="D4166" t="s">
        <v>5690</v>
      </c>
      <c r="E4166" t="s">
        <v>19593</v>
      </c>
      <c r="F4166" t="s">
        <v>5</v>
      </c>
      <c r="G4166" t="s">
        <v>6</v>
      </c>
      <c r="L4166" t="s">
        <v>7</v>
      </c>
      <c r="M4166">
        <v>2025</v>
      </c>
      <c r="N4166" s="1">
        <v>45808</v>
      </c>
      <c r="O4166" t="s">
        <v>19594</v>
      </c>
      <c r="P4166">
        <v>1</v>
      </c>
      <c r="Q4166" t="s">
        <v>5693</v>
      </c>
      <c r="S4166">
        <v>217.95</v>
      </c>
      <c r="T4166">
        <v>250</v>
      </c>
      <c r="U4166">
        <v>190</v>
      </c>
      <c r="V4166" t="s">
        <v>42</v>
      </c>
      <c r="W4166" t="s">
        <v>43</v>
      </c>
      <c r="X4166" t="s">
        <v>178</v>
      </c>
      <c r="Y4166" t="s">
        <v>3750</v>
      </c>
      <c r="AF4166" t="s">
        <v>189</v>
      </c>
      <c r="AI4166" t="s">
        <v>15009</v>
      </c>
      <c r="AL4166" t="s">
        <v>638</v>
      </c>
      <c r="AM4166">
        <v>1</v>
      </c>
      <c r="AN4166" s="2"/>
    </row>
    <row r="4167" spans="1:40" x14ac:dyDescent="0.3">
      <c r="A4167" t="s">
        <v>19595</v>
      </c>
      <c r="B4167" t="s">
        <v>1</v>
      </c>
      <c r="C4167" t="s">
        <v>19596</v>
      </c>
      <c r="D4167" t="s">
        <v>19597</v>
      </c>
      <c r="E4167" t="s">
        <v>19598</v>
      </c>
      <c r="F4167" t="s">
        <v>5</v>
      </c>
      <c r="G4167" t="s">
        <v>6</v>
      </c>
      <c r="L4167" t="s">
        <v>7</v>
      </c>
      <c r="M4167">
        <v>2025</v>
      </c>
      <c r="N4167" s="1">
        <v>45808</v>
      </c>
      <c r="O4167" t="s">
        <v>19599</v>
      </c>
      <c r="P4167">
        <v>1</v>
      </c>
      <c r="S4167">
        <v>208.95</v>
      </c>
      <c r="T4167">
        <v>240</v>
      </c>
      <c r="U4167">
        <v>180</v>
      </c>
      <c r="V4167" t="s">
        <v>58</v>
      </c>
      <c r="W4167" t="s">
        <v>59</v>
      </c>
      <c r="X4167" t="s">
        <v>60</v>
      </c>
      <c r="Y4167" t="s">
        <v>73</v>
      </c>
      <c r="AF4167" t="s">
        <v>189</v>
      </c>
      <c r="AI4167" t="s">
        <v>15009</v>
      </c>
      <c r="AL4167" t="s">
        <v>638</v>
      </c>
      <c r="AM4167">
        <v>1</v>
      </c>
      <c r="AN416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04C27-51AC-4A96-B9CA-BA8F448D8D23}">
  <dimension ref="A1:I228"/>
  <sheetViews>
    <sheetView workbookViewId="0">
      <selection activeCell="B2" sqref="B2"/>
    </sheetView>
  </sheetViews>
  <sheetFormatPr defaultRowHeight="14.4" x14ac:dyDescent="0.3"/>
  <sheetData>
    <row r="1" spans="1:9" x14ac:dyDescent="0.3">
      <c r="A1" s="39" t="s">
        <v>19865</v>
      </c>
      <c r="B1" s="39" t="s">
        <v>19866</v>
      </c>
      <c r="C1" s="39" t="s">
        <v>19867</v>
      </c>
      <c r="D1" s="40" t="s">
        <v>19868</v>
      </c>
      <c r="E1" s="41" t="s">
        <v>19602</v>
      </c>
      <c r="F1" s="41" t="s">
        <v>19869</v>
      </c>
      <c r="G1" s="41" t="s">
        <v>19615</v>
      </c>
      <c r="H1" s="42" t="s">
        <v>19611</v>
      </c>
      <c r="I1" s="41" t="s">
        <v>19870</v>
      </c>
    </row>
    <row r="2" spans="1:9" x14ac:dyDescent="0.3">
      <c r="A2" s="11">
        <f>VLOOKUP(E2,'[1]epdf LIst'!A:C,3,FALSE)</f>
        <v>9781474420198</v>
      </c>
      <c r="B2" s="11"/>
      <c r="C2" s="11"/>
      <c r="D2" s="12" t="s">
        <v>1</v>
      </c>
      <c r="E2" s="12" t="s">
        <v>19640</v>
      </c>
      <c r="F2" s="12" t="s">
        <v>19641</v>
      </c>
      <c r="G2" s="12"/>
      <c r="H2" s="13">
        <v>1900</v>
      </c>
      <c r="I2" s="14" t="s">
        <v>19642</v>
      </c>
    </row>
    <row r="3" spans="1:9" x14ac:dyDescent="0.3">
      <c r="A3" s="11">
        <v>9781474421751</v>
      </c>
      <c r="B3" s="11"/>
      <c r="C3" s="11"/>
      <c r="D3" s="12" t="s">
        <v>1</v>
      </c>
      <c r="E3" s="12" t="s">
        <v>19643</v>
      </c>
      <c r="F3" s="12" t="s">
        <v>19641</v>
      </c>
      <c r="G3" s="12"/>
      <c r="H3" s="13">
        <v>1900</v>
      </c>
      <c r="I3" s="14" t="s">
        <v>19642</v>
      </c>
    </row>
    <row r="4" spans="1:9" x14ac:dyDescent="0.3">
      <c r="A4" s="15">
        <v>9781474472906</v>
      </c>
      <c r="B4" s="16"/>
      <c r="C4" s="16"/>
      <c r="D4" s="17" t="s">
        <v>1</v>
      </c>
      <c r="E4" s="18" t="s">
        <v>19644</v>
      </c>
      <c r="F4" s="14"/>
      <c r="G4" s="19"/>
      <c r="H4" s="20">
        <v>1991</v>
      </c>
      <c r="I4" s="21" t="s">
        <v>19645</v>
      </c>
    </row>
    <row r="5" spans="1:9" x14ac:dyDescent="0.3">
      <c r="A5" s="16">
        <v>9781474464574</v>
      </c>
      <c r="B5" s="16">
        <v>9780748603923</v>
      </c>
      <c r="C5" s="16"/>
      <c r="D5" s="17" t="s">
        <v>1</v>
      </c>
      <c r="E5" s="14" t="s">
        <v>19646</v>
      </c>
      <c r="F5" s="14" t="s">
        <v>19647</v>
      </c>
      <c r="G5" s="14" t="s">
        <v>14046</v>
      </c>
      <c r="H5" s="22">
        <v>1993</v>
      </c>
      <c r="I5" s="21" t="s">
        <v>19648</v>
      </c>
    </row>
    <row r="6" spans="1:9" x14ac:dyDescent="0.3">
      <c r="A6" s="15">
        <v>9781474441964</v>
      </c>
      <c r="B6" s="16"/>
      <c r="C6" s="16"/>
      <c r="D6" s="17" t="s">
        <v>1</v>
      </c>
      <c r="E6" s="18" t="s">
        <v>19649</v>
      </c>
      <c r="F6" s="14"/>
      <c r="G6" s="14"/>
      <c r="H6" s="20">
        <v>1993</v>
      </c>
      <c r="I6" s="21" t="s">
        <v>19645</v>
      </c>
    </row>
    <row r="7" spans="1:9" x14ac:dyDescent="0.3">
      <c r="A7" s="15">
        <v>9781474433785</v>
      </c>
      <c r="B7" s="16"/>
      <c r="C7" s="16"/>
      <c r="D7" s="17" t="s">
        <v>1</v>
      </c>
      <c r="E7" s="18" t="s">
        <v>19650</v>
      </c>
      <c r="F7" s="14"/>
      <c r="G7" s="14"/>
      <c r="H7" s="20">
        <v>1995</v>
      </c>
      <c r="I7" s="21" t="s">
        <v>19645</v>
      </c>
    </row>
    <row r="8" spans="1:9" x14ac:dyDescent="0.3">
      <c r="A8" s="15">
        <v>9781474433815</v>
      </c>
      <c r="B8" s="16"/>
      <c r="C8" s="16"/>
      <c r="D8" s="17" t="s">
        <v>1</v>
      </c>
      <c r="E8" s="18" t="s">
        <v>19651</v>
      </c>
      <c r="F8" s="14"/>
      <c r="G8" s="14"/>
      <c r="H8" s="20">
        <v>1995</v>
      </c>
      <c r="I8" s="21" t="s">
        <v>19645</v>
      </c>
    </row>
    <row r="9" spans="1:9" x14ac:dyDescent="0.3">
      <c r="A9" s="15">
        <v>9781474472296</v>
      </c>
      <c r="B9" s="16"/>
      <c r="C9" s="16"/>
      <c r="D9" s="17" t="s">
        <v>1</v>
      </c>
      <c r="E9" s="18" t="s">
        <v>19652</v>
      </c>
      <c r="F9" s="14"/>
      <c r="G9" s="14"/>
      <c r="H9" s="20">
        <v>1996</v>
      </c>
      <c r="I9" s="21" t="s">
        <v>19645</v>
      </c>
    </row>
    <row r="10" spans="1:9" x14ac:dyDescent="0.3">
      <c r="A10" s="16">
        <v>9780748699223</v>
      </c>
      <c r="B10" s="16">
        <v>9780745012834</v>
      </c>
      <c r="C10" s="16"/>
      <c r="D10" s="17" t="s">
        <v>1</v>
      </c>
      <c r="E10" s="14" t="s">
        <v>19653</v>
      </c>
      <c r="F10" s="14" t="s">
        <v>19654</v>
      </c>
      <c r="G10" s="14" t="s">
        <v>7257</v>
      </c>
      <c r="H10" s="22">
        <v>1996</v>
      </c>
      <c r="I10" s="21" t="s">
        <v>19648</v>
      </c>
    </row>
    <row r="11" spans="1:9" x14ac:dyDescent="0.3">
      <c r="A11" s="15">
        <v>9780748698622</v>
      </c>
      <c r="B11" s="16"/>
      <c r="C11" s="16"/>
      <c r="D11" s="17" t="s">
        <v>1</v>
      </c>
      <c r="E11" s="18" t="s">
        <v>19655</v>
      </c>
      <c r="F11" s="14"/>
      <c r="G11" s="14"/>
      <c r="H11" s="20">
        <v>1996</v>
      </c>
      <c r="I11" s="21" t="s">
        <v>19645</v>
      </c>
    </row>
    <row r="12" spans="1:9" x14ac:dyDescent="0.3">
      <c r="A12" s="16">
        <v>9781474465557</v>
      </c>
      <c r="B12" s="16">
        <v>9780748608126</v>
      </c>
      <c r="C12" s="16"/>
      <c r="D12" s="17" t="s">
        <v>1</v>
      </c>
      <c r="E12" s="14" t="s">
        <v>19458</v>
      </c>
      <c r="F12" s="14" t="s">
        <v>19656</v>
      </c>
      <c r="G12" s="14" t="s">
        <v>6929</v>
      </c>
      <c r="H12" s="22">
        <v>1996</v>
      </c>
      <c r="I12" s="21" t="s">
        <v>19648</v>
      </c>
    </row>
    <row r="13" spans="1:9" x14ac:dyDescent="0.3">
      <c r="A13" s="15">
        <v>9781474472838</v>
      </c>
      <c r="B13" s="16"/>
      <c r="C13" s="16"/>
      <c r="D13" s="17" t="s">
        <v>1</v>
      </c>
      <c r="E13" s="18" t="s">
        <v>19657</v>
      </c>
      <c r="F13" s="14"/>
      <c r="G13" s="14"/>
      <c r="H13" s="20">
        <v>1997</v>
      </c>
      <c r="I13" s="21" t="s">
        <v>19645</v>
      </c>
    </row>
    <row r="14" spans="1:9" x14ac:dyDescent="0.3">
      <c r="A14" s="15">
        <v>9780585104218</v>
      </c>
      <c r="B14" s="16"/>
      <c r="C14" s="16"/>
      <c r="D14" s="17" t="s">
        <v>1</v>
      </c>
      <c r="E14" s="18" t="s">
        <v>19658</v>
      </c>
      <c r="F14" s="14"/>
      <c r="G14" s="14"/>
      <c r="H14" s="20">
        <v>1997</v>
      </c>
      <c r="I14" s="21" t="s">
        <v>19645</v>
      </c>
    </row>
    <row r="15" spans="1:9" x14ac:dyDescent="0.3">
      <c r="A15" s="15">
        <v>9781474479110</v>
      </c>
      <c r="B15" s="16"/>
      <c r="C15" s="16"/>
      <c r="D15" s="17" t="s">
        <v>1</v>
      </c>
      <c r="E15" s="18" t="s">
        <v>19659</v>
      </c>
      <c r="F15" s="14"/>
      <c r="G15" s="14"/>
      <c r="H15" s="20">
        <v>1997</v>
      </c>
      <c r="I15" s="21" t="s">
        <v>19645</v>
      </c>
    </row>
    <row r="16" spans="1:9" x14ac:dyDescent="0.3">
      <c r="A16" s="16">
        <v>9781474410977</v>
      </c>
      <c r="B16" s="16"/>
      <c r="C16" s="16"/>
      <c r="D16" s="12" t="s">
        <v>1</v>
      </c>
      <c r="E16" s="23" t="s">
        <v>19441</v>
      </c>
      <c r="F16" s="14" t="s">
        <v>19443</v>
      </c>
      <c r="G16" s="14"/>
      <c r="H16" s="22">
        <v>1997</v>
      </c>
      <c r="I16" s="17" t="s">
        <v>19660</v>
      </c>
    </row>
    <row r="17" spans="1:9" x14ac:dyDescent="0.3">
      <c r="A17" s="15">
        <v>9781474441971</v>
      </c>
      <c r="B17" s="16"/>
      <c r="C17" s="16"/>
      <c r="D17" s="17" t="s">
        <v>1</v>
      </c>
      <c r="E17" s="18" t="s">
        <v>19649</v>
      </c>
      <c r="F17" s="14"/>
      <c r="G17" s="14"/>
      <c r="H17" s="20">
        <v>1997</v>
      </c>
      <c r="I17" s="21" t="s">
        <v>19645</v>
      </c>
    </row>
    <row r="18" spans="1:9" x14ac:dyDescent="0.3">
      <c r="A18" s="16">
        <v>9781474464130</v>
      </c>
      <c r="B18" s="16">
        <v>9780748609185</v>
      </c>
      <c r="C18" s="16"/>
      <c r="D18" s="17" t="s">
        <v>1</v>
      </c>
      <c r="E18" s="14" t="s">
        <v>19661</v>
      </c>
      <c r="F18" s="14" t="s">
        <v>19662</v>
      </c>
      <c r="G18" s="14" t="s">
        <v>12967</v>
      </c>
      <c r="H18" s="22">
        <v>1997</v>
      </c>
      <c r="I18" s="21" t="s">
        <v>19648</v>
      </c>
    </row>
    <row r="19" spans="1:9" x14ac:dyDescent="0.3">
      <c r="A19" s="16">
        <v>9781474464079</v>
      </c>
      <c r="B19" s="16">
        <v>9780748609864</v>
      </c>
      <c r="C19" s="16"/>
      <c r="D19" s="17" t="s">
        <v>1</v>
      </c>
      <c r="E19" s="14" t="s">
        <v>19663</v>
      </c>
      <c r="F19" s="14" t="s">
        <v>19664</v>
      </c>
      <c r="G19" s="14"/>
      <c r="H19" s="22">
        <v>1998</v>
      </c>
      <c r="I19" s="21" t="s">
        <v>19648</v>
      </c>
    </row>
    <row r="20" spans="1:9" x14ac:dyDescent="0.3">
      <c r="A20" s="15">
        <v>9780748698653</v>
      </c>
      <c r="B20" s="16"/>
      <c r="C20" s="16"/>
      <c r="D20" s="17" t="s">
        <v>1</v>
      </c>
      <c r="E20" s="18" t="s">
        <v>19665</v>
      </c>
      <c r="F20" s="14"/>
      <c r="G20" s="14"/>
      <c r="H20" s="20">
        <v>1998</v>
      </c>
      <c r="I20" s="21" t="s">
        <v>19645</v>
      </c>
    </row>
    <row r="21" spans="1:9" x14ac:dyDescent="0.3">
      <c r="A21" s="15">
        <v>9781474441988</v>
      </c>
      <c r="B21" s="16"/>
      <c r="C21" s="16"/>
      <c r="D21" s="17" t="s">
        <v>1</v>
      </c>
      <c r="E21" s="18" t="s">
        <v>19666</v>
      </c>
      <c r="F21" s="14"/>
      <c r="G21" s="14"/>
      <c r="H21" s="20">
        <v>1998</v>
      </c>
      <c r="I21" s="21" t="s">
        <v>19645</v>
      </c>
    </row>
    <row r="22" spans="1:9" x14ac:dyDescent="0.3">
      <c r="A22" s="15">
        <v>9780585159119</v>
      </c>
      <c r="B22" s="16"/>
      <c r="C22" s="16"/>
      <c r="D22" s="17" t="s">
        <v>1</v>
      </c>
      <c r="E22" s="18" t="s">
        <v>19667</v>
      </c>
      <c r="F22" s="14"/>
      <c r="G22" s="14"/>
      <c r="H22" s="20">
        <v>1998</v>
      </c>
      <c r="I22" s="21" t="s">
        <v>19645</v>
      </c>
    </row>
    <row r="23" spans="1:9" x14ac:dyDescent="0.3">
      <c r="A23" s="15">
        <v>9780585102870</v>
      </c>
      <c r="B23" s="16"/>
      <c r="C23" s="16"/>
      <c r="D23" s="17" t="s">
        <v>1</v>
      </c>
      <c r="E23" s="18" t="s">
        <v>19668</v>
      </c>
      <c r="F23" s="14"/>
      <c r="G23" s="14"/>
      <c r="H23" s="20">
        <v>1998</v>
      </c>
      <c r="I23" s="21" t="s">
        <v>19645</v>
      </c>
    </row>
    <row r="24" spans="1:9" x14ac:dyDescent="0.3">
      <c r="A24" s="16">
        <v>9780748609635</v>
      </c>
      <c r="B24" s="16"/>
      <c r="C24" s="16"/>
      <c r="D24" s="17" t="s">
        <v>1</v>
      </c>
      <c r="E24" s="14" t="s">
        <v>19669</v>
      </c>
      <c r="F24" s="14" t="s">
        <v>19670</v>
      </c>
      <c r="G24" s="14"/>
      <c r="H24" s="22">
        <v>1998</v>
      </c>
      <c r="I24" s="21" t="s">
        <v>19648</v>
      </c>
    </row>
    <row r="25" spans="1:9" x14ac:dyDescent="0.3">
      <c r="A25" s="15">
        <v>9781474469463</v>
      </c>
      <c r="B25" s="16"/>
      <c r="C25" s="16"/>
      <c r="D25" s="17" t="s">
        <v>1</v>
      </c>
      <c r="E25" s="18" t="s">
        <v>19671</v>
      </c>
      <c r="F25" s="14"/>
      <c r="G25" s="14"/>
      <c r="H25" s="20">
        <v>1998</v>
      </c>
      <c r="I25" s="21" t="s">
        <v>19645</v>
      </c>
    </row>
    <row r="26" spans="1:9" x14ac:dyDescent="0.3">
      <c r="A26" s="15">
        <v>9780585122618</v>
      </c>
      <c r="B26" s="16"/>
      <c r="C26" s="16"/>
      <c r="D26" s="17" t="s">
        <v>1</v>
      </c>
      <c r="E26" s="18" t="s">
        <v>1117</v>
      </c>
      <c r="F26" s="14"/>
      <c r="G26" s="14"/>
      <c r="H26" s="20">
        <v>1999</v>
      </c>
      <c r="I26" s="21" t="s">
        <v>19645</v>
      </c>
    </row>
    <row r="27" spans="1:9" x14ac:dyDescent="0.3">
      <c r="A27" s="15">
        <v>9780585378602</v>
      </c>
      <c r="B27" s="16"/>
      <c r="C27" s="16"/>
      <c r="D27" s="17" t="s">
        <v>1</v>
      </c>
      <c r="E27" s="18" t="s">
        <v>14425</v>
      </c>
      <c r="F27" s="14"/>
      <c r="G27" s="14"/>
      <c r="H27" s="20">
        <v>1999</v>
      </c>
      <c r="I27" s="21" t="s">
        <v>19645</v>
      </c>
    </row>
    <row r="28" spans="1:9" x14ac:dyDescent="0.3">
      <c r="A28" s="15">
        <v>9781474468527</v>
      </c>
      <c r="B28" s="16"/>
      <c r="C28" s="16"/>
      <c r="D28" s="17" t="s">
        <v>1</v>
      </c>
      <c r="E28" s="18" t="s">
        <v>19672</v>
      </c>
      <c r="F28" s="14"/>
      <c r="G28" s="14"/>
      <c r="H28" s="20">
        <v>1999</v>
      </c>
      <c r="I28" s="21" t="s">
        <v>19645</v>
      </c>
    </row>
    <row r="29" spans="1:9" x14ac:dyDescent="0.3">
      <c r="A29" s="16">
        <v>9781474464451</v>
      </c>
      <c r="B29" s="16">
        <v>9780748614318</v>
      </c>
      <c r="C29" s="16"/>
      <c r="D29" s="17" t="s">
        <v>1</v>
      </c>
      <c r="E29" s="14" t="s">
        <v>19673</v>
      </c>
      <c r="F29" s="14" t="s">
        <v>19674</v>
      </c>
      <c r="G29" s="14" t="s">
        <v>9977</v>
      </c>
      <c r="H29" s="22">
        <v>2000</v>
      </c>
      <c r="I29" s="21" t="s">
        <v>19648</v>
      </c>
    </row>
    <row r="30" spans="1:9" x14ac:dyDescent="0.3">
      <c r="A30" s="16">
        <v>9780748679539</v>
      </c>
      <c r="B30" s="16">
        <v>9780748612390</v>
      </c>
      <c r="C30" s="16"/>
      <c r="D30" s="17" t="s">
        <v>1</v>
      </c>
      <c r="E30" s="14" t="s">
        <v>19675</v>
      </c>
      <c r="F30" s="14" t="s">
        <v>19676</v>
      </c>
      <c r="G30" s="14"/>
      <c r="H30" s="22">
        <v>2000</v>
      </c>
      <c r="I30" s="21" t="s">
        <v>19648</v>
      </c>
    </row>
    <row r="31" spans="1:9" x14ac:dyDescent="0.3">
      <c r="A31" s="15">
        <v>9781474433792</v>
      </c>
      <c r="B31" s="16"/>
      <c r="C31" s="16"/>
      <c r="D31" s="17" t="s">
        <v>1</v>
      </c>
      <c r="E31" s="18" t="s">
        <v>19677</v>
      </c>
      <c r="F31" s="14"/>
      <c r="G31" s="14"/>
      <c r="H31" s="20">
        <v>2000</v>
      </c>
      <c r="I31" s="21" t="s">
        <v>19645</v>
      </c>
    </row>
    <row r="32" spans="1:9" x14ac:dyDescent="0.3">
      <c r="A32" s="16">
        <v>9780748672738</v>
      </c>
      <c r="B32" s="16">
        <v>9780748615100</v>
      </c>
      <c r="C32" s="16"/>
      <c r="D32" s="17" t="s">
        <v>1</v>
      </c>
      <c r="E32" s="14" t="s">
        <v>19678</v>
      </c>
      <c r="F32" s="14" t="s">
        <v>19679</v>
      </c>
      <c r="G32" s="14" t="s">
        <v>6929</v>
      </c>
      <c r="H32" s="22">
        <v>2001</v>
      </c>
      <c r="I32" s="21" t="s">
        <v>19648</v>
      </c>
    </row>
    <row r="33" spans="1:9" x14ac:dyDescent="0.3">
      <c r="A33" s="15">
        <v>9781474473347</v>
      </c>
      <c r="B33" s="16"/>
      <c r="C33" s="16"/>
      <c r="D33" s="17" t="s">
        <v>1</v>
      </c>
      <c r="E33" s="18" t="s">
        <v>19680</v>
      </c>
      <c r="F33" s="14"/>
      <c r="G33" s="14"/>
      <c r="H33" s="20">
        <v>2001</v>
      </c>
      <c r="I33" s="21" t="s">
        <v>19645</v>
      </c>
    </row>
    <row r="34" spans="1:9" x14ac:dyDescent="0.3">
      <c r="A34" s="16">
        <v>9781474499934</v>
      </c>
      <c r="B34" s="16">
        <v>9780748614097</v>
      </c>
      <c r="C34" s="16"/>
      <c r="D34" s="17" t="s">
        <v>1</v>
      </c>
      <c r="E34" s="14" t="s">
        <v>19389</v>
      </c>
      <c r="F34" s="14" t="s">
        <v>19681</v>
      </c>
      <c r="G34" s="14" t="s">
        <v>6998</v>
      </c>
      <c r="H34" s="22">
        <v>2001</v>
      </c>
      <c r="I34" s="21" t="s">
        <v>19648</v>
      </c>
    </row>
    <row r="35" spans="1:9" x14ac:dyDescent="0.3">
      <c r="A35" s="16">
        <v>9781474473637</v>
      </c>
      <c r="B35" s="16"/>
      <c r="C35" s="16"/>
      <c r="D35" s="23" t="s">
        <v>1</v>
      </c>
      <c r="E35" s="24" t="s">
        <v>19682</v>
      </c>
      <c r="F35" s="24"/>
      <c r="G35" s="24"/>
      <c r="H35" s="22">
        <v>2001</v>
      </c>
      <c r="I35" s="24" t="s">
        <v>19660</v>
      </c>
    </row>
    <row r="36" spans="1:9" x14ac:dyDescent="0.3">
      <c r="A36" s="15">
        <v>9781474441957</v>
      </c>
      <c r="B36" s="16"/>
      <c r="C36" s="16"/>
      <c r="D36" s="17" t="s">
        <v>1</v>
      </c>
      <c r="E36" s="18" t="s">
        <v>19683</v>
      </c>
      <c r="F36" s="14"/>
      <c r="G36" s="14"/>
      <c r="H36" s="20">
        <v>2001</v>
      </c>
      <c r="I36" s="21" t="s">
        <v>19645</v>
      </c>
    </row>
    <row r="37" spans="1:9" x14ac:dyDescent="0.3">
      <c r="A37" s="15">
        <v>9781474470414</v>
      </c>
      <c r="B37" s="16"/>
      <c r="C37" s="16"/>
      <c r="D37" s="17" t="s">
        <v>1</v>
      </c>
      <c r="E37" s="18" t="s">
        <v>19684</v>
      </c>
      <c r="F37" s="14"/>
      <c r="G37" s="14"/>
      <c r="H37" s="20">
        <v>2001</v>
      </c>
      <c r="I37" s="21" t="s">
        <v>19645</v>
      </c>
    </row>
    <row r="38" spans="1:9" x14ac:dyDescent="0.3">
      <c r="A38" s="15">
        <v>9781474469241</v>
      </c>
      <c r="B38" s="16"/>
      <c r="C38" s="16"/>
      <c r="D38" s="17" t="s">
        <v>1</v>
      </c>
      <c r="E38" s="18" t="s">
        <v>18301</v>
      </c>
      <c r="F38" s="14"/>
      <c r="G38" s="14"/>
      <c r="H38" s="20">
        <v>2001</v>
      </c>
      <c r="I38" s="21" t="s">
        <v>19645</v>
      </c>
    </row>
    <row r="39" spans="1:9" x14ac:dyDescent="0.3">
      <c r="A39" s="15">
        <v>9780585442112</v>
      </c>
      <c r="B39" s="16"/>
      <c r="C39" s="16"/>
      <c r="D39" s="17" t="s">
        <v>1</v>
      </c>
      <c r="E39" s="18" t="s">
        <v>19685</v>
      </c>
      <c r="F39" s="14"/>
      <c r="G39" s="14"/>
      <c r="H39" s="20">
        <v>2002</v>
      </c>
      <c r="I39" s="21" t="s">
        <v>19645</v>
      </c>
    </row>
    <row r="40" spans="1:9" x14ac:dyDescent="0.3">
      <c r="A40" s="11">
        <v>9781474457361</v>
      </c>
      <c r="B40" s="11"/>
      <c r="C40" s="11"/>
      <c r="D40" s="12" t="s">
        <v>1</v>
      </c>
      <c r="E40" s="12" t="s">
        <v>2007</v>
      </c>
      <c r="F40" s="12" t="s">
        <v>19686</v>
      </c>
      <c r="G40" s="12"/>
      <c r="H40" s="13">
        <v>2002</v>
      </c>
      <c r="I40" s="14" t="s">
        <v>19687</v>
      </c>
    </row>
    <row r="41" spans="1:9" x14ac:dyDescent="0.3">
      <c r="A41" s="15">
        <v>9781474472692</v>
      </c>
      <c r="B41" s="16"/>
      <c r="C41" s="16"/>
      <c r="D41" s="17" t="s">
        <v>1</v>
      </c>
      <c r="E41" s="18" t="s">
        <v>19688</v>
      </c>
      <c r="F41" s="14"/>
      <c r="G41" s="14"/>
      <c r="H41" s="20">
        <v>2002</v>
      </c>
      <c r="I41" s="21" t="s">
        <v>19645</v>
      </c>
    </row>
    <row r="42" spans="1:9" x14ac:dyDescent="0.3">
      <c r="A42" s="15">
        <v>9781474433549</v>
      </c>
      <c r="B42" s="16"/>
      <c r="C42" s="16"/>
      <c r="D42" s="17" t="s">
        <v>1</v>
      </c>
      <c r="E42" s="18" t="s">
        <v>19689</v>
      </c>
      <c r="F42" s="14"/>
      <c r="G42" s="14"/>
      <c r="H42" s="20">
        <v>2002</v>
      </c>
      <c r="I42" s="21" t="s">
        <v>19645</v>
      </c>
    </row>
    <row r="43" spans="1:9" x14ac:dyDescent="0.3">
      <c r="A43" s="15">
        <v>9781474470988</v>
      </c>
      <c r="B43" s="16"/>
      <c r="C43" s="16"/>
      <c r="D43" s="17" t="s">
        <v>1</v>
      </c>
      <c r="E43" s="18" t="s">
        <v>19690</v>
      </c>
      <c r="F43" s="14"/>
      <c r="G43" s="14"/>
      <c r="H43" s="20">
        <v>2002</v>
      </c>
      <c r="I43" s="21" t="s">
        <v>19645</v>
      </c>
    </row>
    <row r="44" spans="1:9" x14ac:dyDescent="0.3">
      <c r="A44" s="16">
        <v>9781474464536</v>
      </c>
      <c r="B44" s="16">
        <v>9780748614561</v>
      </c>
      <c r="C44" s="16"/>
      <c r="D44" s="17" t="s">
        <v>1</v>
      </c>
      <c r="E44" s="14" t="s">
        <v>19691</v>
      </c>
      <c r="F44" s="14" t="s">
        <v>19692</v>
      </c>
      <c r="G44" s="14"/>
      <c r="H44" s="22">
        <v>2003</v>
      </c>
      <c r="I44" s="21" t="s">
        <v>19648</v>
      </c>
    </row>
    <row r="45" spans="1:9" x14ac:dyDescent="0.3">
      <c r="A45" s="16">
        <v>9781474463836</v>
      </c>
      <c r="B45" s="16">
        <v>9780748618248</v>
      </c>
      <c r="C45" s="16"/>
      <c r="D45" s="17" t="s">
        <v>1</v>
      </c>
      <c r="E45" s="14" t="s">
        <v>19693</v>
      </c>
      <c r="F45" s="14" t="s">
        <v>19694</v>
      </c>
      <c r="G45" s="14" t="s">
        <v>7225</v>
      </c>
      <c r="H45" s="22">
        <v>2003</v>
      </c>
      <c r="I45" s="21" t="s">
        <v>19648</v>
      </c>
    </row>
    <row r="46" spans="1:9" x14ac:dyDescent="0.3">
      <c r="A46" s="15">
        <v>9781474431996</v>
      </c>
      <c r="B46" s="16"/>
      <c r="C46" s="16"/>
      <c r="D46" s="17" t="s">
        <v>1</v>
      </c>
      <c r="E46" s="18" t="s">
        <v>19695</v>
      </c>
      <c r="F46" s="14"/>
      <c r="G46" s="14"/>
      <c r="H46" s="20">
        <v>2003</v>
      </c>
      <c r="I46" s="21" t="s">
        <v>19645</v>
      </c>
    </row>
    <row r="47" spans="1:9" x14ac:dyDescent="0.3">
      <c r="A47" s="11">
        <v>9781474464284</v>
      </c>
      <c r="B47" s="11">
        <v>9780748617043</v>
      </c>
      <c r="C47" s="11"/>
      <c r="D47" s="12" t="s">
        <v>1</v>
      </c>
      <c r="E47" s="12" t="s">
        <v>17109</v>
      </c>
      <c r="F47" s="12" t="s">
        <v>3021</v>
      </c>
      <c r="G47" s="12"/>
      <c r="H47" s="13">
        <v>2003</v>
      </c>
      <c r="I47" s="14" t="s">
        <v>19642</v>
      </c>
    </row>
    <row r="48" spans="1:9" x14ac:dyDescent="0.3">
      <c r="A48" s="16">
        <v>9781474466158</v>
      </c>
      <c r="B48" s="16">
        <v>9780748618354</v>
      </c>
      <c r="C48" s="16"/>
      <c r="D48" s="17" t="s">
        <v>1</v>
      </c>
      <c r="E48" s="14" t="s">
        <v>19696</v>
      </c>
      <c r="F48" s="14" t="s">
        <v>19697</v>
      </c>
      <c r="G48" s="14"/>
      <c r="H48" s="22">
        <v>2003</v>
      </c>
      <c r="I48" s="21" t="s">
        <v>19648</v>
      </c>
    </row>
    <row r="49" spans="1:9" x14ac:dyDescent="0.3">
      <c r="A49" s="16">
        <v>9780748679560</v>
      </c>
      <c r="B49" s="16">
        <v>9780748613199</v>
      </c>
      <c r="C49" s="16"/>
      <c r="D49" s="17" t="s">
        <v>1</v>
      </c>
      <c r="E49" s="14" t="s">
        <v>7295</v>
      </c>
      <c r="F49" s="14" t="s">
        <v>19698</v>
      </c>
      <c r="G49" s="14" t="s">
        <v>7298</v>
      </c>
      <c r="H49" s="22">
        <v>2003</v>
      </c>
      <c r="I49" s="21" t="s">
        <v>19648</v>
      </c>
    </row>
    <row r="50" spans="1:9" x14ac:dyDescent="0.3">
      <c r="A50" s="15">
        <v>9781474433556</v>
      </c>
      <c r="B50" s="16"/>
      <c r="C50" s="16"/>
      <c r="D50" s="17" t="s">
        <v>1</v>
      </c>
      <c r="E50" s="18" t="s">
        <v>19689</v>
      </c>
      <c r="F50" s="14"/>
      <c r="G50" s="14"/>
      <c r="H50" s="20">
        <v>2003</v>
      </c>
      <c r="I50" s="21" t="s">
        <v>19645</v>
      </c>
    </row>
    <row r="51" spans="1:9" x14ac:dyDescent="0.3">
      <c r="A51" s="15">
        <v>9781474470186</v>
      </c>
      <c r="B51" s="16"/>
      <c r="C51" s="16"/>
      <c r="D51" s="17" t="s">
        <v>1</v>
      </c>
      <c r="E51" s="18" t="s">
        <v>19699</v>
      </c>
      <c r="F51" s="14"/>
      <c r="G51" s="14"/>
      <c r="H51" s="20">
        <v>2003</v>
      </c>
      <c r="I51" s="21" t="s">
        <v>19645</v>
      </c>
    </row>
    <row r="52" spans="1:9" x14ac:dyDescent="0.3">
      <c r="A52" s="15">
        <v>9781474472098</v>
      </c>
      <c r="B52" s="16"/>
      <c r="C52" s="16"/>
      <c r="D52" s="17" t="s">
        <v>1</v>
      </c>
      <c r="E52" s="18" t="s">
        <v>19700</v>
      </c>
      <c r="F52" s="14"/>
      <c r="G52" s="14"/>
      <c r="H52" s="20">
        <v>2003</v>
      </c>
      <c r="I52" s="21" t="s">
        <v>19645</v>
      </c>
    </row>
    <row r="53" spans="1:9" x14ac:dyDescent="0.3">
      <c r="A53" s="15">
        <v>9781474473002</v>
      </c>
      <c r="B53" s="16"/>
      <c r="C53" s="16"/>
      <c r="D53" s="17" t="s">
        <v>1</v>
      </c>
      <c r="E53" s="18" t="s">
        <v>19701</v>
      </c>
      <c r="F53" s="14"/>
      <c r="G53" s="14"/>
      <c r="H53" s="20">
        <v>2004</v>
      </c>
      <c r="I53" s="21" t="s">
        <v>19645</v>
      </c>
    </row>
    <row r="54" spans="1:9" x14ac:dyDescent="0.3">
      <c r="A54" s="16">
        <v>9781474465540</v>
      </c>
      <c r="B54" s="16">
        <v>9780748616350</v>
      </c>
      <c r="C54" s="16"/>
      <c r="D54" s="17" t="s">
        <v>1</v>
      </c>
      <c r="E54" s="14" t="s">
        <v>19702</v>
      </c>
      <c r="F54" s="14" t="s">
        <v>19703</v>
      </c>
      <c r="G54" s="14"/>
      <c r="H54" s="22">
        <v>2004</v>
      </c>
      <c r="I54" s="21" t="s">
        <v>19648</v>
      </c>
    </row>
    <row r="55" spans="1:9" x14ac:dyDescent="0.3">
      <c r="A55" s="16">
        <v>9781474465779</v>
      </c>
      <c r="B55" s="16">
        <v>9780748619757</v>
      </c>
      <c r="C55" s="16"/>
      <c r="D55" s="17" t="s">
        <v>1</v>
      </c>
      <c r="E55" s="14" t="s">
        <v>19704</v>
      </c>
      <c r="F55" s="14" t="s">
        <v>19705</v>
      </c>
      <c r="G55" s="14"/>
      <c r="H55" s="22">
        <v>2004</v>
      </c>
      <c r="I55" s="21" t="s">
        <v>19648</v>
      </c>
    </row>
    <row r="56" spans="1:9" x14ac:dyDescent="0.3">
      <c r="A56" s="15">
        <v>9781474468084</v>
      </c>
      <c r="B56" s="16"/>
      <c r="C56" s="16"/>
      <c r="D56" s="17" t="s">
        <v>1</v>
      </c>
      <c r="E56" s="18" t="s">
        <v>19706</v>
      </c>
      <c r="F56" s="14"/>
      <c r="G56" s="14"/>
      <c r="H56" s="20">
        <v>2004</v>
      </c>
      <c r="I56" s="21" t="s">
        <v>19645</v>
      </c>
    </row>
    <row r="57" spans="1:9" x14ac:dyDescent="0.3">
      <c r="A57" s="15">
        <v>9781474473033</v>
      </c>
      <c r="B57" s="16"/>
      <c r="C57" s="16"/>
      <c r="D57" s="17" t="s">
        <v>1</v>
      </c>
      <c r="E57" s="18" t="s">
        <v>19707</v>
      </c>
      <c r="F57" s="14"/>
      <c r="G57" s="14"/>
      <c r="H57" s="20">
        <v>2004</v>
      </c>
      <c r="I57" s="21" t="s">
        <v>19645</v>
      </c>
    </row>
    <row r="58" spans="1:9" x14ac:dyDescent="0.3">
      <c r="A58" s="16">
        <v>9780748679713</v>
      </c>
      <c r="B58" s="16">
        <v>9780748618361</v>
      </c>
      <c r="C58" s="16"/>
      <c r="D58" s="17" t="s">
        <v>1</v>
      </c>
      <c r="E58" s="14" t="s">
        <v>2317</v>
      </c>
      <c r="F58" s="14" t="s">
        <v>19708</v>
      </c>
      <c r="G58" s="14"/>
      <c r="H58" s="22">
        <v>2004</v>
      </c>
      <c r="I58" s="21" t="s">
        <v>19648</v>
      </c>
    </row>
    <row r="59" spans="1:9" x14ac:dyDescent="0.3">
      <c r="A59" s="15">
        <v>9781474433778</v>
      </c>
      <c r="B59" s="16"/>
      <c r="C59" s="16"/>
      <c r="D59" s="17" t="s">
        <v>1</v>
      </c>
      <c r="E59" s="18" t="s">
        <v>19709</v>
      </c>
      <c r="F59" s="14"/>
      <c r="G59" s="14"/>
      <c r="H59" s="20">
        <v>2004</v>
      </c>
      <c r="I59" s="21" t="s">
        <v>19645</v>
      </c>
    </row>
    <row r="60" spans="1:9" x14ac:dyDescent="0.3">
      <c r="A60" s="15">
        <v>9781474428132</v>
      </c>
      <c r="B60" s="16"/>
      <c r="C60" s="16"/>
      <c r="D60" s="17" t="s">
        <v>1</v>
      </c>
      <c r="E60" s="18" t="s">
        <v>19710</v>
      </c>
      <c r="F60" s="14"/>
      <c r="G60" s="14"/>
      <c r="H60" s="20">
        <v>2004</v>
      </c>
      <c r="I60" s="21" t="s">
        <v>19645</v>
      </c>
    </row>
    <row r="61" spans="1:9" x14ac:dyDescent="0.3">
      <c r="A61" s="16">
        <v>9780748679218</v>
      </c>
      <c r="B61" s="16">
        <v>9780748623358</v>
      </c>
      <c r="C61" s="16"/>
      <c r="D61" s="17" t="s">
        <v>1</v>
      </c>
      <c r="E61" s="14" t="s">
        <v>19711</v>
      </c>
      <c r="F61" s="14" t="s">
        <v>19712</v>
      </c>
      <c r="G61" s="14" t="s">
        <v>6659</v>
      </c>
      <c r="H61" s="22">
        <v>2005</v>
      </c>
      <c r="I61" s="21" t="s">
        <v>19648</v>
      </c>
    </row>
    <row r="62" spans="1:9" x14ac:dyDescent="0.3">
      <c r="A62" s="16">
        <v>9780748679256</v>
      </c>
      <c r="B62" s="16">
        <v>9780748620791</v>
      </c>
      <c r="C62" s="16"/>
      <c r="D62" s="17" t="s">
        <v>1</v>
      </c>
      <c r="E62" s="14" t="s">
        <v>19713</v>
      </c>
      <c r="F62" s="14" t="s">
        <v>19714</v>
      </c>
      <c r="G62" s="14"/>
      <c r="H62" s="22">
        <v>2005</v>
      </c>
      <c r="I62" s="21" t="s">
        <v>19648</v>
      </c>
    </row>
    <row r="63" spans="1:9" x14ac:dyDescent="0.3">
      <c r="A63" s="16">
        <v>9781474433006</v>
      </c>
      <c r="B63" s="16">
        <v>9780748618071</v>
      </c>
      <c r="C63" s="16"/>
      <c r="D63" s="17" t="s">
        <v>1</v>
      </c>
      <c r="E63" s="14" t="s">
        <v>14314</v>
      </c>
      <c r="F63" s="14" t="s">
        <v>19715</v>
      </c>
      <c r="G63" s="14" t="s">
        <v>12993</v>
      </c>
      <c r="H63" s="22">
        <v>2005</v>
      </c>
      <c r="I63" s="21" t="s">
        <v>19648</v>
      </c>
    </row>
    <row r="64" spans="1:9" x14ac:dyDescent="0.3">
      <c r="A64" s="16">
        <v>9780748679478</v>
      </c>
      <c r="B64" s="16">
        <v>9780748617272</v>
      </c>
      <c r="C64" s="16"/>
      <c r="D64" s="17" t="s">
        <v>1</v>
      </c>
      <c r="E64" s="14" t="s">
        <v>8162</v>
      </c>
      <c r="F64" s="14" t="s">
        <v>19716</v>
      </c>
      <c r="G64" s="14"/>
      <c r="H64" s="22">
        <v>2005</v>
      </c>
      <c r="I64" s="21" t="s">
        <v>19648</v>
      </c>
    </row>
    <row r="65" spans="1:9" x14ac:dyDescent="0.3">
      <c r="A65" s="16">
        <v>9780748629718</v>
      </c>
      <c r="B65" s="16">
        <v>9780748622443</v>
      </c>
      <c r="C65" s="16"/>
      <c r="D65" s="17" t="s">
        <v>1</v>
      </c>
      <c r="E65" s="14" t="s">
        <v>19717</v>
      </c>
      <c r="F65" s="14" t="s">
        <v>19718</v>
      </c>
      <c r="G65" s="14"/>
      <c r="H65" s="22">
        <v>2006</v>
      </c>
      <c r="I65" s="21" t="s">
        <v>19648</v>
      </c>
    </row>
    <row r="66" spans="1:9" x14ac:dyDescent="0.3">
      <c r="A66" s="15">
        <v>9781474432672</v>
      </c>
      <c r="B66" s="16"/>
      <c r="C66" s="16"/>
      <c r="D66" s="17" t="s">
        <v>1</v>
      </c>
      <c r="E66" s="18" t="s">
        <v>19719</v>
      </c>
      <c r="F66" s="14"/>
      <c r="G66" s="14"/>
      <c r="H66" s="20">
        <v>2006</v>
      </c>
      <c r="I66" s="21" t="s">
        <v>19645</v>
      </c>
    </row>
    <row r="67" spans="1:9" x14ac:dyDescent="0.3">
      <c r="A67" s="16">
        <v>9780748628506</v>
      </c>
      <c r="B67" s="16">
        <v>9780748615544</v>
      </c>
      <c r="C67" s="16"/>
      <c r="D67" s="17" t="s">
        <v>1</v>
      </c>
      <c r="E67" s="14" t="s">
        <v>19720</v>
      </c>
      <c r="F67" s="14" t="s">
        <v>19721</v>
      </c>
      <c r="G67" s="14"/>
      <c r="H67" s="22">
        <v>2006</v>
      </c>
      <c r="I67" s="21" t="s">
        <v>19648</v>
      </c>
    </row>
    <row r="68" spans="1:9" x14ac:dyDescent="0.3">
      <c r="A68" s="16">
        <v>9780748699605</v>
      </c>
      <c r="B68" s="16">
        <v>9781845860059</v>
      </c>
      <c r="C68" s="16"/>
      <c r="D68" s="17" t="s">
        <v>1</v>
      </c>
      <c r="E68" s="14" t="s">
        <v>19722</v>
      </c>
      <c r="F68" s="14" t="s">
        <v>19723</v>
      </c>
      <c r="G68" s="14"/>
      <c r="H68" s="22">
        <v>2006</v>
      </c>
      <c r="I68" s="21" t="s">
        <v>19648</v>
      </c>
    </row>
    <row r="69" spans="1:9" x14ac:dyDescent="0.3">
      <c r="A69" s="15">
        <v>9781474470506</v>
      </c>
      <c r="B69" s="16"/>
      <c r="C69" s="16"/>
      <c r="D69" s="17" t="s">
        <v>1</v>
      </c>
      <c r="E69" s="18" t="s">
        <v>19724</v>
      </c>
      <c r="F69" s="14"/>
      <c r="G69" s="14"/>
      <c r="H69" s="20">
        <v>2006</v>
      </c>
      <c r="I69" s="21" t="s">
        <v>19645</v>
      </c>
    </row>
    <row r="70" spans="1:9" x14ac:dyDescent="0.3">
      <c r="A70" s="15">
        <v>9781474433839</v>
      </c>
      <c r="B70" s="16"/>
      <c r="C70" s="16"/>
      <c r="D70" s="17" t="s">
        <v>1</v>
      </c>
      <c r="E70" s="18" t="s">
        <v>19725</v>
      </c>
      <c r="F70" s="14"/>
      <c r="G70" s="14"/>
      <c r="H70" s="20">
        <v>2006</v>
      </c>
      <c r="I70" s="21" t="s">
        <v>19645</v>
      </c>
    </row>
    <row r="71" spans="1:9" x14ac:dyDescent="0.3">
      <c r="A71" s="16">
        <v>9781474433518</v>
      </c>
      <c r="B71" s="16">
        <v>9780748622887</v>
      </c>
      <c r="C71" s="16"/>
      <c r="D71" s="17" t="s">
        <v>1</v>
      </c>
      <c r="E71" s="14" t="s">
        <v>19726</v>
      </c>
      <c r="F71" s="14" t="s">
        <v>19727</v>
      </c>
      <c r="G71" s="14" t="s">
        <v>12993</v>
      </c>
      <c r="H71" s="22">
        <v>2006</v>
      </c>
      <c r="I71" s="21" t="s">
        <v>19648</v>
      </c>
    </row>
    <row r="72" spans="1:9" x14ac:dyDescent="0.3">
      <c r="A72" s="15">
        <v>9780748632923</v>
      </c>
      <c r="B72" s="16"/>
      <c r="C72" s="16"/>
      <c r="D72" s="17" t="s">
        <v>1</v>
      </c>
      <c r="E72" s="18" t="s">
        <v>19728</v>
      </c>
      <c r="F72" s="14"/>
      <c r="G72" s="14"/>
      <c r="H72" s="20">
        <v>2007</v>
      </c>
      <c r="I72" s="21" t="s">
        <v>19645</v>
      </c>
    </row>
    <row r="73" spans="1:9" x14ac:dyDescent="0.3">
      <c r="A73" s="16">
        <v>9780748633180</v>
      </c>
      <c r="B73" s="16">
        <v>9780748633166</v>
      </c>
      <c r="C73" s="16"/>
      <c r="D73" s="17" t="s">
        <v>1</v>
      </c>
      <c r="E73" s="14" t="s">
        <v>12750</v>
      </c>
      <c r="F73" s="14" t="s">
        <v>19729</v>
      </c>
      <c r="G73" s="14" t="s">
        <v>6929</v>
      </c>
      <c r="H73" s="22">
        <v>2007</v>
      </c>
      <c r="I73" s="21" t="s">
        <v>19648</v>
      </c>
    </row>
    <row r="74" spans="1:9" x14ac:dyDescent="0.3">
      <c r="A74" s="16">
        <v>9780748632596</v>
      </c>
      <c r="B74" s="16">
        <v>9780748632909</v>
      </c>
      <c r="C74" s="16"/>
      <c r="D74" s="17" t="s">
        <v>1</v>
      </c>
      <c r="E74" s="14" t="s">
        <v>19730</v>
      </c>
      <c r="F74" s="14" t="s">
        <v>19731</v>
      </c>
      <c r="G74" s="14" t="s">
        <v>6659</v>
      </c>
      <c r="H74" s="22">
        <v>2007</v>
      </c>
      <c r="I74" s="21" t="s">
        <v>19648</v>
      </c>
    </row>
    <row r="75" spans="1:9" x14ac:dyDescent="0.3">
      <c r="A75" s="16">
        <v>9780748630141</v>
      </c>
      <c r="B75" s="16">
        <v>9780748623754</v>
      </c>
      <c r="C75" s="16"/>
      <c r="D75" s="17" t="s">
        <v>1</v>
      </c>
      <c r="E75" s="14" t="s">
        <v>9297</v>
      </c>
      <c r="F75" s="14" t="s">
        <v>19732</v>
      </c>
      <c r="G75" s="14"/>
      <c r="H75" s="22">
        <v>2007</v>
      </c>
      <c r="I75" s="21" t="s">
        <v>19648</v>
      </c>
    </row>
    <row r="76" spans="1:9" x14ac:dyDescent="0.3">
      <c r="A76" s="16">
        <v>9780748633210</v>
      </c>
      <c r="B76" s="16">
        <v>9780748633197</v>
      </c>
      <c r="C76" s="16"/>
      <c r="D76" s="17" t="s">
        <v>1</v>
      </c>
      <c r="E76" s="14" t="s">
        <v>19733</v>
      </c>
      <c r="F76" s="14" t="s">
        <v>19734</v>
      </c>
      <c r="G76" s="14" t="s">
        <v>6929</v>
      </c>
      <c r="H76" s="22">
        <v>2007</v>
      </c>
      <c r="I76" s="21" t="s">
        <v>19648</v>
      </c>
    </row>
    <row r="77" spans="1:9" x14ac:dyDescent="0.3">
      <c r="A77" s="16">
        <v>9780748630813</v>
      </c>
      <c r="B77" s="16">
        <v>9780748625161</v>
      </c>
      <c r="C77" s="16"/>
      <c r="D77" s="17" t="s">
        <v>1</v>
      </c>
      <c r="E77" s="14" t="s">
        <v>19735</v>
      </c>
      <c r="F77" s="14" t="s">
        <v>19736</v>
      </c>
      <c r="G77" s="14" t="s">
        <v>6659</v>
      </c>
      <c r="H77" s="22">
        <v>2007</v>
      </c>
      <c r="I77" s="21" t="s">
        <v>19648</v>
      </c>
    </row>
    <row r="78" spans="1:9" x14ac:dyDescent="0.3">
      <c r="A78" s="16">
        <v>9780748699599</v>
      </c>
      <c r="B78" s="16">
        <v>9781845860288</v>
      </c>
      <c r="C78" s="16"/>
      <c r="D78" s="17" t="s">
        <v>1</v>
      </c>
      <c r="E78" s="14" t="s">
        <v>19737</v>
      </c>
      <c r="F78" s="14" t="s">
        <v>19723</v>
      </c>
      <c r="G78" s="14"/>
      <c r="H78" s="22">
        <v>2007</v>
      </c>
      <c r="I78" s="21" t="s">
        <v>19648</v>
      </c>
    </row>
    <row r="79" spans="1:9" x14ac:dyDescent="0.3">
      <c r="A79" s="16">
        <v>9780748631810</v>
      </c>
      <c r="B79" s="16">
        <v>9780748627950</v>
      </c>
      <c r="C79" s="16"/>
      <c r="D79" s="17" t="s">
        <v>1</v>
      </c>
      <c r="E79" s="14" t="s">
        <v>19738</v>
      </c>
      <c r="F79" s="14" t="s">
        <v>19739</v>
      </c>
      <c r="G79" s="14"/>
      <c r="H79" s="22">
        <v>2007</v>
      </c>
      <c r="I79" s="21" t="s">
        <v>19648</v>
      </c>
    </row>
    <row r="80" spans="1:9" x14ac:dyDescent="0.3">
      <c r="A80" s="16">
        <v>9780748634019</v>
      </c>
      <c r="B80" s="16">
        <v>9780748633999</v>
      </c>
      <c r="C80" s="16"/>
      <c r="D80" s="17" t="s">
        <v>1</v>
      </c>
      <c r="E80" s="14" t="s">
        <v>70</v>
      </c>
      <c r="F80" s="14" t="s">
        <v>19740</v>
      </c>
      <c r="G80" s="14"/>
      <c r="H80" s="22">
        <v>2007</v>
      </c>
      <c r="I80" s="21" t="s">
        <v>19648</v>
      </c>
    </row>
    <row r="81" spans="1:9" x14ac:dyDescent="0.3">
      <c r="A81" s="16">
        <v>9780748679751</v>
      </c>
      <c r="B81" s="16">
        <v>9780748624874</v>
      </c>
      <c r="C81" s="16"/>
      <c r="D81" s="17" t="s">
        <v>1</v>
      </c>
      <c r="E81" s="14" t="s">
        <v>19741</v>
      </c>
      <c r="F81" s="14" t="s">
        <v>19742</v>
      </c>
      <c r="G81" s="14"/>
      <c r="H81" s="22">
        <v>2008</v>
      </c>
      <c r="I81" s="21" t="s">
        <v>19648</v>
      </c>
    </row>
    <row r="82" spans="1:9" x14ac:dyDescent="0.3">
      <c r="A82" s="16">
        <v>9780748631551</v>
      </c>
      <c r="B82" s="16">
        <v>9780748627486</v>
      </c>
      <c r="C82" s="16"/>
      <c r="D82" s="17" t="s">
        <v>1</v>
      </c>
      <c r="E82" s="14" t="s">
        <v>19743</v>
      </c>
      <c r="F82" s="14" t="s">
        <v>19744</v>
      </c>
      <c r="G82" s="14" t="s">
        <v>9050</v>
      </c>
      <c r="H82" s="22">
        <v>2008</v>
      </c>
      <c r="I82" s="21" t="s">
        <v>19648</v>
      </c>
    </row>
    <row r="83" spans="1:9" x14ac:dyDescent="0.3">
      <c r="A83" s="16">
        <v>9780748629848</v>
      </c>
      <c r="B83" s="16"/>
      <c r="C83" s="16"/>
      <c r="D83" s="12" t="s">
        <v>1</v>
      </c>
      <c r="E83" s="23" t="s">
        <v>19359</v>
      </c>
      <c r="F83" s="14" t="s">
        <v>19361</v>
      </c>
      <c r="G83" s="14" t="s">
        <v>6630</v>
      </c>
      <c r="H83" s="22">
        <v>2008</v>
      </c>
      <c r="I83" s="17" t="s">
        <v>19660</v>
      </c>
    </row>
    <row r="84" spans="1:9" x14ac:dyDescent="0.3">
      <c r="A84" s="16">
        <v>9780748635009</v>
      </c>
      <c r="B84" s="16">
        <v>9780748634989</v>
      </c>
      <c r="C84" s="16"/>
      <c r="D84" s="17" t="s">
        <v>1</v>
      </c>
      <c r="E84" s="14" t="s">
        <v>19745</v>
      </c>
      <c r="F84" s="14" t="s">
        <v>19746</v>
      </c>
      <c r="G84" s="14"/>
      <c r="H84" s="22">
        <v>2008</v>
      </c>
      <c r="I84" s="21" t="s">
        <v>19648</v>
      </c>
    </row>
    <row r="85" spans="1:9" x14ac:dyDescent="0.3">
      <c r="A85" s="16">
        <v>9780748628827</v>
      </c>
      <c r="B85" s="16">
        <v>9780748618064</v>
      </c>
      <c r="C85" s="16"/>
      <c r="D85" s="17" t="s">
        <v>1</v>
      </c>
      <c r="E85" s="14" t="s">
        <v>19747</v>
      </c>
      <c r="F85" s="14" t="s">
        <v>19748</v>
      </c>
      <c r="G85" s="14" t="s">
        <v>14046</v>
      </c>
      <c r="H85" s="22">
        <v>2008</v>
      </c>
      <c r="I85" s="21" t="s">
        <v>19648</v>
      </c>
    </row>
    <row r="86" spans="1:9" x14ac:dyDescent="0.3">
      <c r="A86" s="16">
        <v>9780748629657</v>
      </c>
      <c r="B86" s="16">
        <v>9780748622191</v>
      </c>
      <c r="C86" s="16"/>
      <c r="D86" s="17" t="s">
        <v>1</v>
      </c>
      <c r="E86" s="14" t="s">
        <v>19749</v>
      </c>
      <c r="F86" s="14" t="s">
        <v>19750</v>
      </c>
      <c r="G86" s="14"/>
      <c r="H86" s="22">
        <v>2008</v>
      </c>
      <c r="I86" s="21" t="s">
        <v>19648</v>
      </c>
    </row>
    <row r="87" spans="1:9" x14ac:dyDescent="0.3">
      <c r="A87" s="16">
        <v>9780748630455</v>
      </c>
      <c r="B87" s="16">
        <v>9780748624409</v>
      </c>
      <c r="C87" s="16"/>
      <c r="D87" s="17" t="s">
        <v>1</v>
      </c>
      <c r="E87" s="14" t="s">
        <v>19751</v>
      </c>
      <c r="F87" s="14" t="s">
        <v>3147</v>
      </c>
      <c r="G87" s="14" t="s">
        <v>12993</v>
      </c>
      <c r="H87" s="22">
        <v>2008</v>
      </c>
      <c r="I87" s="21" t="s">
        <v>19648</v>
      </c>
    </row>
    <row r="88" spans="1:9" x14ac:dyDescent="0.3">
      <c r="A88" s="15">
        <v>9780748634538</v>
      </c>
      <c r="B88" s="16"/>
      <c r="C88" s="16"/>
      <c r="D88" s="17" t="s">
        <v>1</v>
      </c>
      <c r="E88" s="18" t="s">
        <v>19752</v>
      </c>
      <c r="F88" s="14"/>
      <c r="G88" s="14"/>
      <c r="H88" s="20">
        <v>2008</v>
      </c>
      <c r="I88" s="21" t="s">
        <v>19645</v>
      </c>
    </row>
    <row r="89" spans="1:9" x14ac:dyDescent="0.3">
      <c r="A89" s="15">
        <v>9780748628735</v>
      </c>
      <c r="B89" s="16"/>
      <c r="C89" s="16"/>
      <c r="D89" s="17" t="s">
        <v>1</v>
      </c>
      <c r="E89" s="18" t="s">
        <v>19753</v>
      </c>
      <c r="F89" s="14"/>
      <c r="G89" s="14"/>
      <c r="H89" s="20">
        <v>2008</v>
      </c>
      <c r="I89" s="21" t="s">
        <v>19645</v>
      </c>
    </row>
    <row r="90" spans="1:9" x14ac:dyDescent="0.3">
      <c r="A90" s="16">
        <v>9780748628605</v>
      </c>
      <c r="B90" s="16">
        <v>9780748615940</v>
      </c>
      <c r="C90" s="16"/>
      <c r="D90" s="17" t="s">
        <v>1</v>
      </c>
      <c r="E90" s="14" t="s">
        <v>10110</v>
      </c>
      <c r="F90" s="14" t="s">
        <v>19754</v>
      </c>
      <c r="G90" s="14"/>
      <c r="H90" s="22">
        <v>2009</v>
      </c>
      <c r="I90" s="21" t="s">
        <v>19648</v>
      </c>
    </row>
    <row r="91" spans="1:9" x14ac:dyDescent="0.3">
      <c r="A91" s="15">
        <v>9781474468671</v>
      </c>
      <c r="B91" s="16"/>
      <c r="C91" s="16"/>
      <c r="D91" s="17" t="s">
        <v>1</v>
      </c>
      <c r="E91" s="18" t="s">
        <v>19755</v>
      </c>
      <c r="F91" s="14"/>
      <c r="G91" s="14"/>
      <c r="H91" s="20">
        <v>2009</v>
      </c>
      <c r="I91" s="21" t="s">
        <v>19645</v>
      </c>
    </row>
    <row r="92" spans="1:9" x14ac:dyDescent="0.3">
      <c r="A92" s="16">
        <v>9780748642472</v>
      </c>
      <c r="B92" s="16">
        <v>9780748635900</v>
      </c>
      <c r="C92" s="16"/>
      <c r="D92" s="17" t="s">
        <v>1</v>
      </c>
      <c r="E92" s="14" t="s">
        <v>19756</v>
      </c>
      <c r="F92" s="14" t="s">
        <v>19757</v>
      </c>
      <c r="G92" s="14" t="s">
        <v>6606</v>
      </c>
      <c r="H92" s="22">
        <v>2009</v>
      </c>
      <c r="I92" s="21" t="s">
        <v>19648</v>
      </c>
    </row>
    <row r="93" spans="1:9" x14ac:dyDescent="0.3">
      <c r="A93" s="11">
        <v>9780748698394</v>
      </c>
      <c r="B93" s="11">
        <v>9781845860622</v>
      </c>
      <c r="C93" s="11"/>
      <c r="D93" s="12" t="s">
        <v>1</v>
      </c>
      <c r="E93" s="12" t="s">
        <v>17357</v>
      </c>
      <c r="F93" s="12" t="s">
        <v>17220</v>
      </c>
      <c r="G93" s="12" t="s">
        <v>10773</v>
      </c>
      <c r="H93" s="13">
        <v>2009</v>
      </c>
      <c r="I93" s="14" t="s">
        <v>19642</v>
      </c>
    </row>
    <row r="94" spans="1:9" x14ac:dyDescent="0.3">
      <c r="A94" s="11">
        <v>9780748632497</v>
      </c>
      <c r="B94" s="11">
        <v>9780748638437</v>
      </c>
      <c r="C94" s="11"/>
      <c r="D94" s="12" t="s">
        <v>1</v>
      </c>
      <c r="E94" s="12" t="s">
        <v>17372</v>
      </c>
      <c r="F94" s="12" t="s">
        <v>19758</v>
      </c>
      <c r="G94" s="12"/>
      <c r="H94" s="13">
        <v>2009</v>
      </c>
      <c r="I94" s="14" t="s">
        <v>19642</v>
      </c>
    </row>
    <row r="95" spans="1:9" x14ac:dyDescent="0.3">
      <c r="A95" s="11">
        <v>9781474473231</v>
      </c>
      <c r="B95" s="11">
        <v>9780748637836</v>
      </c>
      <c r="C95" s="11"/>
      <c r="D95" s="12" t="s">
        <v>1</v>
      </c>
      <c r="E95" s="12" t="s">
        <v>19759</v>
      </c>
      <c r="F95" s="12" t="s">
        <v>19760</v>
      </c>
      <c r="G95" s="12"/>
      <c r="H95" s="13">
        <v>2009</v>
      </c>
      <c r="I95" s="14" t="s">
        <v>19642</v>
      </c>
    </row>
    <row r="96" spans="1:9" x14ac:dyDescent="0.3">
      <c r="A96" s="16">
        <v>9780748631865</v>
      </c>
      <c r="B96" s="16">
        <v>9780748628070</v>
      </c>
      <c r="C96" s="16"/>
      <c r="D96" s="17" t="s">
        <v>1</v>
      </c>
      <c r="E96" s="14" t="s">
        <v>19761</v>
      </c>
      <c r="F96" s="14" t="s">
        <v>19762</v>
      </c>
      <c r="G96" s="14"/>
      <c r="H96" s="22">
        <v>2009</v>
      </c>
      <c r="I96" s="21" t="s">
        <v>19648</v>
      </c>
    </row>
    <row r="97" spans="1:9" x14ac:dyDescent="0.3">
      <c r="A97" s="16">
        <v>9780748640942</v>
      </c>
      <c r="B97" s="16">
        <v>9780748638956</v>
      </c>
      <c r="C97" s="16"/>
      <c r="D97" s="17" t="s">
        <v>1</v>
      </c>
      <c r="E97" s="14" t="s">
        <v>19763</v>
      </c>
      <c r="F97" s="14" t="s">
        <v>19764</v>
      </c>
      <c r="G97" s="14" t="s">
        <v>6929</v>
      </c>
      <c r="H97" s="22">
        <v>2009</v>
      </c>
      <c r="I97" s="21" t="s">
        <v>19648</v>
      </c>
    </row>
    <row r="98" spans="1:9" x14ac:dyDescent="0.3">
      <c r="A98" s="16">
        <v>9780748631599</v>
      </c>
      <c r="B98" s="16">
        <v>9780748627561</v>
      </c>
      <c r="C98" s="16"/>
      <c r="D98" s="17" t="s">
        <v>1</v>
      </c>
      <c r="E98" s="14" t="s">
        <v>19765</v>
      </c>
      <c r="F98" s="14" t="s">
        <v>19766</v>
      </c>
      <c r="G98" s="14"/>
      <c r="H98" s="22">
        <v>2009</v>
      </c>
      <c r="I98" s="21" t="s">
        <v>19648</v>
      </c>
    </row>
    <row r="99" spans="1:9" x14ac:dyDescent="0.3">
      <c r="A99" s="16">
        <v>9781474464550</v>
      </c>
      <c r="B99" s="16">
        <v>9780748639663</v>
      </c>
      <c r="C99" s="16"/>
      <c r="D99" s="17" t="s">
        <v>1</v>
      </c>
      <c r="E99" s="14" t="s">
        <v>19767</v>
      </c>
      <c r="F99" s="14" t="s">
        <v>19768</v>
      </c>
      <c r="G99" s="14"/>
      <c r="H99" s="22">
        <v>2009</v>
      </c>
      <c r="I99" s="21" t="s">
        <v>19648</v>
      </c>
    </row>
    <row r="100" spans="1:9" x14ac:dyDescent="0.3">
      <c r="A100" s="16">
        <v>9780748631209</v>
      </c>
      <c r="B100" s="16"/>
      <c r="C100" s="16"/>
      <c r="D100" s="12" t="s">
        <v>1</v>
      </c>
      <c r="E100" s="23" t="s">
        <v>19769</v>
      </c>
      <c r="F100" s="14" t="s">
        <v>19770</v>
      </c>
      <c r="G100" s="14"/>
      <c r="H100" s="22">
        <v>2009</v>
      </c>
      <c r="I100" s="17" t="s">
        <v>19660</v>
      </c>
    </row>
    <row r="101" spans="1:9" x14ac:dyDescent="0.3">
      <c r="A101" s="16">
        <v>9780748635368</v>
      </c>
      <c r="B101" s="16">
        <v>9780748635351</v>
      </c>
      <c r="C101" s="16"/>
      <c r="D101" s="17" t="s">
        <v>1</v>
      </c>
      <c r="E101" s="14" t="s">
        <v>10784</v>
      </c>
      <c r="F101" s="14" t="s">
        <v>19771</v>
      </c>
      <c r="G101" s="14" t="s">
        <v>6437</v>
      </c>
      <c r="H101" s="22">
        <v>2009</v>
      </c>
      <c r="I101" s="21" t="s">
        <v>19648</v>
      </c>
    </row>
    <row r="102" spans="1:9" x14ac:dyDescent="0.3">
      <c r="A102" s="16">
        <v>9780748637539</v>
      </c>
      <c r="B102" s="16">
        <v>9780748637515</v>
      </c>
      <c r="C102" s="16"/>
      <c r="D102" s="17" t="s">
        <v>1</v>
      </c>
      <c r="E102" s="14" t="s">
        <v>10503</v>
      </c>
      <c r="F102" s="14" t="s">
        <v>19772</v>
      </c>
      <c r="G102" s="14"/>
      <c r="H102" s="22">
        <v>2009</v>
      </c>
      <c r="I102" s="21" t="s">
        <v>19648</v>
      </c>
    </row>
    <row r="103" spans="1:9" x14ac:dyDescent="0.3">
      <c r="A103" s="16">
        <v>9780748631469</v>
      </c>
      <c r="B103" s="16">
        <v>9780748627356</v>
      </c>
      <c r="C103" s="16"/>
      <c r="D103" s="17" t="s">
        <v>1</v>
      </c>
      <c r="E103" s="14" t="s">
        <v>19773</v>
      </c>
      <c r="F103" s="14" t="s">
        <v>19774</v>
      </c>
      <c r="G103" s="14" t="s">
        <v>6881</v>
      </c>
      <c r="H103" s="22">
        <v>2010</v>
      </c>
      <c r="I103" s="21" t="s">
        <v>19648</v>
      </c>
    </row>
    <row r="104" spans="1:9" x14ac:dyDescent="0.3">
      <c r="A104" s="16">
        <v>9780748699513</v>
      </c>
      <c r="B104" s="16">
        <v>9781845860974</v>
      </c>
      <c r="C104" s="16"/>
      <c r="D104" s="17" t="s">
        <v>1</v>
      </c>
      <c r="E104" s="14" t="s">
        <v>19775</v>
      </c>
      <c r="F104" s="14" t="s">
        <v>19776</v>
      </c>
      <c r="G104" s="14"/>
      <c r="H104" s="22">
        <v>2010</v>
      </c>
      <c r="I104" s="21" t="s">
        <v>19648</v>
      </c>
    </row>
    <row r="105" spans="1:9" x14ac:dyDescent="0.3">
      <c r="A105" s="11">
        <f>VLOOKUP(E105,'[1]epdf LIst'!A:C,3,FALSE)</f>
        <v>9780748699438</v>
      </c>
      <c r="B105" s="11"/>
      <c r="C105" s="11"/>
      <c r="D105" s="12" t="s">
        <v>1</v>
      </c>
      <c r="E105" s="12" t="s">
        <v>17412</v>
      </c>
      <c r="F105" s="12" t="s">
        <v>17097</v>
      </c>
      <c r="G105" s="12"/>
      <c r="H105" s="13">
        <v>2012</v>
      </c>
      <c r="I105" s="14" t="s">
        <v>19642</v>
      </c>
    </row>
    <row r="106" spans="1:9" x14ac:dyDescent="0.3">
      <c r="A106" s="16">
        <v>9781399504140</v>
      </c>
      <c r="B106" s="16"/>
      <c r="C106" s="16"/>
      <c r="D106" s="23" t="s">
        <v>1</v>
      </c>
      <c r="E106" s="24" t="s">
        <v>19777</v>
      </c>
      <c r="F106" s="24"/>
      <c r="G106" s="24"/>
      <c r="H106" s="22">
        <v>2012</v>
      </c>
      <c r="I106" s="24" t="s">
        <v>19778</v>
      </c>
    </row>
    <row r="107" spans="1:9" x14ac:dyDescent="0.3">
      <c r="A107" s="11">
        <f>VLOOKUP(E107,'[1]epdf LIst'!A:C,3,FALSE)</f>
        <v>9780748698103</v>
      </c>
      <c r="B107" s="11"/>
      <c r="C107" s="11"/>
      <c r="D107" s="12" t="s">
        <v>1</v>
      </c>
      <c r="E107" s="12" t="s">
        <v>17423</v>
      </c>
      <c r="F107" s="12" t="s">
        <v>17425</v>
      </c>
      <c r="G107" s="12" t="s">
        <v>10773</v>
      </c>
      <c r="H107" s="13">
        <v>2013</v>
      </c>
      <c r="I107" s="14" t="s">
        <v>19642</v>
      </c>
    </row>
    <row r="108" spans="1:9" x14ac:dyDescent="0.3">
      <c r="A108" s="11">
        <v>9780748679058</v>
      </c>
      <c r="B108" s="11">
        <v>9780748679034</v>
      </c>
      <c r="C108" s="11"/>
      <c r="D108" s="12" t="s">
        <v>1</v>
      </c>
      <c r="E108" s="12" t="s">
        <v>19779</v>
      </c>
      <c r="F108" s="12" t="s">
        <v>17128</v>
      </c>
      <c r="G108" s="12"/>
      <c r="H108" s="13">
        <v>2013</v>
      </c>
      <c r="I108" s="14" t="s">
        <v>19642</v>
      </c>
    </row>
    <row r="109" spans="1:9" x14ac:dyDescent="0.3">
      <c r="A109" s="16">
        <v>9780748699636</v>
      </c>
      <c r="B109" s="16">
        <v>9781845861209</v>
      </c>
      <c r="C109" s="16"/>
      <c r="D109" s="17" t="s">
        <v>1</v>
      </c>
      <c r="E109" s="14" t="s">
        <v>19780</v>
      </c>
      <c r="F109" s="14" t="s">
        <v>19781</v>
      </c>
      <c r="G109" s="14"/>
      <c r="H109" s="22">
        <v>2013</v>
      </c>
      <c r="I109" s="21" t="s">
        <v>19648</v>
      </c>
    </row>
    <row r="110" spans="1:9" x14ac:dyDescent="0.3">
      <c r="A110" s="11">
        <f>VLOOKUP(E110,'[1]epdf LIst'!A:C,3,FALSE)</f>
        <v>9780748699506</v>
      </c>
      <c r="B110" s="11"/>
      <c r="C110" s="11"/>
      <c r="D110" s="12" t="s">
        <v>1</v>
      </c>
      <c r="E110" s="12" t="s">
        <v>19782</v>
      </c>
      <c r="F110" s="12" t="s">
        <v>17097</v>
      </c>
      <c r="G110" s="12"/>
      <c r="H110" s="13">
        <v>2013</v>
      </c>
      <c r="I110" s="14" t="s">
        <v>19642</v>
      </c>
    </row>
    <row r="111" spans="1:9" x14ac:dyDescent="0.3">
      <c r="A111" s="16">
        <v>9780748677962</v>
      </c>
      <c r="B111" s="16"/>
      <c r="C111" s="16"/>
      <c r="D111" s="12" t="s">
        <v>1</v>
      </c>
      <c r="E111" s="23" t="s">
        <v>17340</v>
      </c>
      <c r="F111" s="14" t="s">
        <v>19783</v>
      </c>
      <c r="G111" s="14"/>
      <c r="H111" s="22">
        <v>2014</v>
      </c>
      <c r="I111" s="17" t="s">
        <v>19660</v>
      </c>
    </row>
    <row r="112" spans="1:9" x14ac:dyDescent="0.3">
      <c r="A112" s="16">
        <v>9781474463959</v>
      </c>
      <c r="B112" s="25">
        <v>9780748697731</v>
      </c>
      <c r="C112" s="25"/>
      <c r="D112" s="17" t="s">
        <v>1</v>
      </c>
      <c r="E112" s="14" t="s">
        <v>19784</v>
      </c>
      <c r="F112" s="14" t="s">
        <v>19785</v>
      </c>
      <c r="G112" s="14" t="s">
        <v>10151</v>
      </c>
      <c r="H112" s="22">
        <v>2014</v>
      </c>
      <c r="I112" s="21" t="s">
        <v>19648</v>
      </c>
    </row>
    <row r="113" spans="1:9" x14ac:dyDescent="0.3">
      <c r="A113" s="11">
        <f>VLOOKUP(E113,'[1]epdf LIst'!A:C,3,FALSE)</f>
        <v>9780748698158</v>
      </c>
      <c r="B113" s="11"/>
      <c r="C113" s="11"/>
      <c r="D113" s="12" t="s">
        <v>1</v>
      </c>
      <c r="E113" s="12" t="s">
        <v>17415</v>
      </c>
      <c r="F113" s="12" t="s">
        <v>17417</v>
      </c>
      <c r="G113" s="12" t="s">
        <v>10773</v>
      </c>
      <c r="H113" s="13">
        <v>2014</v>
      </c>
      <c r="I113" s="14" t="s">
        <v>19642</v>
      </c>
    </row>
    <row r="114" spans="1:9" x14ac:dyDescent="0.3">
      <c r="A114" s="11">
        <f>VLOOKUP(E114,'[1]epdf LIst'!A:C,3,FALSE)</f>
        <v>9780748698165</v>
      </c>
      <c r="B114" s="11"/>
      <c r="C114" s="11"/>
      <c r="D114" s="12" t="s">
        <v>1</v>
      </c>
      <c r="E114" s="12" t="s">
        <v>16837</v>
      </c>
      <c r="F114" s="12" t="s">
        <v>16839</v>
      </c>
      <c r="G114" s="12" t="s">
        <v>10773</v>
      </c>
      <c r="H114" s="13">
        <v>2014</v>
      </c>
      <c r="I114" s="14" t="s">
        <v>19642</v>
      </c>
    </row>
    <row r="115" spans="1:9" x14ac:dyDescent="0.3">
      <c r="A115" s="11">
        <f>VLOOKUP(E115,'[1]epdf LIst'!A:C,3,FALSE)</f>
        <v>9780748699384</v>
      </c>
      <c r="B115" s="11"/>
      <c r="C115" s="11"/>
      <c r="D115" s="12" t="s">
        <v>1</v>
      </c>
      <c r="E115" s="12" t="s">
        <v>17253</v>
      </c>
      <c r="F115" s="12" t="s">
        <v>17255</v>
      </c>
      <c r="G115" s="12"/>
      <c r="H115" s="13">
        <v>2014</v>
      </c>
      <c r="I115" s="14" t="s">
        <v>19642</v>
      </c>
    </row>
    <row r="116" spans="1:9" x14ac:dyDescent="0.3">
      <c r="A116" s="11">
        <f>VLOOKUP(E116,'[1]epdf LIst'!A:C,3,FALSE)</f>
        <v>9780748698387</v>
      </c>
      <c r="B116" s="11"/>
      <c r="C116" s="11"/>
      <c r="D116" s="12" t="s">
        <v>1</v>
      </c>
      <c r="E116" s="12" t="s">
        <v>17431</v>
      </c>
      <c r="F116" s="12" t="s">
        <v>19786</v>
      </c>
      <c r="G116" s="12" t="s">
        <v>10773</v>
      </c>
      <c r="H116" s="13">
        <v>2014</v>
      </c>
      <c r="I116" s="14" t="s">
        <v>19642</v>
      </c>
    </row>
    <row r="117" spans="1:9" x14ac:dyDescent="0.3">
      <c r="A117" s="11">
        <f>VLOOKUP(E117,'[1]epdf LIst'!A:C,3,FALSE)</f>
        <v>9780748698400</v>
      </c>
      <c r="B117" s="11"/>
      <c r="C117" s="11"/>
      <c r="D117" s="12" t="s">
        <v>1</v>
      </c>
      <c r="E117" s="12" t="s">
        <v>17294</v>
      </c>
      <c r="F117" s="12" t="s">
        <v>17296</v>
      </c>
      <c r="G117" s="12" t="s">
        <v>10773</v>
      </c>
      <c r="H117" s="13">
        <v>2014</v>
      </c>
      <c r="I117" s="14" t="s">
        <v>19642</v>
      </c>
    </row>
    <row r="118" spans="1:9" x14ac:dyDescent="0.3">
      <c r="A118" s="11">
        <v>9780748699278</v>
      </c>
      <c r="B118" s="11">
        <v>9780748642823</v>
      </c>
      <c r="C118" s="11"/>
      <c r="D118" s="12" t="s">
        <v>1</v>
      </c>
      <c r="E118" s="12" t="s">
        <v>19787</v>
      </c>
      <c r="F118" s="12" t="s">
        <v>19788</v>
      </c>
      <c r="G118" s="12" t="s">
        <v>6993</v>
      </c>
      <c r="H118" s="13">
        <v>2014</v>
      </c>
      <c r="I118" s="14" t="s">
        <v>19642</v>
      </c>
    </row>
    <row r="119" spans="1:9" x14ac:dyDescent="0.3">
      <c r="A119" s="15">
        <v>9780748699278</v>
      </c>
      <c r="B119" s="16"/>
      <c r="C119" s="16"/>
      <c r="D119" s="17" t="s">
        <v>1</v>
      </c>
      <c r="E119" s="18" t="s">
        <v>19787</v>
      </c>
      <c r="F119" s="14"/>
      <c r="G119" s="14"/>
      <c r="H119" s="20">
        <v>2014</v>
      </c>
      <c r="I119" s="21" t="s">
        <v>19645</v>
      </c>
    </row>
    <row r="120" spans="1:9" x14ac:dyDescent="0.3">
      <c r="A120" s="11">
        <f>VLOOKUP(E120,'[1]epdf LIst'!A:C,3,FALSE)</f>
        <v>9780748698431</v>
      </c>
      <c r="B120" s="11"/>
      <c r="C120" s="11"/>
      <c r="D120" s="12" t="s">
        <v>1</v>
      </c>
      <c r="E120" s="12" t="s">
        <v>17147</v>
      </c>
      <c r="F120" s="12" t="s">
        <v>19789</v>
      </c>
      <c r="G120" s="12" t="s">
        <v>10773</v>
      </c>
      <c r="H120" s="13">
        <v>2014</v>
      </c>
      <c r="I120" s="14" t="s">
        <v>19642</v>
      </c>
    </row>
    <row r="121" spans="1:9" x14ac:dyDescent="0.3">
      <c r="A121" s="11">
        <f>VLOOKUP(E121,'[1]epdf LIst'!A:C,3,FALSE)</f>
        <v>9780748698448</v>
      </c>
      <c r="B121" s="11"/>
      <c r="C121" s="11"/>
      <c r="D121" s="12" t="s">
        <v>1</v>
      </c>
      <c r="E121" s="12" t="s">
        <v>17317</v>
      </c>
      <c r="F121" s="12" t="s">
        <v>17319</v>
      </c>
      <c r="G121" s="12" t="s">
        <v>10773</v>
      </c>
      <c r="H121" s="13">
        <v>2014</v>
      </c>
      <c r="I121" s="14" t="s">
        <v>19642</v>
      </c>
    </row>
    <row r="122" spans="1:9" x14ac:dyDescent="0.3">
      <c r="A122" s="11">
        <f>VLOOKUP(E122,'[1]epdf LIst'!A:C,3,FALSE)</f>
        <v>9780748698516</v>
      </c>
      <c r="B122" s="11"/>
      <c r="C122" s="11"/>
      <c r="D122" s="12" t="s">
        <v>1</v>
      </c>
      <c r="E122" s="12" t="s">
        <v>17323</v>
      </c>
      <c r="F122" s="12" t="s">
        <v>17325</v>
      </c>
      <c r="G122" s="12" t="s">
        <v>10773</v>
      </c>
      <c r="H122" s="13">
        <v>2014</v>
      </c>
      <c r="I122" s="14" t="s">
        <v>19642</v>
      </c>
    </row>
    <row r="123" spans="1:9" x14ac:dyDescent="0.3">
      <c r="A123" s="11">
        <f>VLOOKUP(E123,'[1]epdf LIst'!A:C,3,FALSE)</f>
        <v>9780748698257</v>
      </c>
      <c r="B123" s="11"/>
      <c r="C123" s="11"/>
      <c r="D123" s="12" t="s">
        <v>1</v>
      </c>
      <c r="E123" s="12" t="s">
        <v>17285</v>
      </c>
      <c r="F123" s="12" t="s">
        <v>17287</v>
      </c>
      <c r="G123" s="12" t="s">
        <v>10773</v>
      </c>
      <c r="H123" s="13">
        <v>2014</v>
      </c>
      <c r="I123" s="14" t="s">
        <v>19642</v>
      </c>
    </row>
    <row r="124" spans="1:9" x14ac:dyDescent="0.3">
      <c r="A124" s="11">
        <f>VLOOKUP(E124,'[1]epdf LIst'!A:C,3,FALSE)</f>
        <v>9780748698455</v>
      </c>
      <c r="B124" s="11"/>
      <c r="C124" s="11"/>
      <c r="D124" s="12" t="s">
        <v>1</v>
      </c>
      <c r="E124" s="12" t="s">
        <v>17245</v>
      </c>
      <c r="F124" s="12" t="s">
        <v>17220</v>
      </c>
      <c r="G124" s="12" t="s">
        <v>10773</v>
      </c>
      <c r="H124" s="13">
        <v>2014</v>
      </c>
      <c r="I124" s="14" t="s">
        <v>19642</v>
      </c>
    </row>
    <row r="125" spans="1:9" x14ac:dyDescent="0.3">
      <c r="A125" s="11">
        <f>VLOOKUP(E125,'[1]epdf LIst'!A:C,3,FALSE)</f>
        <v>9780748697847</v>
      </c>
      <c r="B125" s="11"/>
      <c r="C125" s="11"/>
      <c r="D125" s="12" t="s">
        <v>1</v>
      </c>
      <c r="E125" s="12" t="s">
        <v>17419</v>
      </c>
      <c r="F125" s="12" t="s">
        <v>17421</v>
      </c>
      <c r="G125" s="12" t="s">
        <v>10773</v>
      </c>
      <c r="H125" s="13">
        <v>2014</v>
      </c>
      <c r="I125" s="14" t="s">
        <v>19642</v>
      </c>
    </row>
    <row r="126" spans="1:9" x14ac:dyDescent="0.3">
      <c r="A126" s="11">
        <f>VLOOKUP(E126,'[1]epdf LIst'!A:C,3,FALSE)</f>
        <v>9780748695812</v>
      </c>
      <c r="B126" s="11"/>
      <c r="C126" s="11"/>
      <c r="D126" s="12" t="s">
        <v>1</v>
      </c>
      <c r="E126" s="12" t="s">
        <v>19790</v>
      </c>
      <c r="F126" s="12" t="s">
        <v>19791</v>
      </c>
      <c r="G126" s="12"/>
      <c r="H126" s="13">
        <v>2014</v>
      </c>
      <c r="I126" s="14" t="s">
        <v>19642</v>
      </c>
    </row>
    <row r="127" spans="1:9" x14ac:dyDescent="0.3">
      <c r="A127" s="11">
        <f>VLOOKUP(E127,'[1]epdf LIst'!A:C,3,FALSE)</f>
        <v>9780748698530</v>
      </c>
      <c r="B127" s="11"/>
      <c r="C127" s="11"/>
      <c r="D127" s="12" t="s">
        <v>1</v>
      </c>
      <c r="E127" s="12" t="s">
        <v>17135</v>
      </c>
      <c r="F127" s="12" t="s">
        <v>19792</v>
      </c>
      <c r="G127" s="12"/>
      <c r="H127" s="13">
        <v>2014</v>
      </c>
      <c r="I127" s="14" t="s">
        <v>19642</v>
      </c>
    </row>
    <row r="128" spans="1:9" x14ac:dyDescent="0.3">
      <c r="A128" s="11">
        <f>VLOOKUP(E128,'[1]epdf LIst'!A:C,3,FALSE)</f>
        <v>9780748698479</v>
      </c>
      <c r="B128" s="11"/>
      <c r="C128" s="11"/>
      <c r="D128" s="12" t="s">
        <v>1</v>
      </c>
      <c r="E128" s="12" t="s">
        <v>17264</v>
      </c>
      <c r="F128" s="12" t="s">
        <v>19793</v>
      </c>
      <c r="G128" s="12" t="s">
        <v>10773</v>
      </c>
      <c r="H128" s="13">
        <v>2014</v>
      </c>
      <c r="I128" s="14" t="s">
        <v>19642</v>
      </c>
    </row>
    <row r="129" spans="1:9" x14ac:dyDescent="0.3">
      <c r="A129" s="11">
        <f>VLOOKUP(E129,'[1]epdf LIst'!A:C,3,FALSE)</f>
        <v>9780748698493</v>
      </c>
      <c r="B129" s="11"/>
      <c r="C129" s="11"/>
      <c r="D129" s="12" t="s">
        <v>1</v>
      </c>
      <c r="E129" s="12" t="s">
        <v>17309</v>
      </c>
      <c r="F129" s="12" t="s">
        <v>17311</v>
      </c>
      <c r="G129" s="12" t="s">
        <v>10773</v>
      </c>
      <c r="H129" s="13">
        <v>2014</v>
      </c>
      <c r="I129" s="14" t="s">
        <v>19642</v>
      </c>
    </row>
    <row r="130" spans="1:9" x14ac:dyDescent="0.3">
      <c r="A130" s="11">
        <f>VLOOKUP(E130,'[1]epdf LIst'!A:C,3,FALSE)</f>
        <v>9780748691142</v>
      </c>
      <c r="B130" s="11"/>
      <c r="C130" s="11"/>
      <c r="D130" s="12" t="s">
        <v>1</v>
      </c>
      <c r="E130" s="12" t="s">
        <v>17208</v>
      </c>
      <c r="F130" s="12" t="s">
        <v>17210</v>
      </c>
      <c r="G130" s="12"/>
      <c r="H130" s="13">
        <v>2014</v>
      </c>
      <c r="I130" s="14" t="s">
        <v>19642</v>
      </c>
    </row>
    <row r="131" spans="1:9" x14ac:dyDescent="0.3">
      <c r="A131" s="11">
        <f>VLOOKUP(E131,'[1]epdf LIst'!A:C,3,FALSE)</f>
        <v>9780748691333</v>
      </c>
      <c r="B131" s="11"/>
      <c r="C131" s="11"/>
      <c r="D131" s="12" t="s">
        <v>1</v>
      </c>
      <c r="E131" s="12" t="s">
        <v>17068</v>
      </c>
      <c r="F131" s="12" t="s">
        <v>19794</v>
      </c>
      <c r="G131" s="12"/>
      <c r="H131" s="13">
        <v>2014</v>
      </c>
      <c r="I131" s="14" t="s">
        <v>19642</v>
      </c>
    </row>
    <row r="132" spans="1:9" x14ac:dyDescent="0.3">
      <c r="A132" s="16">
        <v>9781399504157</v>
      </c>
      <c r="B132" s="16"/>
      <c r="C132" s="16"/>
      <c r="D132" s="23" t="s">
        <v>1</v>
      </c>
      <c r="E132" s="24" t="s">
        <v>19795</v>
      </c>
      <c r="F132" s="24"/>
      <c r="G132" s="24"/>
      <c r="H132" s="22">
        <v>2014</v>
      </c>
      <c r="I132" s="24" t="s">
        <v>19778</v>
      </c>
    </row>
    <row r="133" spans="1:9" x14ac:dyDescent="0.3">
      <c r="A133" s="11">
        <f>VLOOKUP(E133,'[1]epdf LIst'!A:C,3,FALSE)</f>
        <v>9780748698547</v>
      </c>
      <c r="B133" s="11"/>
      <c r="C133" s="11"/>
      <c r="D133" s="12" t="s">
        <v>1</v>
      </c>
      <c r="E133" s="12" t="s">
        <v>17392</v>
      </c>
      <c r="F133" s="12" t="s">
        <v>19796</v>
      </c>
      <c r="G133" s="12"/>
      <c r="H133" s="13">
        <v>2014</v>
      </c>
      <c r="I133" s="14" t="s">
        <v>19642</v>
      </c>
    </row>
    <row r="134" spans="1:9" x14ac:dyDescent="0.3">
      <c r="A134" s="11">
        <f>VLOOKUP(E134,'[1]epdf LIst'!A:C,3,FALSE)</f>
        <v>9780748698509</v>
      </c>
      <c r="B134" s="11"/>
      <c r="C134" s="11"/>
      <c r="D134" s="12" t="s">
        <v>1</v>
      </c>
      <c r="E134" s="12" t="s">
        <v>17306</v>
      </c>
      <c r="F134" s="12" t="s">
        <v>1094</v>
      </c>
      <c r="G134" s="12" t="s">
        <v>10773</v>
      </c>
      <c r="H134" s="13">
        <v>2014</v>
      </c>
      <c r="I134" s="14" t="s">
        <v>19642</v>
      </c>
    </row>
    <row r="135" spans="1:9" x14ac:dyDescent="0.3">
      <c r="A135" s="11">
        <v>9780748692699</v>
      </c>
      <c r="B135" s="11">
        <v>9780748692675</v>
      </c>
      <c r="C135" s="11"/>
      <c r="D135" s="12" t="s">
        <v>1</v>
      </c>
      <c r="E135" s="12" t="s">
        <v>19797</v>
      </c>
      <c r="F135" s="12" t="s">
        <v>17216</v>
      </c>
      <c r="G135" s="12"/>
      <c r="H135" s="13">
        <v>2015</v>
      </c>
      <c r="I135" s="14" t="s">
        <v>19642</v>
      </c>
    </row>
    <row r="136" spans="1:9" x14ac:dyDescent="0.3">
      <c r="A136" s="11">
        <v>9781474405928</v>
      </c>
      <c r="B136" s="11">
        <v>9781474405935</v>
      </c>
      <c r="C136" s="11"/>
      <c r="D136" s="12" t="s">
        <v>1</v>
      </c>
      <c r="E136" s="12" t="s">
        <v>17302</v>
      </c>
      <c r="F136" s="12" t="s">
        <v>17304</v>
      </c>
      <c r="G136" s="12" t="s">
        <v>10773</v>
      </c>
      <c r="H136" s="13">
        <v>2015</v>
      </c>
      <c r="I136" s="14" t="s">
        <v>19642</v>
      </c>
    </row>
    <row r="137" spans="1:9" x14ac:dyDescent="0.3">
      <c r="A137" s="11">
        <v>9781474401982</v>
      </c>
      <c r="B137" s="11">
        <v>9781474403399</v>
      </c>
      <c r="C137" s="11"/>
      <c r="D137" s="12" t="s">
        <v>1</v>
      </c>
      <c r="E137" s="12" t="s">
        <v>17313</v>
      </c>
      <c r="F137" s="12" t="s">
        <v>3595</v>
      </c>
      <c r="G137" s="12" t="s">
        <v>10773</v>
      </c>
      <c r="H137" s="13">
        <v>2015</v>
      </c>
      <c r="I137" s="14" t="s">
        <v>19642</v>
      </c>
    </row>
    <row r="138" spans="1:9" x14ac:dyDescent="0.3">
      <c r="A138" s="15">
        <v>9781474400268</v>
      </c>
      <c r="B138" s="16"/>
      <c r="C138" s="16"/>
      <c r="D138" s="17" t="s">
        <v>1</v>
      </c>
      <c r="E138" s="18" t="s">
        <v>19798</v>
      </c>
      <c r="F138" s="14"/>
      <c r="G138" s="14"/>
      <c r="H138" s="20">
        <v>2015</v>
      </c>
      <c r="I138" s="21" t="s">
        <v>19645</v>
      </c>
    </row>
    <row r="139" spans="1:9" x14ac:dyDescent="0.3">
      <c r="A139" s="11">
        <v>9781474412827</v>
      </c>
      <c r="B139" s="11">
        <v>9781474412810</v>
      </c>
      <c r="C139" s="11"/>
      <c r="D139" s="12" t="s">
        <v>1</v>
      </c>
      <c r="E139" s="12" t="s">
        <v>16441</v>
      </c>
      <c r="F139" s="12" t="s">
        <v>19799</v>
      </c>
      <c r="G139" s="12" t="s">
        <v>7738</v>
      </c>
      <c r="H139" s="13">
        <v>2016</v>
      </c>
      <c r="I139" s="14" t="s">
        <v>19642</v>
      </c>
    </row>
    <row r="140" spans="1:9" x14ac:dyDescent="0.3">
      <c r="A140" s="16">
        <v>9781399504621</v>
      </c>
      <c r="B140" s="25"/>
      <c r="C140" s="25"/>
      <c r="D140" s="23" t="s">
        <v>1</v>
      </c>
      <c r="E140" s="26" t="s">
        <v>16441</v>
      </c>
      <c r="F140" s="24" t="s">
        <v>16443</v>
      </c>
      <c r="G140" s="24" t="s">
        <v>7738</v>
      </c>
      <c r="H140" s="22">
        <v>2016</v>
      </c>
      <c r="I140" s="24" t="s">
        <v>19642</v>
      </c>
    </row>
    <row r="141" spans="1:9" x14ac:dyDescent="0.3">
      <c r="A141" s="11">
        <f>VLOOKUP(E141,'[1]epdf LIst'!A:C,3,FALSE)</f>
        <v>9780748696130</v>
      </c>
      <c r="B141" s="11"/>
      <c r="C141" s="11"/>
      <c r="D141" s="12" t="s">
        <v>1</v>
      </c>
      <c r="E141" s="12" t="s">
        <v>19800</v>
      </c>
      <c r="F141" s="12" t="s">
        <v>19801</v>
      </c>
      <c r="G141" s="12"/>
      <c r="H141" s="13">
        <v>2016</v>
      </c>
      <c r="I141" s="14" t="s">
        <v>19642</v>
      </c>
    </row>
    <row r="142" spans="1:9" x14ac:dyDescent="0.3">
      <c r="A142" s="11">
        <v>9780748694822</v>
      </c>
      <c r="B142" s="11">
        <v>9780748645688</v>
      </c>
      <c r="C142" s="11"/>
      <c r="D142" s="12" t="s">
        <v>1</v>
      </c>
      <c r="E142" s="12" t="s">
        <v>16841</v>
      </c>
      <c r="F142" s="12" t="s">
        <v>16843</v>
      </c>
      <c r="G142" s="12" t="s">
        <v>7187</v>
      </c>
      <c r="H142" s="13">
        <v>2016</v>
      </c>
      <c r="I142" s="14" t="s">
        <v>19642</v>
      </c>
    </row>
    <row r="143" spans="1:9" x14ac:dyDescent="0.3">
      <c r="A143" s="16">
        <v>9780748682577</v>
      </c>
      <c r="B143" s="16">
        <v>9780748682362</v>
      </c>
      <c r="C143" s="16"/>
      <c r="D143" s="17" t="s">
        <v>1</v>
      </c>
      <c r="E143" s="14" t="s">
        <v>19802</v>
      </c>
      <c r="F143" s="14" t="s">
        <v>19803</v>
      </c>
      <c r="G143" s="14" t="s">
        <v>7571</v>
      </c>
      <c r="H143" s="22">
        <v>2016</v>
      </c>
      <c r="I143" s="21" t="s">
        <v>19648</v>
      </c>
    </row>
    <row r="144" spans="1:9" x14ac:dyDescent="0.3">
      <c r="A144" s="11">
        <v>9780748698318</v>
      </c>
      <c r="B144" s="11">
        <v>9781474410922</v>
      </c>
      <c r="C144" s="11"/>
      <c r="D144" s="12" t="s">
        <v>1</v>
      </c>
      <c r="E144" s="12" t="s">
        <v>17275</v>
      </c>
      <c r="F144" s="12" t="s">
        <v>19793</v>
      </c>
      <c r="G144" s="12" t="s">
        <v>10773</v>
      </c>
      <c r="H144" s="13">
        <v>2016</v>
      </c>
      <c r="I144" s="14" t="s">
        <v>19642</v>
      </c>
    </row>
    <row r="145" spans="1:9" x14ac:dyDescent="0.3">
      <c r="A145" s="15">
        <v>9781474469869</v>
      </c>
      <c r="B145" s="16"/>
      <c r="C145" s="16"/>
      <c r="D145" s="17" t="s">
        <v>1</v>
      </c>
      <c r="E145" s="18" t="s">
        <v>14556</v>
      </c>
      <c r="F145" s="14"/>
      <c r="G145" s="14"/>
      <c r="H145" s="20">
        <v>2016</v>
      </c>
      <c r="I145" s="21" t="s">
        <v>19645</v>
      </c>
    </row>
    <row r="146" spans="1:9" x14ac:dyDescent="0.3">
      <c r="A146" s="27">
        <v>9781474411530</v>
      </c>
      <c r="B146" s="27">
        <v>9781474411523</v>
      </c>
      <c r="C146" s="27"/>
      <c r="D146" s="28" t="s">
        <v>1</v>
      </c>
      <c r="E146" s="29" t="s">
        <v>19804</v>
      </c>
      <c r="F146" s="29" t="s">
        <v>19805</v>
      </c>
      <c r="G146" s="29" t="s">
        <v>14556</v>
      </c>
      <c r="H146" s="22">
        <v>2016</v>
      </c>
      <c r="I146" s="30" t="s">
        <v>19648</v>
      </c>
    </row>
    <row r="147" spans="1:9" x14ac:dyDescent="0.3">
      <c r="A147" s="11">
        <v>9781474411776</v>
      </c>
      <c r="B147" s="11">
        <v>9781474411752</v>
      </c>
      <c r="C147" s="11"/>
      <c r="D147" s="12" t="s">
        <v>1</v>
      </c>
      <c r="E147" s="12" t="s">
        <v>17654</v>
      </c>
      <c r="F147" s="12" t="s">
        <v>17656</v>
      </c>
      <c r="G147" s="12" t="s">
        <v>7738</v>
      </c>
      <c r="H147" s="13">
        <v>2017</v>
      </c>
      <c r="I147" s="17" t="s">
        <v>19660</v>
      </c>
    </row>
    <row r="148" spans="1:9" x14ac:dyDescent="0.3">
      <c r="A148" s="11">
        <v>9781474412926</v>
      </c>
      <c r="B148" s="11">
        <v>9781474412902</v>
      </c>
      <c r="C148" s="11"/>
      <c r="D148" s="12" t="s">
        <v>1</v>
      </c>
      <c r="E148" s="12" t="s">
        <v>19806</v>
      </c>
      <c r="F148" s="12" t="s">
        <v>17385</v>
      </c>
      <c r="G148" s="12"/>
      <c r="H148" s="13">
        <v>2017</v>
      </c>
      <c r="I148" s="14" t="s">
        <v>19642</v>
      </c>
    </row>
    <row r="149" spans="1:9" x14ac:dyDescent="0.3">
      <c r="A149" s="11">
        <f>VLOOKUP(E149,'[1]epdf LIst'!A:C,3,FALSE)</f>
        <v>9780748698295</v>
      </c>
      <c r="B149" s="11"/>
      <c r="C149" s="11"/>
      <c r="D149" s="12" t="s">
        <v>1</v>
      </c>
      <c r="E149" s="12" t="s">
        <v>16853</v>
      </c>
      <c r="F149" s="12" t="s">
        <v>19807</v>
      </c>
      <c r="G149" s="12" t="s">
        <v>10773</v>
      </c>
      <c r="H149" s="13">
        <v>2017</v>
      </c>
      <c r="I149" s="14" t="s">
        <v>19642</v>
      </c>
    </row>
    <row r="150" spans="1:9" x14ac:dyDescent="0.3">
      <c r="A150" s="11">
        <f>VLOOKUP(E150,'[1]epdf LIst'!A:C,3,FALSE)</f>
        <v>9781474420266</v>
      </c>
      <c r="B150" s="11"/>
      <c r="C150" s="11"/>
      <c r="D150" s="12" t="s">
        <v>1</v>
      </c>
      <c r="E150" s="12" t="s">
        <v>17427</v>
      </c>
      <c r="F150" s="12" t="s">
        <v>17429</v>
      </c>
      <c r="G150" s="12"/>
      <c r="H150" s="13">
        <v>2017</v>
      </c>
      <c r="I150" s="14" t="s">
        <v>19642</v>
      </c>
    </row>
    <row r="151" spans="1:9" x14ac:dyDescent="0.3">
      <c r="A151" s="11">
        <f>VLOOKUP(E151,'[1]epdf LIst'!A:C,3,FALSE)</f>
        <v>9781474404259</v>
      </c>
      <c r="B151" s="11"/>
      <c r="C151" s="11"/>
      <c r="D151" s="12" t="s">
        <v>1</v>
      </c>
      <c r="E151" s="12" t="s">
        <v>17072</v>
      </c>
      <c r="F151" s="12" t="s">
        <v>19808</v>
      </c>
      <c r="G151" s="12" t="s">
        <v>7481</v>
      </c>
      <c r="H151" s="13">
        <v>2017</v>
      </c>
      <c r="I151" s="14" t="s">
        <v>19642</v>
      </c>
    </row>
    <row r="152" spans="1:9" x14ac:dyDescent="0.3">
      <c r="A152" s="16">
        <v>9781474464642</v>
      </c>
      <c r="B152" s="16">
        <v>9781474425773</v>
      </c>
      <c r="C152" s="16"/>
      <c r="D152" s="17" t="s">
        <v>1</v>
      </c>
      <c r="E152" s="14" t="s">
        <v>19809</v>
      </c>
      <c r="F152" s="14" t="s">
        <v>19810</v>
      </c>
      <c r="G152" s="14" t="s">
        <v>10151</v>
      </c>
      <c r="H152" s="22">
        <v>2017</v>
      </c>
      <c r="I152" s="21" t="s">
        <v>19648</v>
      </c>
    </row>
    <row r="153" spans="1:9" x14ac:dyDescent="0.3">
      <c r="A153" s="11">
        <v>9781474428989</v>
      </c>
      <c r="B153" s="11">
        <v>9781474428965</v>
      </c>
      <c r="C153" s="11"/>
      <c r="D153" s="12" t="s">
        <v>1</v>
      </c>
      <c r="E153" s="12" t="s">
        <v>19811</v>
      </c>
      <c r="F153" s="12" t="s">
        <v>17133</v>
      </c>
      <c r="G153" s="12" t="s">
        <v>7738</v>
      </c>
      <c r="H153" s="13">
        <v>2018</v>
      </c>
      <c r="I153" s="14" t="s">
        <v>19642</v>
      </c>
    </row>
    <row r="154" spans="1:9" x14ac:dyDescent="0.3">
      <c r="A154" s="11">
        <v>9781474421713</v>
      </c>
      <c r="B154" s="11">
        <v>9781474421706</v>
      </c>
      <c r="C154" s="11"/>
      <c r="D154" s="12" t="s">
        <v>1</v>
      </c>
      <c r="E154" s="12" t="s">
        <v>17257</v>
      </c>
      <c r="F154" s="12" t="s">
        <v>19812</v>
      </c>
      <c r="G154" s="12" t="s">
        <v>14060</v>
      </c>
      <c r="H154" s="13">
        <v>2018</v>
      </c>
      <c r="I154" s="14" t="s">
        <v>19642</v>
      </c>
    </row>
    <row r="155" spans="1:9" x14ac:dyDescent="0.3">
      <c r="A155" s="16">
        <v>9781474427586</v>
      </c>
      <c r="B155" s="16">
        <v>9781474427579</v>
      </c>
      <c r="C155" s="16"/>
      <c r="D155" s="17" t="s">
        <v>1</v>
      </c>
      <c r="E155" s="14" t="s">
        <v>821</v>
      </c>
      <c r="F155" s="14" t="s">
        <v>19813</v>
      </c>
      <c r="G155" s="14"/>
      <c r="H155" s="22">
        <v>2018</v>
      </c>
      <c r="I155" s="21" t="s">
        <v>19648</v>
      </c>
    </row>
    <row r="156" spans="1:9" x14ac:dyDescent="0.3">
      <c r="A156" s="11">
        <v>9781474420327</v>
      </c>
      <c r="B156" s="11">
        <v>9781474433563</v>
      </c>
      <c r="C156" s="11"/>
      <c r="D156" s="12" t="s">
        <v>1</v>
      </c>
      <c r="E156" s="12" t="s">
        <v>17139</v>
      </c>
      <c r="F156" s="12" t="s">
        <v>3271</v>
      </c>
      <c r="G156" s="12" t="s">
        <v>10773</v>
      </c>
      <c r="H156" s="13">
        <v>2018</v>
      </c>
      <c r="I156" s="14" t="s">
        <v>19642</v>
      </c>
    </row>
    <row r="157" spans="1:9" x14ac:dyDescent="0.3">
      <c r="A157" s="11">
        <f>VLOOKUP(E157,'[1]epdf LIst'!A:C,3,FALSE)</f>
        <v>9781474437851</v>
      </c>
      <c r="B157" s="11"/>
      <c r="C157" s="11"/>
      <c r="D157" s="12" t="s">
        <v>1</v>
      </c>
      <c r="E157" s="12" t="s">
        <v>19814</v>
      </c>
      <c r="F157" s="12" t="s">
        <v>19815</v>
      </c>
      <c r="G157" s="12"/>
      <c r="H157" s="13">
        <v>2018</v>
      </c>
      <c r="I157" s="14" t="s">
        <v>19642</v>
      </c>
    </row>
    <row r="158" spans="1:9" x14ac:dyDescent="0.3">
      <c r="A158" s="16">
        <v>9780748669752</v>
      </c>
      <c r="B158" s="16">
        <v>9780748669745</v>
      </c>
      <c r="C158" s="16"/>
      <c r="D158" s="17" t="s">
        <v>1</v>
      </c>
      <c r="E158" s="14" t="s">
        <v>19816</v>
      </c>
      <c r="F158" s="14" t="s">
        <v>19817</v>
      </c>
      <c r="G158" s="14" t="s">
        <v>13595</v>
      </c>
      <c r="H158" s="22">
        <v>2018</v>
      </c>
      <c r="I158" s="21" t="s">
        <v>19648</v>
      </c>
    </row>
    <row r="159" spans="1:9" x14ac:dyDescent="0.3">
      <c r="A159" s="11">
        <f>VLOOKUP(E159,'[1]epdf LIst'!A:C,3,FALSE)</f>
        <v>9781474470872</v>
      </c>
      <c r="B159" s="11"/>
      <c r="C159" s="11"/>
      <c r="D159" s="12" t="s">
        <v>1</v>
      </c>
      <c r="E159" s="12" t="s">
        <v>19818</v>
      </c>
      <c r="F159" s="12" t="s">
        <v>16859</v>
      </c>
      <c r="G159" s="12"/>
      <c r="H159" s="13">
        <v>2019</v>
      </c>
      <c r="I159" s="14" t="s">
        <v>19642</v>
      </c>
    </row>
    <row r="160" spans="1:9" x14ac:dyDescent="0.3">
      <c r="A160" s="11">
        <v>9781474405232</v>
      </c>
      <c r="B160" s="11">
        <v>9781474405218</v>
      </c>
      <c r="C160" s="11"/>
      <c r="D160" s="12" t="s">
        <v>1</v>
      </c>
      <c r="E160" s="12" t="s">
        <v>19819</v>
      </c>
      <c r="F160" s="12" t="s">
        <v>13662</v>
      </c>
      <c r="G160" s="12"/>
      <c r="H160" s="13">
        <v>2019</v>
      </c>
      <c r="I160" s="14" t="s">
        <v>19642</v>
      </c>
    </row>
    <row r="161" spans="1:9" x14ac:dyDescent="0.3">
      <c r="A161" s="11">
        <f>VLOOKUP(E161,'[1]epdf LIst'!A:C,3,FALSE)</f>
        <v>9781474471459</v>
      </c>
      <c r="B161" s="11"/>
      <c r="C161" s="11"/>
      <c r="D161" s="12" t="s">
        <v>1</v>
      </c>
      <c r="E161" s="12" t="s">
        <v>17408</v>
      </c>
      <c r="F161" s="12" t="s">
        <v>17410</v>
      </c>
      <c r="G161" s="12" t="s">
        <v>7950</v>
      </c>
      <c r="H161" s="13">
        <v>2019</v>
      </c>
      <c r="I161" s="14" t="s">
        <v>19642</v>
      </c>
    </row>
    <row r="162" spans="1:9" x14ac:dyDescent="0.3">
      <c r="A162" s="11">
        <v>9781474433624</v>
      </c>
      <c r="B162" s="11">
        <v>9781474433600</v>
      </c>
      <c r="C162" s="11"/>
      <c r="D162" s="12" t="s">
        <v>1</v>
      </c>
      <c r="E162" s="12" t="s">
        <v>17298</v>
      </c>
      <c r="F162" s="12" t="s">
        <v>17300</v>
      </c>
      <c r="G162" s="12" t="s">
        <v>14060</v>
      </c>
      <c r="H162" s="13">
        <v>2019</v>
      </c>
      <c r="I162" s="14" t="s">
        <v>19642</v>
      </c>
    </row>
    <row r="163" spans="1:9" x14ac:dyDescent="0.3">
      <c r="A163" s="11">
        <f>VLOOKUP(E163,'[1]epdf LIst'!A:C,3,FALSE)</f>
        <v>9781474470285</v>
      </c>
      <c r="B163" s="11"/>
      <c r="C163" s="11"/>
      <c r="D163" s="12" t="s">
        <v>1</v>
      </c>
      <c r="E163" s="12" t="s">
        <v>17380</v>
      </c>
      <c r="F163" s="12" t="s">
        <v>17304</v>
      </c>
      <c r="G163" s="12" t="s">
        <v>10773</v>
      </c>
      <c r="H163" s="13">
        <v>2019</v>
      </c>
      <c r="I163" s="14" t="s">
        <v>19642</v>
      </c>
    </row>
    <row r="164" spans="1:9" x14ac:dyDescent="0.3">
      <c r="A164" s="11">
        <f>VLOOKUP(E164,'[1]epdf LIst'!A:C,3,FALSE)</f>
        <v>9781474472807</v>
      </c>
      <c r="B164" s="11"/>
      <c r="C164" s="11"/>
      <c r="D164" s="12" t="s">
        <v>1</v>
      </c>
      <c r="E164" s="12" t="s">
        <v>17218</v>
      </c>
      <c r="F164" s="12" t="s">
        <v>17220</v>
      </c>
      <c r="G164" s="12" t="s">
        <v>10773</v>
      </c>
      <c r="H164" s="13">
        <v>2019</v>
      </c>
      <c r="I164" s="14" t="s">
        <v>19642</v>
      </c>
    </row>
    <row r="165" spans="1:9" x14ac:dyDescent="0.3">
      <c r="A165" s="11">
        <f>VLOOKUP(E165,'[1]epdf LIst'!A:C,3,FALSE)</f>
        <v>9781474470353</v>
      </c>
      <c r="B165" s="11"/>
      <c r="C165" s="11"/>
      <c r="D165" s="12" t="s">
        <v>1</v>
      </c>
      <c r="E165" s="12" t="s">
        <v>17116</v>
      </c>
      <c r="F165" s="12" t="s">
        <v>17118</v>
      </c>
      <c r="G165" s="12" t="s">
        <v>7187</v>
      </c>
      <c r="H165" s="13">
        <v>2019</v>
      </c>
      <c r="I165" s="14" t="s">
        <v>19642</v>
      </c>
    </row>
    <row r="166" spans="1:9" x14ac:dyDescent="0.3">
      <c r="A166" s="11">
        <f>VLOOKUP(E166,'[1]epdf LIst'!A:C,3,FALSE)</f>
        <v>9781474468176</v>
      </c>
      <c r="B166" s="11"/>
      <c r="C166" s="11"/>
      <c r="D166" s="12" t="s">
        <v>1</v>
      </c>
      <c r="E166" s="12" t="s">
        <v>19820</v>
      </c>
      <c r="F166" s="12" t="s">
        <v>2874</v>
      </c>
      <c r="G166" s="12"/>
      <c r="H166" s="13">
        <v>2019</v>
      </c>
      <c r="I166" s="14" t="s">
        <v>19642</v>
      </c>
    </row>
    <row r="167" spans="1:9" x14ac:dyDescent="0.3">
      <c r="A167" s="16">
        <v>9781474404518</v>
      </c>
      <c r="B167" s="16"/>
      <c r="C167" s="16"/>
      <c r="D167" s="17" t="s">
        <v>1</v>
      </c>
      <c r="E167" s="14" t="s">
        <v>19821</v>
      </c>
      <c r="F167" s="14" t="s">
        <v>19822</v>
      </c>
      <c r="G167" s="14"/>
      <c r="H167" s="22">
        <v>2019</v>
      </c>
      <c r="I167" s="21" t="s">
        <v>19648</v>
      </c>
    </row>
    <row r="168" spans="1:9" x14ac:dyDescent="0.3">
      <c r="A168" s="11">
        <v>9781474466813</v>
      </c>
      <c r="B168" s="11">
        <v>9781474466790</v>
      </c>
      <c r="C168" s="11"/>
      <c r="D168" s="12" t="s">
        <v>1</v>
      </c>
      <c r="E168" s="12" t="s">
        <v>17249</v>
      </c>
      <c r="F168" s="12" t="s">
        <v>17251</v>
      </c>
      <c r="G168" s="12" t="s">
        <v>6923</v>
      </c>
      <c r="H168" s="13">
        <v>2020</v>
      </c>
      <c r="I168" s="14" t="s">
        <v>19642</v>
      </c>
    </row>
    <row r="169" spans="1:9" x14ac:dyDescent="0.3">
      <c r="A169" s="11">
        <v>9781474463706</v>
      </c>
      <c r="B169" s="11">
        <v>9781474463683</v>
      </c>
      <c r="C169" s="11"/>
      <c r="D169" s="12" t="s">
        <v>1</v>
      </c>
      <c r="E169" s="12" t="s">
        <v>19823</v>
      </c>
      <c r="F169" s="12" t="s">
        <v>17106</v>
      </c>
      <c r="G169" s="12" t="s">
        <v>7738</v>
      </c>
      <c r="H169" s="13">
        <v>2020</v>
      </c>
      <c r="I169" s="14" t="s">
        <v>19642</v>
      </c>
    </row>
    <row r="170" spans="1:9" x14ac:dyDescent="0.3">
      <c r="A170" s="16">
        <v>9781474457514</v>
      </c>
      <c r="B170" s="16">
        <v>9781474457491</v>
      </c>
      <c r="C170" s="16"/>
      <c r="D170" s="17" t="s">
        <v>1</v>
      </c>
      <c r="E170" s="14" t="s">
        <v>19393</v>
      </c>
      <c r="F170" s="14" t="s">
        <v>19824</v>
      </c>
      <c r="G170" s="14"/>
      <c r="H170" s="22">
        <v>2020</v>
      </c>
      <c r="I170" s="21" t="s">
        <v>19648</v>
      </c>
    </row>
    <row r="171" spans="1:9" x14ac:dyDescent="0.3">
      <c r="A171" s="11">
        <f>VLOOKUP(E171,'[1]epdf LIst'!A:C,3,FALSE)</f>
        <v>9781474483704</v>
      </c>
      <c r="B171" s="11"/>
      <c r="C171" s="11"/>
      <c r="D171" s="12" t="s">
        <v>1</v>
      </c>
      <c r="E171" s="12" t="s">
        <v>19355</v>
      </c>
      <c r="F171" s="12" t="s">
        <v>19825</v>
      </c>
      <c r="G171" s="12" t="s">
        <v>17292</v>
      </c>
      <c r="H171" s="13">
        <v>2020</v>
      </c>
      <c r="I171" s="14" t="s">
        <v>19642</v>
      </c>
    </row>
    <row r="172" spans="1:9" x14ac:dyDescent="0.3">
      <c r="A172" s="11">
        <f>VLOOKUP(E172,'[1]epdf LIst'!A:C,3,FALSE)</f>
        <v>9781474485302</v>
      </c>
      <c r="B172" s="11"/>
      <c r="C172" s="11"/>
      <c r="D172" s="12" t="s">
        <v>1</v>
      </c>
      <c r="E172" s="12" t="s">
        <v>19826</v>
      </c>
      <c r="F172" s="12" t="s">
        <v>19827</v>
      </c>
      <c r="G172" s="12" t="s">
        <v>17292</v>
      </c>
      <c r="H172" s="13">
        <v>2020</v>
      </c>
      <c r="I172" s="14" t="s">
        <v>19642</v>
      </c>
    </row>
    <row r="173" spans="1:9" x14ac:dyDescent="0.3">
      <c r="A173" s="11">
        <f>VLOOKUP(E173,'[1]epdf LIst'!A:C,3,FALSE)</f>
        <v>9781474484442</v>
      </c>
      <c r="B173" s="11"/>
      <c r="C173" s="11"/>
      <c r="D173" s="12" t="s">
        <v>1</v>
      </c>
      <c r="E173" s="12" t="s">
        <v>19828</v>
      </c>
      <c r="F173" s="12" t="s">
        <v>18556</v>
      </c>
      <c r="G173" s="12" t="s">
        <v>17292</v>
      </c>
      <c r="H173" s="13">
        <v>2020</v>
      </c>
      <c r="I173" s="14" t="s">
        <v>19642</v>
      </c>
    </row>
    <row r="174" spans="1:9" x14ac:dyDescent="0.3">
      <c r="A174" s="11">
        <f>VLOOKUP(E174,'[1]epdf LIst'!A:C,3,FALSE)</f>
        <v>9781474483629</v>
      </c>
      <c r="B174" s="11"/>
      <c r="C174" s="11"/>
      <c r="D174" s="12" t="s">
        <v>1</v>
      </c>
      <c r="E174" s="12" t="s">
        <v>19363</v>
      </c>
      <c r="F174" s="12" t="s">
        <v>19829</v>
      </c>
      <c r="G174" s="12" t="s">
        <v>17292</v>
      </c>
      <c r="H174" s="13">
        <v>2020</v>
      </c>
      <c r="I174" s="14" t="s">
        <v>19642</v>
      </c>
    </row>
    <row r="175" spans="1:9" x14ac:dyDescent="0.3">
      <c r="A175" s="11">
        <f>VLOOKUP(E175,'[1]epdf LIst'!A:C,3,FALSE)</f>
        <v>9781474483667</v>
      </c>
      <c r="B175" s="11"/>
      <c r="C175" s="11"/>
      <c r="D175" s="12" t="s">
        <v>1</v>
      </c>
      <c r="E175" s="12" t="s">
        <v>19830</v>
      </c>
      <c r="F175" s="12" t="s">
        <v>19831</v>
      </c>
      <c r="G175" s="12" t="s">
        <v>17292</v>
      </c>
      <c r="H175" s="13">
        <v>2020</v>
      </c>
      <c r="I175" s="14" t="s">
        <v>19642</v>
      </c>
    </row>
    <row r="176" spans="1:9" x14ac:dyDescent="0.3">
      <c r="A176" s="11">
        <f>VLOOKUP(E176,'[1]epdf LIst'!A:C,3,FALSE)</f>
        <v>9780748698110</v>
      </c>
      <c r="B176" s="11"/>
      <c r="C176" s="11"/>
      <c r="D176" s="12" t="s">
        <v>1</v>
      </c>
      <c r="E176" s="12" t="s">
        <v>17271</v>
      </c>
      <c r="F176" s="12" t="s">
        <v>19832</v>
      </c>
      <c r="G176" s="12" t="s">
        <v>10773</v>
      </c>
      <c r="H176" s="13">
        <v>2020</v>
      </c>
      <c r="I176" s="14" t="s">
        <v>19642</v>
      </c>
    </row>
    <row r="177" spans="1:9" x14ac:dyDescent="0.3">
      <c r="A177" s="16">
        <v>9780748695997</v>
      </c>
      <c r="B177" s="16">
        <v>9780748695980</v>
      </c>
      <c r="C177" s="16"/>
      <c r="D177" s="17" t="s">
        <v>1</v>
      </c>
      <c r="E177" s="14" t="s">
        <v>19302</v>
      </c>
      <c r="F177" s="14" t="s">
        <v>19833</v>
      </c>
      <c r="G177" s="14" t="s">
        <v>12993</v>
      </c>
      <c r="H177" s="22">
        <v>2020</v>
      </c>
      <c r="I177" s="21" t="s">
        <v>19648</v>
      </c>
    </row>
    <row r="178" spans="1:9" x14ac:dyDescent="0.3">
      <c r="A178" s="11">
        <v>9781474463133</v>
      </c>
      <c r="B178" s="11">
        <v>9781474463119</v>
      </c>
      <c r="C178" s="11"/>
      <c r="D178" s="12" t="s">
        <v>1</v>
      </c>
      <c r="E178" s="12" t="s">
        <v>19834</v>
      </c>
      <c r="F178" s="12" t="s">
        <v>14737</v>
      </c>
      <c r="G178" s="12"/>
      <c r="H178" s="13">
        <v>2020</v>
      </c>
      <c r="I178" s="14" t="s">
        <v>19642</v>
      </c>
    </row>
    <row r="179" spans="1:9" x14ac:dyDescent="0.3">
      <c r="A179" s="16">
        <v>9781474478007</v>
      </c>
      <c r="B179" s="16">
        <v>9781474477987</v>
      </c>
      <c r="C179" s="16"/>
      <c r="D179" s="17" t="s">
        <v>1</v>
      </c>
      <c r="E179" s="14" t="s">
        <v>19835</v>
      </c>
      <c r="F179" s="14" t="s">
        <v>19836</v>
      </c>
      <c r="G179" s="14"/>
      <c r="H179" s="22">
        <v>2020</v>
      </c>
      <c r="I179" s="21" t="s">
        <v>19648</v>
      </c>
    </row>
    <row r="180" spans="1:9" x14ac:dyDescent="0.3">
      <c r="A180" s="11">
        <f>VLOOKUP(E180,'[1]epdf LIst'!A:C,3,FALSE)</f>
        <v>9781474475501</v>
      </c>
      <c r="B180" s="11"/>
      <c r="C180" s="11"/>
      <c r="D180" s="12" t="s">
        <v>1</v>
      </c>
      <c r="E180" s="12" t="s">
        <v>17404</v>
      </c>
      <c r="F180" s="12" t="s">
        <v>19837</v>
      </c>
      <c r="G180" s="12"/>
      <c r="H180" s="13">
        <v>2020</v>
      </c>
      <c r="I180" s="14" t="s">
        <v>19642</v>
      </c>
    </row>
    <row r="181" spans="1:9" x14ac:dyDescent="0.3">
      <c r="A181" s="11">
        <v>9781474419741</v>
      </c>
      <c r="B181" s="11">
        <v>9781474419727</v>
      </c>
      <c r="C181" s="11"/>
      <c r="D181" s="12" t="s">
        <v>1</v>
      </c>
      <c r="E181" s="12" t="s">
        <v>17268</v>
      </c>
      <c r="F181" s="12" t="s">
        <v>2527</v>
      </c>
      <c r="G181" s="12" t="s">
        <v>10773</v>
      </c>
      <c r="H181" s="13">
        <v>2020</v>
      </c>
      <c r="I181" s="14" t="s">
        <v>19642</v>
      </c>
    </row>
    <row r="182" spans="1:9" x14ac:dyDescent="0.3">
      <c r="A182" s="16">
        <v>9781399504171</v>
      </c>
      <c r="B182" s="16"/>
      <c r="C182" s="16"/>
      <c r="D182" s="12" t="s">
        <v>1</v>
      </c>
      <c r="E182" s="23" t="s">
        <v>19367</v>
      </c>
      <c r="F182" s="14" t="s">
        <v>19838</v>
      </c>
      <c r="G182" s="14" t="s">
        <v>18248</v>
      </c>
      <c r="H182" s="22">
        <v>2020</v>
      </c>
      <c r="I182" s="17" t="s">
        <v>19660</v>
      </c>
    </row>
    <row r="183" spans="1:9" x14ac:dyDescent="0.3">
      <c r="A183" s="16">
        <v>9781474499217</v>
      </c>
      <c r="B183" s="16">
        <v>9781399506786</v>
      </c>
      <c r="C183" s="16"/>
      <c r="D183" s="17" t="s">
        <v>1</v>
      </c>
      <c r="E183" s="14" t="s">
        <v>19839</v>
      </c>
      <c r="F183" s="14" t="s">
        <v>19840</v>
      </c>
      <c r="G183" s="12" t="s">
        <v>17292</v>
      </c>
      <c r="H183" s="22">
        <v>2021</v>
      </c>
      <c r="I183" s="14" t="s">
        <v>19642</v>
      </c>
    </row>
    <row r="184" spans="1:9" x14ac:dyDescent="0.3">
      <c r="A184" s="16">
        <v>9781474486804</v>
      </c>
      <c r="B184" s="16"/>
      <c r="C184" s="16"/>
      <c r="D184" s="23" t="s">
        <v>1</v>
      </c>
      <c r="E184" s="24" t="s">
        <v>17281</v>
      </c>
      <c r="F184" s="24" t="s">
        <v>17283</v>
      </c>
      <c r="G184" s="24"/>
      <c r="H184" s="22">
        <v>2021</v>
      </c>
      <c r="I184" s="24" t="s">
        <v>19642</v>
      </c>
    </row>
    <row r="185" spans="1:9" x14ac:dyDescent="0.3">
      <c r="A185" s="11">
        <f>VLOOKUP(E185,'[1]epdf LIst'!A:C,3,FALSE)</f>
        <v>9781474459785</v>
      </c>
      <c r="B185" s="11"/>
      <c r="C185" s="11"/>
      <c r="D185" s="12" t="s">
        <v>1</v>
      </c>
      <c r="E185" s="12" t="s">
        <v>17112</v>
      </c>
      <c r="F185" s="12" t="s">
        <v>17114</v>
      </c>
      <c r="G185" s="12" t="s">
        <v>14060</v>
      </c>
      <c r="H185" s="13">
        <v>2021</v>
      </c>
      <c r="I185" s="14" t="s">
        <v>19642</v>
      </c>
    </row>
    <row r="186" spans="1:9" x14ac:dyDescent="0.3">
      <c r="A186" s="11">
        <f>VLOOKUP(E186,'[1]epdf LIst'!A:C,3,FALSE)</f>
        <v>9781474477918</v>
      </c>
      <c r="B186" s="11"/>
      <c r="C186" s="11"/>
      <c r="D186" s="12" t="s">
        <v>1</v>
      </c>
      <c r="E186" s="12" t="s">
        <v>16845</v>
      </c>
      <c r="F186" s="12" t="s">
        <v>3021</v>
      </c>
      <c r="G186" s="12" t="s">
        <v>7738</v>
      </c>
      <c r="H186" s="13">
        <v>2021</v>
      </c>
      <c r="I186" s="14" t="s">
        <v>19642</v>
      </c>
    </row>
    <row r="187" spans="1:9" x14ac:dyDescent="0.3">
      <c r="A187" s="11">
        <f>VLOOKUP(E187,'[1]epdf LIst'!A:C,3,FALSE)</f>
        <v>9781474498593</v>
      </c>
      <c r="B187" s="11"/>
      <c r="C187" s="11"/>
      <c r="D187" s="12" t="s">
        <v>1</v>
      </c>
      <c r="E187" s="12" t="s">
        <v>17289</v>
      </c>
      <c r="F187" s="12" t="s">
        <v>17291</v>
      </c>
      <c r="G187" s="12" t="s">
        <v>17292</v>
      </c>
      <c r="H187" s="13">
        <v>2021</v>
      </c>
      <c r="I187" s="14" t="s">
        <v>19642</v>
      </c>
    </row>
    <row r="188" spans="1:9" x14ac:dyDescent="0.3">
      <c r="A188" s="11">
        <f>VLOOKUP(E188,'[1]epdf LIst'!A:C,3,FALSE)</f>
        <v>9781474498548</v>
      </c>
      <c r="B188" s="11"/>
      <c r="C188" s="11"/>
      <c r="D188" s="12" t="s">
        <v>1</v>
      </c>
      <c r="E188" s="12" t="s">
        <v>19841</v>
      </c>
      <c r="F188" s="12" t="s">
        <v>19827</v>
      </c>
      <c r="G188" s="12" t="s">
        <v>17292</v>
      </c>
      <c r="H188" s="13">
        <v>2021</v>
      </c>
      <c r="I188" s="14" t="s">
        <v>19642</v>
      </c>
    </row>
    <row r="189" spans="1:9" x14ac:dyDescent="0.3">
      <c r="A189" s="11">
        <f>VLOOKUP(E189,'[1]epdf LIst'!A:C,3,FALSE)</f>
        <v>9781474421904</v>
      </c>
      <c r="B189" s="11"/>
      <c r="C189" s="11"/>
      <c r="D189" s="12" t="s">
        <v>1</v>
      </c>
      <c r="E189" s="12" t="s">
        <v>19842</v>
      </c>
      <c r="F189" s="12" t="s">
        <v>18556</v>
      </c>
      <c r="G189" s="12" t="s">
        <v>17292</v>
      </c>
      <c r="H189" s="13">
        <v>2021</v>
      </c>
      <c r="I189" s="14" t="s">
        <v>19642</v>
      </c>
    </row>
    <row r="190" spans="1:9" x14ac:dyDescent="0.3">
      <c r="A190" s="11">
        <f>VLOOKUP(E190,'[1]epdf LIst'!A:C,3,FALSE)</f>
        <v>9781474498579</v>
      </c>
      <c r="B190" s="11"/>
      <c r="C190" s="11"/>
      <c r="D190" s="12" t="s">
        <v>1</v>
      </c>
      <c r="E190" s="12" t="s">
        <v>19843</v>
      </c>
      <c r="F190" s="12" t="s">
        <v>19831</v>
      </c>
      <c r="G190" s="12" t="s">
        <v>17292</v>
      </c>
      <c r="H190" s="13">
        <v>2021</v>
      </c>
      <c r="I190" s="14" t="s">
        <v>19642</v>
      </c>
    </row>
    <row r="191" spans="1:9" x14ac:dyDescent="0.3">
      <c r="A191" s="16">
        <v>9781474462211</v>
      </c>
      <c r="B191" s="16">
        <v>9781474462198</v>
      </c>
      <c r="C191" s="16"/>
      <c r="D191" s="17" t="s">
        <v>1</v>
      </c>
      <c r="E191" s="14" t="s">
        <v>19844</v>
      </c>
      <c r="F191" s="14" t="s">
        <v>19845</v>
      </c>
      <c r="G191" s="14"/>
      <c r="H191" s="22">
        <v>2021</v>
      </c>
      <c r="I191" s="14" t="s">
        <v>19642</v>
      </c>
    </row>
    <row r="192" spans="1:9" x14ac:dyDescent="0.3">
      <c r="A192" s="11">
        <v>9781474466615</v>
      </c>
      <c r="B192" s="11">
        <v>9781474466592</v>
      </c>
      <c r="C192" s="11"/>
      <c r="D192" s="12" t="s">
        <v>1</v>
      </c>
      <c r="E192" s="12" t="s">
        <v>17513</v>
      </c>
      <c r="F192" s="12" t="s">
        <v>2527</v>
      </c>
      <c r="G192" s="12" t="s">
        <v>10773</v>
      </c>
      <c r="H192" s="13">
        <v>2021</v>
      </c>
      <c r="I192" s="17" t="s">
        <v>19660</v>
      </c>
    </row>
    <row r="193" spans="1:9" x14ac:dyDescent="0.3">
      <c r="A193" s="11">
        <f>VLOOKUP(E193,'[1]epdf LIst'!A:C,3,FALSE)</f>
        <v>9781474462457</v>
      </c>
      <c r="B193" s="11"/>
      <c r="C193" s="11"/>
      <c r="D193" s="12" t="s">
        <v>1</v>
      </c>
      <c r="E193" s="12" t="s">
        <v>19846</v>
      </c>
      <c r="F193" s="12" t="s">
        <v>19847</v>
      </c>
      <c r="G193" s="12"/>
      <c r="H193" s="13">
        <v>2021</v>
      </c>
      <c r="I193" s="14" t="s">
        <v>19642</v>
      </c>
    </row>
    <row r="194" spans="1:9" x14ac:dyDescent="0.3">
      <c r="A194" s="16">
        <v>9781474490368</v>
      </c>
      <c r="B194" s="16">
        <v>9781474483643</v>
      </c>
      <c r="C194" s="16"/>
      <c r="D194" s="17" t="s">
        <v>1</v>
      </c>
      <c r="E194" s="14" t="s">
        <v>17335</v>
      </c>
      <c r="F194" s="14" t="s">
        <v>19848</v>
      </c>
      <c r="G194" s="14"/>
      <c r="H194" s="22">
        <v>2021</v>
      </c>
      <c r="I194" s="14" t="s">
        <v>19642</v>
      </c>
    </row>
    <row r="195" spans="1:9" x14ac:dyDescent="0.3">
      <c r="A195" s="11">
        <f>VLOOKUP(E195,'[1]epdf LIst'!A:C,3,FALSE)</f>
        <v>9781474482776</v>
      </c>
      <c r="B195" s="11"/>
      <c r="C195" s="11"/>
      <c r="D195" s="12" t="s">
        <v>1</v>
      </c>
      <c r="E195" s="12" t="s">
        <v>19849</v>
      </c>
      <c r="F195" s="12" t="s">
        <v>19850</v>
      </c>
      <c r="G195" s="12"/>
      <c r="H195" s="13">
        <v>2021</v>
      </c>
      <c r="I195" s="14" t="s">
        <v>19642</v>
      </c>
    </row>
    <row r="196" spans="1:9" x14ac:dyDescent="0.3">
      <c r="A196" s="11">
        <v>9781474461290</v>
      </c>
      <c r="B196" s="11">
        <v>9781474461276</v>
      </c>
      <c r="C196" s="11"/>
      <c r="D196" s="12" t="s">
        <v>1</v>
      </c>
      <c r="E196" s="12" t="s">
        <v>17658</v>
      </c>
      <c r="F196" s="12" t="s">
        <v>17660</v>
      </c>
      <c r="G196" s="12" t="s">
        <v>10773</v>
      </c>
      <c r="H196" s="13">
        <v>2021</v>
      </c>
      <c r="I196" s="17" t="s">
        <v>19660</v>
      </c>
    </row>
    <row r="197" spans="1:9" x14ac:dyDescent="0.3">
      <c r="A197" s="11">
        <v>9781474466486</v>
      </c>
      <c r="B197" s="11">
        <v>9781474466462</v>
      </c>
      <c r="C197" s="11"/>
      <c r="D197" s="12" t="s">
        <v>1</v>
      </c>
      <c r="E197" s="12" t="s">
        <v>17347</v>
      </c>
      <c r="F197" s="12" t="s">
        <v>17349</v>
      </c>
      <c r="G197" s="12" t="s">
        <v>10773</v>
      </c>
      <c r="H197" s="13">
        <v>2021</v>
      </c>
      <c r="I197" s="14" t="s">
        <v>19642</v>
      </c>
    </row>
    <row r="198" spans="1:9" x14ac:dyDescent="0.3">
      <c r="A198" s="16">
        <v>9781838382216</v>
      </c>
      <c r="B198" s="16"/>
      <c r="C198" s="16"/>
      <c r="D198" s="23" t="s">
        <v>1</v>
      </c>
      <c r="E198" s="24" t="s">
        <v>13807</v>
      </c>
      <c r="F198" s="24"/>
      <c r="G198" s="24"/>
      <c r="H198" s="22">
        <v>2021</v>
      </c>
      <c r="I198" s="24" t="s">
        <v>19660</v>
      </c>
    </row>
    <row r="199" spans="1:9" x14ac:dyDescent="0.3">
      <c r="A199" s="11">
        <v>9781474474108</v>
      </c>
      <c r="B199" s="11">
        <v>9781474474085</v>
      </c>
      <c r="C199" s="11"/>
      <c r="D199" s="12" t="s">
        <v>1</v>
      </c>
      <c r="E199" s="12" t="s">
        <v>17387</v>
      </c>
      <c r="F199" s="12" t="s">
        <v>3021</v>
      </c>
      <c r="G199" s="12"/>
      <c r="H199" s="13">
        <v>2021</v>
      </c>
      <c r="I199" s="14" t="s">
        <v>19642</v>
      </c>
    </row>
    <row r="200" spans="1:9" x14ac:dyDescent="0.3">
      <c r="A200" s="16">
        <v>9781474488716</v>
      </c>
      <c r="B200" s="16"/>
      <c r="C200" s="16"/>
      <c r="D200" s="23" t="s">
        <v>1</v>
      </c>
      <c r="E200" s="24" t="s">
        <v>17340</v>
      </c>
      <c r="F200" s="24" t="s">
        <v>17342</v>
      </c>
      <c r="G200" s="24"/>
      <c r="H200" s="22">
        <v>2022</v>
      </c>
      <c r="I200" s="24" t="s">
        <v>19642</v>
      </c>
    </row>
    <row r="201" spans="1:9" x14ac:dyDescent="0.3">
      <c r="A201" s="16">
        <v>9780748635658</v>
      </c>
      <c r="B201" s="16"/>
      <c r="C201" s="16"/>
      <c r="D201" s="23" t="s">
        <v>1</v>
      </c>
      <c r="E201" s="24" t="s">
        <v>17240</v>
      </c>
      <c r="F201" s="24" t="s">
        <v>17242</v>
      </c>
      <c r="G201" s="24"/>
      <c r="H201" s="22">
        <v>2022</v>
      </c>
      <c r="I201" s="24" t="s">
        <v>19642</v>
      </c>
    </row>
    <row r="202" spans="1:9" x14ac:dyDescent="0.3">
      <c r="A202" s="16">
        <v>9781399514651</v>
      </c>
      <c r="B202" s="16"/>
      <c r="C202" s="16"/>
      <c r="D202" s="12" t="s">
        <v>1</v>
      </c>
      <c r="E202" s="23" t="s">
        <v>18727</v>
      </c>
      <c r="F202" s="14" t="s">
        <v>19827</v>
      </c>
      <c r="G202" s="14" t="s">
        <v>17292</v>
      </c>
      <c r="H202" s="22">
        <v>2022</v>
      </c>
      <c r="I202" s="17" t="s">
        <v>19660</v>
      </c>
    </row>
    <row r="203" spans="1:9" x14ac:dyDescent="0.3">
      <c r="A203" s="16">
        <v>9781399506762</v>
      </c>
      <c r="B203" s="16"/>
      <c r="C203" s="16"/>
      <c r="D203" s="12" t="s">
        <v>1</v>
      </c>
      <c r="E203" s="23" t="s">
        <v>18553</v>
      </c>
      <c r="F203" s="14" t="s">
        <v>18556</v>
      </c>
      <c r="G203" s="14" t="s">
        <v>17292</v>
      </c>
      <c r="H203" s="22">
        <v>2022</v>
      </c>
      <c r="I203" s="17" t="s">
        <v>19660</v>
      </c>
    </row>
    <row r="204" spans="1:9" x14ac:dyDescent="0.3">
      <c r="A204" s="16">
        <v>9781399506793</v>
      </c>
      <c r="B204" s="16"/>
      <c r="C204" s="16"/>
      <c r="D204" s="12" t="s">
        <v>1</v>
      </c>
      <c r="E204" s="23" t="s">
        <v>18553</v>
      </c>
      <c r="F204" s="14" t="s">
        <v>18556</v>
      </c>
      <c r="G204" s="14" t="s">
        <v>17292</v>
      </c>
      <c r="H204" s="22">
        <v>2022</v>
      </c>
      <c r="I204" s="17" t="s">
        <v>19660</v>
      </c>
    </row>
    <row r="205" spans="1:9" x14ac:dyDescent="0.3">
      <c r="A205" s="31">
        <v>9781399514620</v>
      </c>
      <c r="B205" s="31"/>
      <c r="C205" s="31"/>
      <c r="D205" s="32" t="s">
        <v>1</v>
      </c>
      <c r="E205" s="33" t="s">
        <v>19851</v>
      </c>
      <c r="F205" s="34" t="s">
        <v>19852</v>
      </c>
      <c r="G205" s="34" t="s">
        <v>17292</v>
      </c>
      <c r="H205" s="35">
        <v>2022</v>
      </c>
      <c r="I205" s="36" t="s">
        <v>19660</v>
      </c>
    </row>
    <row r="206" spans="1:9" x14ac:dyDescent="0.3">
      <c r="A206" s="16">
        <v>9781474494670</v>
      </c>
      <c r="B206" s="16"/>
      <c r="C206" s="16"/>
      <c r="D206" s="23" t="s">
        <v>1</v>
      </c>
      <c r="E206" s="24" t="s">
        <v>17400</v>
      </c>
      <c r="F206" s="24" t="s">
        <v>17402</v>
      </c>
      <c r="G206" s="24"/>
      <c r="H206" s="22">
        <v>2022</v>
      </c>
      <c r="I206" s="37" t="s">
        <v>19642</v>
      </c>
    </row>
    <row r="207" spans="1:9" x14ac:dyDescent="0.3">
      <c r="A207" s="16">
        <v>9781474477185</v>
      </c>
      <c r="B207" s="16"/>
      <c r="C207" s="16"/>
      <c r="D207" s="23" t="s">
        <v>1</v>
      </c>
      <c r="E207" s="24" t="s">
        <v>17222</v>
      </c>
      <c r="F207" s="24" t="s">
        <v>17225</v>
      </c>
      <c r="G207" s="24"/>
      <c r="H207" s="22">
        <v>2022</v>
      </c>
      <c r="I207" s="24" t="s">
        <v>19642</v>
      </c>
    </row>
    <row r="208" spans="1:9" x14ac:dyDescent="0.3">
      <c r="A208" s="16">
        <v>9781474494205</v>
      </c>
      <c r="B208" s="16"/>
      <c r="C208" s="16"/>
      <c r="D208" s="23" t="s">
        <v>1</v>
      </c>
      <c r="E208" s="24" t="s">
        <v>17404</v>
      </c>
      <c r="F208" s="24" t="s">
        <v>17406</v>
      </c>
      <c r="G208" s="24"/>
      <c r="H208" s="22">
        <v>2022</v>
      </c>
      <c r="I208" s="37" t="s">
        <v>19642</v>
      </c>
    </row>
    <row r="209" spans="1:9" x14ac:dyDescent="0.3">
      <c r="A209" s="16"/>
      <c r="B209" s="16"/>
      <c r="C209" s="16">
        <v>9781399501002</v>
      </c>
      <c r="D209" s="23" t="s">
        <v>1</v>
      </c>
      <c r="E209" s="24" t="s">
        <v>16387</v>
      </c>
      <c r="F209" s="24"/>
      <c r="G209" s="24"/>
      <c r="H209" s="22">
        <v>2022</v>
      </c>
      <c r="I209" s="37" t="s">
        <v>19853</v>
      </c>
    </row>
    <row r="210" spans="1:9" x14ac:dyDescent="0.3">
      <c r="A210" s="16">
        <v>9781399504027</v>
      </c>
      <c r="B210" s="16"/>
      <c r="C210" s="16"/>
      <c r="D210" s="12" t="s">
        <v>1</v>
      </c>
      <c r="E210" s="23" t="s">
        <v>19854</v>
      </c>
      <c r="F210" s="14" t="s">
        <v>240</v>
      </c>
      <c r="G210" s="14" t="s">
        <v>18248</v>
      </c>
      <c r="H210" s="22">
        <v>2022</v>
      </c>
      <c r="I210" s="36" t="s">
        <v>19660</v>
      </c>
    </row>
    <row r="211" spans="1:9" x14ac:dyDescent="0.3">
      <c r="A211" s="16">
        <v>9781474482837</v>
      </c>
      <c r="B211" s="16">
        <v>9781474478724</v>
      </c>
      <c r="C211" s="16"/>
      <c r="D211" s="17" t="s">
        <v>1</v>
      </c>
      <c r="E211" s="14" t="s">
        <v>19855</v>
      </c>
      <c r="F211" s="14" t="s">
        <v>19856</v>
      </c>
      <c r="G211" s="14" t="s">
        <v>6840</v>
      </c>
      <c r="H211" s="22">
        <v>2022</v>
      </c>
      <c r="I211" s="38" t="s">
        <v>19648</v>
      </c>
    </row>
    <row r="212" spans="1:9" x14ac:dyDescent="0.3">
      <c r="A212" s="16">
        <v>9781474450164</v>
      </c>
      <c r="B212" s="16">
        <v>9781474450140</v>
      </c>
      <c r="C212" s="16"/>
      <c r="D212" s="17" t="s">
        <v>1</v>
      </c>
      <c r="E212" s="14" t="s">
        <v>19351</v>
      </c>
      <c r="F212" s="14" t="s">
        <v>19857</v>
      </c>
      <c r="G212" s="14" t="s">
        <v>13444</v>
      </c>
      <c r="H212" s="22">
        <v>2022</v>
      </c>
      <c r="I212" s="38" t="s">
        <v>19648</v>
      </c>
    </row>
    <row r="213" spans="1:9" x14ac:dyDescent="0.3">
      <c r="A213" s="16">
        <v>9781399507769</v>
      </c>
      <c r="B213" s="16"/>
      <c r="C213" s="16"/>
      <c r="D213" s="23" t="s">
        <v>1</v>
      </c>
      <c r="E213" s="24" t="s">
        <v>17654</v>
      </c>
      <c r="F213" s="24" t="s">
        <v>17656</v>
      </c>
      <c r="G213" s="24" t="s">
        <v>7738</v>
      </c>
      <c r="H213" s="22">
        <v>2023</v>
      </c>
      <c r="I213" s="24" t="s">
        <v>19642</v>
      </c>
    </row>
    <row r="214" spans="1:9" x14ac:dyDescent="0.3">
      <c r="A214" s="16">
        <v>9781474486637</v>
      </c>
      <c r="B214" s="16"/>
      <c r="C214" s="16"/>
      <c r="D214" s="23" t="s">
        <v>1</v>
      </c>
      <c r="E214" s="24" t="s">
        <v>17367</v>
      </c>
      <c r="F214" s="24" t="s">
        <v>17370</v>
      </c>
      <c r="G214" s="24"/>
      <c r="H214" s="22">
        <v>2023</v>
      </c>
      <c r="I214" s="37" t="s">
        <v>19642</v>
      </c>
    </row>
    <row r="215" spans="1:9" x14ac:dyDescent="0.3">
      <c r="A215" s="16">
        <v>9781399531184</v>
      </c>
      <c r="B215" s="16"/>
      <c r="C215" s="16"/>
      <c r="D215" s="12" t="s">
        <v>1</v>
      </c>
      <c r="E215" s="23" t="s">
        <v>18553</v>
      </c>
      <c r="F215" s="14" t="s">
        <v>18556</v>
      </c>
      <c r="G215" s="14" t="s">
        <v>17292</v>
      </c>
      <c r="H215" s="22">
        <v>2023</v>
      </c>
      <c r="I215" s="36" t="s">
        <v>19660</v>
      </c>
    </row>
    <row r="216" spans="1:9" x14ac:dyDescent="0.3">
      <c r="A216" s="16">
        <v>9781399515139</v>
      </c>
      <c r="B216" s="16"/>
      <c r="C216" s="16"/>
      <c r="D216" s="23" t="s">
        <v>1</v>
      </c>
      <c r="E216" s="24" t="s">
        <v>17513</v>
      </c>
      <c r="F216" s="24" t="s">
        <v>2527</v>
      </c>
      <c r="G216" s="24" t="s">
        <v>10773</v>
      </c>
      <c r="H216" s="22">
        <v>2023</v>
      </c>
      <c r="I216" s="37" t="s">
        <v>19642</v>
      </c>
    </row>
    <row r="217" spans="1:9" x14ac:dyDescent="0.3">
      <c r="A217" s="16">
        <v>9781739416102</v>
      </c>
      <c r="B217" s="16"/>
      <c r="C217" s="16"/>
      <c r="D217" s="23" t="s">
        <v>1</v>
      </c>
      <c r="E217" s="24" t="s">
        <v>19858</v>
      </c>
      <c r="F217" s="24"/>
      <c r="G217" s="24"/>
      <c r="H217" s="22">
        <v>2023</v>
      </c>
      <c r="I217" s="37" t="s">
        <v>19660</v>
      </c>
    </row>
    <row r="218" spans="1:9" x14ac:dyDescent="0.3">
      <c r="A218" s="16">
        <v>9781838382278</v>
      </c>
      <c r="B218" s="16"/>
      <c r="C218" s="16"/>
      <c r="D218" s="23" t="s">
        <v>1</v>
      </c>
      <c r="E218" s="24" t="s">
        <v>19859</v>
      </c>
      <c r="F218" s="24"/>
      <c r="G218" s="24"/>
      <c r="H218" s="22">
        <v>2023</v>
      </c>
      <c r="I218" s="37" t="s">
        <v>19660</v>
      </c>
    </row>
    <row r="219" spans="1:9" x14ac:dyDescent="0.3">
      <c r="A219" s="16">
        <v>9781399511797</v>
      </c>
      <c r="B219" s="16"/>
      <c r="C219" s="16"/>
      <c r="D219" s="23" t="s">
        <v>1</v>
      </c>
      <c r="E219" s="24" t="s">
        <v>16121</v>
      </c>
      <c r="F219" s="24" t="s">
        <v>16124</v>
      </c>
      <c r="G219" s="24" t="s">
        <v>10773</v>
      </c>
      <c r="H219" s="22">
        <v>2023</v>
      </c>
      <c r="I219" s="37" t="s">
        <v>19642</v>
      </c>
    </row>
    <row r="220" spans="1:9" x14ac:dyDescent="0.3">
      <c r="A220" s="16">
        <v>9781399519830</v>
      </c>
      <c r="B220" s="16"/>
      <c r="C220" s="16"/>
      <c r="D220" s="23" t="s">
        <v>1</v>
      </c>
      <c r="E220" s="24" t="s">
        <v>17658</v>
      </c>
      <c r="F220" s="24" t="s">
        <v>17660</v>
      </c>
      <c r="G220" s="24" t="s">
        <v>10773</v>
      </c>
      <c r="H220" s="22">
        <v>2023</v>
      </c>
      <c r="I220" s="37" t="s">
        <v>19642</v>
      </c>
    </row>
    <row r="221" spans="1:9" x14ac:dyDescent="0.3">
      <c r="A221" s="15">
        <v>9781399530965</v>
      </c>
      <c r="B221" s="16"/>
      <c r="C221" s="16"/>
      <c r="D221" s="17" t="s">
        <v>1</v>
      </c>
      <c r="E221" s="18" t="s">
        <v>17692</v>
      </c>
      <c r="F221" s="14"/>
      <c r="G221" s="14"/>
      <c r="H221" s="20">
        <v>2024</v>
      </c>
      <c r="I221" s="21" t="s">
        <v>19645</v>
      </c>
    </row>
    <row r="222" spans="1:9" x14ac:dyDescent="0.3">
      <c r="A222" s="16">
        <v>9781474410717</v>
      </c>
      <c r="B222" s="16"/>
      <c r="C222" s="16"/>
      <c r="D222" s="23" t="s">
        <v>1</v>
      </c>
      <c r="E222" s="24" t="s">
        <v>17641</v>
      </c>
      <c r="F222" s="24"/>
      <c r="G222" s="24"/>
      <c r="H222" s="22">
        <v>2024</v>
      </c>
      <c r="I222" s="37" t="s">
        <v>19660</v>
      </c>
    </row>
    <row r="223" spans="1:9" x14ac:dyDescent="0.3">
      <c r="A223" s="16">
        <v>9781474410748</v>
      </c>
      <c r="B223" s="16"/>
      <c r="C223" s="16"/>
      <c r="D223" s="23" t="s">
        <v>1</v>
      </c>
      <c r="E223" s="24" t="s">
        <v>17618</v>
      </c>
      <c r="F223" s="24"/>
      <c r="G223" s="24"/>
      <c r="H223" s="22">
        <v>2024</v>
      </c>
      <c r="I223" s="37" t="s">
        <v>19660</v>
      </c>
    </row>
    <row r="224" spans="1:9" x14ac:dyDescent="0.3">
      <c r="A224" s="15">
        <v>9781399501538</v>
      </c>
      <c r="B224" s="16"/>
      <c r="C224" s="16"/>
      <c r="D224" s="17" t="s">
        <v>1</v>
      </c>
      <c r="E224" s="18" t="s">
        <v>19860</v>
      </c>
      <c r="F224" s="14"/>
      <c r="G224" s="14"/>
      <c r="H224" s="20">
        <v>2024</v>
      </c>
      <c r="I224" s="38" t="s">
        <v>19645</v>
      </c>
    </row>
    <row r="225" spans="1:9" x14ac:dyDescent="0.3">
      <c r="A225" s="16">
        <v>9780748675173</v>
      </c>
      <c r="B225" s="16"/>
      <c r="C225" s="16"/>
      <c r="D225" s="17" t="s">
        <v>1</v>
      </c>
      <c r="E225" s="14" t="s">
        <v>19861</v>
      </c>
      <c r="F225" s="14"/>
      <c r="G225" s="14"/>
      <c r="H225" s="20"/>
      <c r="I225" s="38" t="s">
        <v>19648</v>
      </c>
    </row>
    <row r="226" spans="1:9" x14ac:dyDescent="0.3">
      <c r="A226" s="16">
        <v>9780748674855</v>
      </c>
      <c r="B226" s="16"/>
      <c r="C226" s="16"/>
      <c r="D226" s="17" t="s">
        <v>1</v>
      </c>
      <c r="E226" s="14" t="s">
        <v>19862</v>
      </c>
      <c r="F226" s="14"/>
      <c r="G226" s="14"/>
      <c r="H226" s="20"/>
      <c r="I226" s="38" t="s">
        <v>19648</v>
      </c>
    </row>
    <row r="227" spans="1:9" x14ac:dyDescent="0.3">
      <c r="A227" s="16">
        <v>9781474464598</v>
      </c>
      <c r="B227" s="16"/>
      <c r="C227" s="16"/>
      <c r="D227" s="17" t="s">
        <v>1</v>
      </c>
      <c r="E227" s="14" t="s">
        <v>19863</v>
      </c>
      <c r="F227" s="14"/>
      <c r="G227" s="14"/>
      <c r="H227" s="20"/>
      <c r="I227" s="38" t="s">
        <v>19648</v>
      </c>
    </row>
    <row r="228" spans="1:9" x14ac:dyDescent="0.3">
      <c r="A228" s="16">
        <v>9780748674527</v>
      </c>
      <c r="B228" s="16"/>
      <c r="C228" s="16"/>
      <c r="D228" s="17" t="s">
        <v>1</v>
      </c>
      <c r="E228" s="14" t="s">
        <v>19864</v>
      </c>
      <c r="F228" s="14"/>
      <c r="G228" s="14"/>
      <c r="H228" s="20"/>
      <c r="I228" s="38" t="s">
        <v>19648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EUP complete title list</vt:lpstr>
      <vt:lpstr>exclusions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Malley, Sarah</dc:creator>
  <cp:lastModifiedBy>Malley, Sarah</cp:lastModifiedBy>
  <dcterms:created xsi:type="dcterms:W3CDTF">2025-02-13T18:02:57Z</dcterms:created>
  <dcterms:modified xsi:type="dcterms:W3CDTF">2025-02-13T18:05:39Z</dcterms:modified>
</cp:coreProperties>
</file>